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codeName="ThisWorkbook" autoCompressPictures="0"/>
  <bookViews>
    <workbookView xWindow="3200" yWindow="0" windowWidth="25600" windowHeight="16060"/>
  </bookViews>
  <sheets>
    <sheet name="Control" sheetId="60" r:id="rId1"/>
    <sheet name="Preferences" sheetId="24" r:id="rId2"/>
    <sheet name="Intermediate output" sheetId="59" r:id="rId3"/>
    <sheet name="Conversions" sheetId="6" r:id="rId4"/>
    <sheet name="Global assumptions" sheetId="35" r:id="rId5"/>
    <sheet name="Constants" sheetId="12" r:id="rId6"/>
    <sheet name="Structure of the model" sheetId="23" r:id="rId7"/>
    <sheet name="IX.a" sheetId="109" r:id="rId8"/>
    <sheet name="2007" sheetId="29" r:id="rId9"/>
    <sheet name="DUKES 09 (1.2)" sheetId="8" r:id="rId10"/>
    <sheet name="DUKES 09 (1.9)" sheetId="68" r:id="rId11"/>
    <sheet name="DUKES 09 (2.5)" sheetId="14" r:id="rId12"/>
    <sheet name="DUKES 09 (5.1)" sheetId="15" r:id="rId13"/>
    <sheet name="DUKES 09 (5.6)" sheetId="16" r:id="rId14"/>
    <sheet name="DUKES 09 (7.2)" sheetId="10" r:id="rId15"/>
    <sheet name="DUKES 09 (7.4)" sheetId="91" r:id="rId16"/>
    <sheet name="DUKES 09 (A.1)" sheetId="13" r:id="rId17"/>
    <sheet name="DECC Energy Cons. (1.14)" sheetId="9" r:id="rId18"/>
    <sheet name="DECC Energy Cons. (4.1)" sheetId="11" r:id="rId19"/>
  </sheets>
  <externalReferences>
    <externalReference r:id="rId20"/>
    <externalReference r:id="rId21"/>
  </externalReferences>
  <definedNames>
    <definedName name="_xlnm._FilterDatabase" localSheetId="2" hidden="1">'Intermediate output'!#REF!</definedName>
    <definedName name="Bio.Gas">'Intermediate output'!#REF!</definedName>
    <definedName name="Bio.liquid">'Intermediate output'!#REF!</definedName>
    <definedName name="Bio.Solid">'Intermediate output'!#REF!</definedName>
    <definedName name="Constants.Density.Diesel">Constants!$C$38</definedName>
    <definedName name="Constants.Density.Ethanol">Constants!$C$36</definedName>
    <definedName name="Constants.Density.JetFuel">Constants!$C$37</definedName>
    <definedName name="Constants.Density.MotorSpirit">Constants!$C$35</definedName>
    <definedName name="Constants.GCV.ATF">Constants!$C$18</definedName>
    <definedName name="Constants.GCV.Coal">Constants!$C$8</definedName>
    <definedName name="Constants.GCV.Coke">Constants!$C$9</definedName>
    <definedName name="Constants.GCV.CokeBreeze">Constants!$C$10</definedName>
    <definedName name="Constants.GCV.CrudeOil">Constants!$C$14</definedName>
    <definedName name="Constants.GCV.Diesel">Constants!$C$17</definedName>
    <definedName name="Constants.GCV.LandfillGas">Constants!$C$25</definedName>
    <definedName name="Constants.GCV.MotorSpirit">Constants!$C$16</definedName>
    <definedName name="Constants.GCV.NaturalGasProduced">Constants!$C$21</definedName>
    <definedName name="Constants.GCV.PetroleumProducts">Constants!$C$15</definedName>
    <definedName name="Conversion.to.annual.energy">Conversions!$E$59</definedName>
    <definedName name="Conversion.to.average.power">Conversions!$E$58</definedName>
    <definedName name="Conversion.to.energy.per.second">Conversions!$E$60</definedName>
    <definedName name="Conversion.UKgallons.to.litres">Conversions!$E$65</definedName>
    <definedName name="Conversion.USgallons.to.litres">Conversions!$E$66</definedName>
    <definedName name="Conversions.Area.m2">Conversions!$E$48:$E$53</definedName>
    <definedName name="Conversions.Area.Units">Conversions!$B$48:$B$53</definedName>
    <definedName name="Conversions.Energy.Joules">Conversions!$E$5:$E$23</definedName>
    <definedName name="Conversions.Energy.Units">Conversions!$B$5:$B$23</definedName>
    <definedName name="Conversions.Money.GBP">Conversions!$F$71:$F$78</definedName>
    <definedName name="Conversions.Money.Units">Conversions!$B$71:$B$78</definedName>
    <definedName name="Conversions.Power.Units">Conversions!$B$30:$B$35</definedName>
    <definedName name="Conversions.Power.Watts">Conversions!$E$30:$E$35</definedName>
    <definedName name="Cost.FinanceCostTable">'Global assumptions'!$B$36:$I$86</definedName>
    <definedName name="discount_factors">'Global assumptions'!$D$28:$K$28</definedName>
    <definedName name="Discount_rate">'Global assumptions'!$C$27</definedName>
    <definedName name="EF.BlastFurnaceGas.CO2">Constants!$F$11</definedName>
    <definedName name="EF.Diesel.CH4">Constants!$G$9</definedName>
    <definedName name="EF.Diesel.CO2">Constants!$F$9</definedName>
    <definedName name="EF.Diesel.N2O">Constants!$H$9</definedName>
    <definedName name="EF.IndustrialCoal.CH4">Constants!$G$8</definedName>
    <definedName name="EF.IndustrialCoal.CO2">Constants!$F$8</definedName>
    <definedName name="EF.IndustrialCoal.N2O">Constants!$H$8</definedName>
    <definedName name="EF.NaturalGas.CH4">Constants!$G$10</definedName>
    <definedName name="EF.NaturalGas.CO2">Constants!$F$10</definedName>
    <definedName name="EF.NaturalGas.N2O">Constants!$H$10</definedName>
    <definedName name="Euro2002_">Conversions!$E$75</definedName>
    <definedName name="GBP">Conversions!$E$78</definedName>
    <definedName name="GBPppyr">Conversions!#REF!</definedName>
    <definedName name="GGBP">Conversions!$E$72</definedName>
    <definedName name="Global.UKIncidentSolarEnergy">'Global assumptions'!$D$20</definedName>
    <definedName name="Global.UKIncidentSolarEnergy_SouthFacing">'Global assumptions'!$D$21</definedName>
    <definedName name="GWP.CH4">Constants!$K$9</definedName>
    <definedName name="GWP.N2O">Constants!$K$10</definedName>
    <definedName name="I.a.scenario">Control!$E$14</definedName>
    <definedName name="I.b.1.Scenario">Control!$E$7</definedName>
    <definedName name="I.b.2.Scenario">Control!$E$8</definedName>
    <definedName name="I.b.Scenario">Control!$E$7</definedName>
    <definedName name="II.a.Scenario">Control!$E$5</definedName>
    <definedName name="III.a.1.Scenario">Control!$E$10</definedName>
    <definedName name="III.a.2.Scenario">Control!$E$9</definedName>
    <definedName name="III.a.Scenario">Control!$E$10</definedName>
    <definedName name="III.b.Scenario">Control!$E$18</definedName>
    <definedName name="III.c.Scenario.TidalRange">Control!$E$13</definedName>
    <definedName name="III.c.Scenario.TidalStream">Control!$E$12</definedName>
    <definedName name="III.c.Scenario.Wave">Control!$E$11</definedName>
    <definedName name="III.d.Scenario">Control!$E$17</definedName>
    <definedName name="IV.a.Scenario">Control!$E$15</definedName>
    <definedName name="IV.b.Scenario">Control!$E$16</definedName>
    <definedName name="IV.c.Scenario">Control!$E$19</definedName>
    <definedName name="IX.a.Scenario.Electrification">Control!$E$39</definedName>
    <definedName name="IX.a.Scenario.Fuel">Control!$E$40</definedName>
    <definedName name="IX.a.Scenario.Insulation">Control!$E$38</definedName>
    <definedName name="IX.a.Scenario.ServiceDemand">Control!$E$37</definedName>
    <definedName name="IX.c.Scenario.Demand">Control!$E$48</definedName>
    <definedName name="IX.c.Scenario.Electrification">Control!$E$49</definedName>
    <definedName name="IX.c.Scenario.Fuel">Control!$E$50</definedName>
    <definedName name="kGBP">Conversions!$E$74</definedName>
    <definedName name="MGBP">Conversions!$E$73</definedName>
    <definedName name="Money.Unit">Conversions!$D$71:$D$78</definedName>
    <definedName name="MoneyUnit">#REF!</definedName>
    <definedName name="Peak_Electricity_Generation_Capacity">'Intermediate output'!#REF!</definedName>
    <definedName name="percentGDP">Conversions!#REF!</definedName>
    <definedName name="plantsize.I.a">#REF!</definedName>
    <definedName name="plantsize.I.b.Coal">#REF!</definedName>
    <definedName name="plantsize.I.b.GasCoal">#REF!</definedName>
    <definedName name="plantsize.Ia.bio">#REF!</definedName>
    <definedName name="plantsize.Ib">#REF!</definedName>
    <definedName name="plantsize.II.a">#REF!</definedName>
    <definedName name="plantsize.II.a.Nuclear">#REF!</definedName>
    <definedName name="plantsize.III.a.1">#REF!</definedName>
    <definedName name="plantsize.III.a.2">#REF!</definedName>
    <definedName name="plantsize.III.b">#REF!</definedName>
    <definedName name="plantsize.III.c.TidalRange">#REF!</definedName>
    <definedName name="plantsize.III.c.TidalStream">#REF!</definedName>
    <definedName name="plantsize.III.c.Wave">#REF!</definedName>
    <definedName name="plantsize.III.d">#REF!</definedName>
    <definedName name="plantsize.IV.a">#REF!</definedName>
    <definedName name="plantsize.IV.b">#REF!</definedName>
    <definedName name="plantsize.IV.c">#REF!</definedName>
    <definedName name="plantsize.V.a.Dry_bio_and_waste_to_gas">#REF!</definedName>
    <definedName name="plantsize.V.a.Dry_bio_and_waste_to_liquid">#REF!</definedName>
    <definedName name="plantsize.V.a.Dry_bio_and_waste_to_solid">#REF!</definedName>
    <definedName name="plantsize.V.a.Energy_crops_1st_generation_to_gas">#REF!</definedName>
    <definedName name="plantsize.V.a.Energy_crops_1st_generation_to_liquid">#REF!</definedName>
    <definedName name="plantsize.V.a.Energy_crops_1st_generation_to_solid">#REF!</definedName>
    <definedName name="plantsize.V.a.Energy_crops_2nd_generation_to_gas">#REF!</definedName>
    <definedName name="plantsize.V.a.Energy_crops_2nd_generation_to_liquid">#REF!</definedName>
    <definedName name="plantsize.V.a.Energy_crops_2nd_generation_to_solid">#REF!</definedName>
    <definedName name="plantsize.V.a.Gaseous_waste_to_gas">#REF!</definedName>
    <definedName name="plantsize.V.a.Gaseous_waste_to_liquid">#REF!</definedName>
    <definedName name="plantsize.V.a.Gaseous_waste_to_solid">#REF!</definedName>
    <definedName name="plantsize.V.a.Wet_bio_and_waste_to_gas">#REF!</definedName>
    <definedName name="plantsize.V.a.Wet_bio_and_waste_to_liquid">#REF!</definedName>
    <definedName name="plantsize.V.a.Wet_bio_and_waste_to_solid">#REF!</definedName>
    <definedName name="plantsize.VI.b.Capturing_landfill_gas">#REF!</definedName>
    <definedName name="plantsize.VI.b.Landfill_site">#REF!</definedName>
    <definedName name="plantsize.VI.b.Recovering_landfill_gas">#REF!</definedName>
    <definedName name="plantsize.VI.b.Recovering_sewage_sludge">#REF!</definedName>
    <definedName name="Preferences.AreaUnits">Preferences!$C$7</definedName>
    <definedName name="Preferences.EnergyUnits">Preferences!$C$3</definedName>
    <definedName name="Preferences.moneyunits">Preferences!$C$9</definedName>
    <definedName name="Preferences.PowerUnits">Preferences!$C$5</definedName>
    <definedName name="Preferences.Unit.Energy">Preferences!$F$3</definedName>
    <definedName name="Preferences.Unit.Power">Preferences!$F$5</definedName>
    <definedName name="Price1990">Conversions!$D$84</definedName>
    <definedName name="Price1991">Conversions!$D$85</definedName>
    <definedName name="Price1992">Conversions!$D$86</definedName>
    <definedName name="Price1993">Conversions!$D$87</definedName>
    <definedName name="Price1994">Conversions!$D$88</definedName>
    <definedName name="Price1995">Conversions!$D$89</definedName>
    <definedName name="Price1996">Conversions!$D$90</definedName>
    <definedName name="Price1997">Conversions!$D$91</definedName>
    <definedName name="Price1998">Conversions!$D$92</definedName>
    <definedName name="Price1999">Conversions!$D$93</definedName>
    <definedName name="Price2000">Conversions!$D$94</definedName>
    <definedName name="Price2001">Conversions!$D$95</definedName>
    <definedName name="Price2002">Conversions!$D$96</definedName>
    <definedName name="Price2003">Conversions!$D$97</definedName>
    <definedName name="Price2004">Conversions!$D$98</definedName>
    <definedName name="Price2005">Conversions!$D$99</definedName>
    <definedName name="Price2006">Conversions!$D$100</definedName>
    <definedName name="Price2007">Conversions!$D$101</definedName>
    <definedName name="Price2008">Conversions!$D$102</definedName>
    <definedName name="Price2009">Conversions!$D$103</definedName>
    <definedName name="Price2010">Conversions!$D$104</definedName>
    <definedName name="Price2011">Conversions!$D$105</definedName>
    <definedName name="TGBP">Conversions!$E$71</definedName>
    <definedName name="this.Year" localSheetId="8">'2007'!$E$2</definedName>
    <definedName name="Unit.acre">Conversions!$F$50</definedName>
    <definedName name="unit.bcm">Conversions!$F$24</definedName>
    <definedName name="Unit.boe">Conversions!$F$15</definedName>
    <definedName name="Unit.Btu">Conversions!$F$21</definedName>
    <definedName name="Unit.calorie">Conversions!$F$22</definedName>
    <definedName name="Unit.day">Conversions!$F$41</definedName>
    <definedName name="Unit.GJ">Conversions!$F$7</definedName>
    <definedName name="Unit.GW">Conversions!$F$30</definedName>
    <definedName name="Unit.GWh">Conversions!$F$13</definedName>
    <definedName name="Unit.GWyear">Conversions!$F$23</definedName>
    <definedName name="Unit.ha">Conversions!$F$48</definedName>
    <definedName name="Unit.hour">Conversions!$F$42</definedName>
    <definedName name="Unit.J">Conversions!$F$8</definedName>
    <definedName name="Unit.km2">Conversions!$F$51</definedName>
    <definedName name="Unit.ktoe">Conversions!$F$18</definedName>
    <definedName name="Unit.kW">Conversions!$F$32</definedName>
    <definedName name="Unit.kWh">Conversions!$F$10</definedName>
    <definedName name="Unit.kWh.p.d">Conversions!$F$11</definedName>
    <definedName name="Unit.m2">Conversions!$F$52</definedName>
    <definedName name="Unit.Mboe">Conversions!$F$16</definedName>
    <definedName name="Unit.mcm.d">Conversions!$F$34</definedName>
    <definedName name="Unit.Mha">Conversions!$F$49</definedName>
    <definedName name="Unit.minute">Conversions!$F$43</definedName>
    <definedName name="Unit.MJ">Conversions!$F$9</definedName>
    <definedName name="Unit.Mtoe">Conversions!$F$19</definedName>
    <definedName name="Unit.Mtoe.y">Conversions!$F$35</definedName>
    <definedName name="Unit.MW">Conversions!$F$31</definedName>
    <definedName name="Unit.MWh">Conversions!$F$14</definedName>
    <definedName name="Unit.PJ">Conversions!$F$5</definedName>
    <definedName name="Unit.therm">Conversions!$F$20</definedName>
    <definedName name="Unit.TJ">Conversions!$F$6</definedName>
    <definedName name="Unit.toe">Conversions!$F$17</definedName>
    <definedName name="Unit.TWh">Conversions!$F$12</definedName>
    <definedName name="Unit.W">Conversions!$F$33</definedName>
    <definedName name="Unit.Wales">Conversions!$F$53</definedName>
    <definedName name="Unit.year">Conversions!$F$40</definedName>
    <definedName name="USD2009_">Conversions!$E$76</definedName>
    <definedName name="USD2010_">Conversions!$E$77</definedName>
    <definedName name="V.a.Scenario">Control!$E$26</definedName>
    <definedName name="V.b.Scenario">Control!$E$27</definedName>
    <definedName name="VI.a.2.Scenario">Control!$E$23</definedName>
    <definedName name="VI.a.Bioenergy">#REF!</definedName>
    <definedName name="VI.a.Scenario">Control!$E$22</definedName>
    <definedName name="VI.b.Scenario">Control!$E$24</definedName>
    <definedName name="VI.c.Scenario">Control!$E$25</definedName>
    <definedName name="VII.a.Scenario">Control!$E$20</definedName>
    <definedName name="VII.c.Scenario">Control!$E$56</definedName>
    <definedName name="X.a.Scenario.Demand">Control!$E$42</definedName>
    <definedName name="X.a.Scenario.Technology">Control!$E$43</definedName>
    <definedName name="X.b.Scenario.Demand">Control!$E$52</definedName>
    <definedName name="X.b.Scenario.Technology">Control!$E$53</definedName>
    <definedName name="XI.a.Scenario">Control!#REF!</definedName>
    <definedName name="XI.a.Scenario.Efficiency">Control!$E$46</definedName>
    <definedName name="XI.a.Scenario.Output">Control!$E$45</definedName>
    <definedName name="XII.a.Scenario.Demand">Control!$E$30</definedName>
    <definedName name="XII.a.Scenario.ElecHydrogen">Control!$E$32</definedName>
    <definedName name="XII.a.Scenario.Technology">Control!$E$31</definedName>
    <definedName name="XII.b.Scenario">Control!$E$33</definedName>
    <definedName name="XII.c.Scenario">Control!$E$34</definedName>
    <definedName name="XII.e.Scenario">Control!$E$35</definedName>
    <definedName name="XIV.a.Scenario">Control!$E$55</definedName>
    <definedName name="XV.b.Scenario">Control!$E$57</definedName>
    <definedName name="Year.Emissions" localSheetId="8">'2007'!$BO$109:$DF$109</definedName>
    <definedName name="Year.EmissionsBySector" localSheetId="8">'2007'!$DH$6:$DH$110</definedName>
    <definedName name="Year.GHG" localSheetId="8">'2007'!$BO$6:$DF$6</definedName>
    <definedName name="Year.IPCC" localSheetId="8">'2007'!$BO$5:$DF$5</definedName>
    <definedName name="Year.Matrix" localSheetId="8">'2007'!$G$6:$BL$110</definedName>
    <definedName name="Year.Modules" localSheetId="8">'2007'!$C$6:$C$110</definedName>
    <definedName name="Year.NetBalance" localSheetId="8">'2007'!$G$109:$BL$109</definedName>
    <definedName name="Year.Vectors" localSheetId="8">'2007'!$G$5:$BL$5</definedName>
  </definedName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6" l="1"/>
  <c r="E78" i="6"/>
  <c r="F29" i="6"/>
  <c r="F32" i="6"/>
  <c r="D94" i="6"/>
  <c r="E12" i="6"/>
  <c r="F4" i="6"/>
  <c r="F12" i="6"/>
  <c r="E13" i="6"/>
  <c r="F13" i="6"/>
  <c r="O363" i="109"/>
  <c r="N363" i="109"/>
  <c r="M363" i="109"/>
  <c r="L363" i="109"/>
  <c r="K363" i="109"/>
  <c r="J363" i="109"/>
  <c r="I363" i="109"/>
  <c r="H363" i="109"/>
  <c r="G363" i="109"/>
  <c r="O361" i="109"/>
  <c r="N361" i="109"/>
  <c r="M361" i="109"/>
  <c r="L361" i="109"/>
  <c r="K361" i="109"/>
  <c r="J361" i="109"/>
  <c r="I361" i="109"/>
  <c r="H361" i="109"/>
  <c r="G361" i="109"/>
  <c r="O357" i="109"/>
  <c r="N357" i="109"/>
  <c r="M357" i="109"/>
  <c r="L357" i="109"/>
  <c r="K357" i="109"/>
  <c r="J357" i="109"/>
  <c r="I357" i="109"/>
  <c r="H357" i="109"/>
  <c r="G357" i="109"/>
  <c r="O355" i="109"/>
  <c r="N355" i="109"/>
  <c r="M355" i="109"/>
  <c r="L355" i="109"/>
  <c r="K355" i="109"/>
  <c r="J355" i="109"/>
  <c r="I355" i="109"/>
  <c r="H355" i="109"/>
  <c r="G355" i="109"/>
  <c r="O353" i="109"/>
  <c r="N353" i="109"/>
  <c r="M353" i="109"/>
  <c r="L353" i="109"/>
  <c r="K353" i="109"/>
  <c r="J353" i="109"/>
  <c r="I353" i="109"/>
  <c r="H353" i="109"/>
  <c r="G353" i="109"/>
  <c r="O351" i="109"/>
  <c r="N351" i="109"/>
  <c r="M351" i="109"/>
  <c r="L351" i="109"/>
  <c r="K351" i="109"/>
  <c r="J351" i="109"/>
  <c r="I351" i="109"/>
  <c r="H351" i="109"/>
  <c r="G351" i="109"/>
  <c r="O349" i="109"/>
  <c r="N349" i="109"/>
  <c r="M349" i="109"/>
  <c r="L349" i="109"/>
  <c r="K349" i="109"/>
  <c r="J349" i="109"/>
  <c r="I349" i="109"/>
  <c r="H349" i="109"/>
  <c r="G349" i="109"/>
  <c r="O343" i="109"/>
  <c r="N343" i="109"/>
  <c r="M343" i="109"/>
  <c r="L343" i="109"/>
  <c r="K343" i="109"/>
  <c r="J343" i="109"/>
  <c r="I343" i="109"/>
  <c r="H343" i="109"/>
  <c r="G343" i="109"/>
  <c r="O335" i="109"/>
  <c r="N335" i="109"/>
  <c r="M335" i="109"/>
  <c r="L335" i="109"/>
  <c r="K335" i="109"/>
  <c r="J335" i="109"/>
  <c r="I335" i="109"/>
  <c r="H335" i="109"/>
  <c r="G335" i="109"/>
  <c r="O333" i="109"/>
  <c r="N333" i="109"/>
  <c r="M333" i="109"/>
  <c r="L333" i="109"/>
  <c r="K333" i="109"/>
  <c r="J333" i="109"/>
  <c r="I333" i="109"/>
  <c r="H333" i="109"/>
  <c r="G333" i="109"/>
  <c r="F333" i="109"/>
  <c r="F334" i="109"/>
  <c r="O323" i="109"/>
  <c r="N323" i="109"/>
  <c r="M323" i="109"/>
  <c r="L323" i="109"/>
  <c r="K323" i="109"/>
  <c r="J323" i="109"/>
  <c r="I323" i="109"/>
  <c r="H323" i="109"/>
  <c r="G323" i="109"/>
  <c r="O321" i="109"/>
  <c r="N321" i="109"/>
  <c r="M321" i="109"/>
  <c r="L321" i="109"/>
  <c r="K321" i="109"/>
  <c r="J321" i="109"/>
  <c r="I321" i="109"/>
  <c r="H321" i="109"/>
  <c r="G321" i="109"/>
  <c r="O317" i="109"/>
  <c r="N317" i="109"/>
  <c r="M317" i="109"/>
  <c r="L317" i="109"/>
  <c r="K317" i="109"/>
  <c r="J317" i="109"/>
  <c r="I317" i="109"/>
  <c r="H317" i="109"/>
  <c r="G317" i="109"/>
  <c r="O315" i="109"/>
  <c r="N315" i="109"/>
  <c r="M315" i="109"/>
  <c r="L315" i="109"/>
  <c r="K315" i="109"/>
  <c r="J315" i="109"/>
  <c r="I315" i="109"/>
  <c r="H315" i="109"/>
  <c r="G315" i="109"/>
  <c r="O313" i="109"/>
  <c r="N313" i="109"/>
  <c r="M313" i="109"/>
  <c r="L313" i="109"/>
  <c r="K313" i="109"/>
  <c r="J313" i="109"/>
  <c r="I313" i="109"/>
  <c r="H313" i="109"/>
  <c r="G313" i="109"/>
  <c r="O311" i="109"/>
  <c r="N311" i="109"/>
  <c r="M311" i="109"/>
  <c r="L311" i="109"/>
  <c r="K311" i="109"/>
  <c r="J311" i="109"/>
  <c r="I311" i="109"/>
  <c r="H311" i="109"/>
  <c r="G311" i="109"/>
  <c r="O309" i="109"/>
  <c r="N309" i="109"/>
  <c r="M309" i="109"/>
  <c r="L309" i="109"/>
  <c r="K309" i="109"/>
  <c r="J309" i="109"/>
  <c r="I309" i="109"/>
  <c r="H309" i="109"/>
  <c r="G309" i="109"/>
  <c r="O299" i="109"/>
  <c r="N299" i="109"/>
  <c r="M299" i="109"/>
  <c r="L299" i="109"/>
  <c r="K299" i="109"/>
  <c r="J299" i="109"/>
  <c r="I299" i="109"/>
  <c r="H299" i="109"/>
  <c r="G299" i="109"/>
  <c r="O303" i="109"/>
  <c r="N303" i="109"/>
  <c r="M303" i="109"/>
  <c r="L303" i="109"/>
  <c r="K303" i="109"/>
  <c r="J303" i="109"/>
  <c r="I303" i="109"/>
  <c r="H303" i="109"/>
  <c r="G303" i="109"/>
  <c r="O301" i="109"/>
  <c r="N301" i="109"/>
  <c r="M301" i="109"/>
  <c r="L301" i="109"/>
  <c r="K301" i="109"/>
  <c r="J301" i="109"/>
  <c r="I301" i="109"/>
  <c r="H301" i="109"/>
  <c r="G301" i="109"/>
  <c r="O297" i="109"/>
  <c r="N297" i="109"/>
  <c r="M297" i="109"/>
  <c r="L297" i="109"/>
  <c r="K297" i="109"/>
  <c r="J297" i="109"/>
  <c r="I297" i="109"/>
  <c r="H297" i="109"/>
  <c r="G297" i="109"/>
  <c r="O295" i="109"/>
  <c r="N295" i="109"/>
  <c r="M295" i="109"/>
  <c r="L295" i="109"/>
  <c r="K295" i="109"/>
  <c r="J295" i="109"/>
  <c r="I295" i="109"/>
  <c r="H295" i="109"/>
  <c r="G295" i="109"/>
  <c r="O293" i="109"/>
  <c r="N293" i="109"/>
  <c r="M293" i="109"/>
  <c r="L293" i="109"/>
  <c r="K293" i="109"/>
  <c r="J293" i="109"/>
  <c r="I293" i="109"/>
  <c r="H293" i="109"/>
  <c r="G293" i="109"/>
  <c r="O291" i="109"/>
  <c r="N291" i="109"/>
  <c r="M291" i="109"/>
  <c r="L291" i="109"/>
  <c r="K291" i="109"/>
  <c r="J291" i="109"/>
  <c r="I291" i="109"/>
  <c r="H291" i="109"/>
  <c r="G291" i="109"/>
  <c r="O289" i="109"/>
  <c r="N289" i="109"/>
  <c r="M289" i="109"/>
  <c r="L289" i="109"/>
  <c r="K289" i="109"/>
  <c r="J289" i="109"/>
  <c r="I289" i="109"/>
  <c r="H289" i="109"/>
  <c r="G289" i="109"/>
  <c r="E14" i="6"/>
  <c r="F14" i="6"/>
  <c r="D104" i="6"/>
  <c r="E73" i="6"/>
  <c r="D105" i="6"/>
  <c r="O346" i="109"/>
  <c r="O326" i="109"/>
  <c r="O306" i="109"/>
  <c r="O286" i="109"/>
  <c r="G292" i="109"/>
  <c r="H292" i="109"/>
  <c r="I292" i="109"/>
  <c r="J292" i="109"/>
  <c r="K292" i="109"/>
  <c r="L292" i="109"/>
  <c r="M292" i="109"/>
  <c r="N292" i="109"/>
  <c r="O292" i="109"/>
  <c r="F33" i="6"/>
  <c r="F42" i="6"/>
  <c r="F41" i="6"/>
  <c r="F40" i="6"/>
  <c r="F8" i="6"/>
  <c r="C37" i="12"/>
  <c r="E7" i="6"/>
  <c r="F7" i="6"/>
  <c r="F291" i="109"/>
  <c r="F292" i="109"/>
  <c r="J415" i="109"/>
  <c r="J416" i="109"/>
  <c r="J417" i="109"/>
  <c r="J414" i="109"/>
  <c r="C16" i="35"/>
  <c r="F5" i="24"/>
  <c r="F3" i="24"/>
  <c r="E48" i="6"/>
  <c r="E49" i="6"/>
  <c r="F47" i="6"/>
  <c r="E51" i="6"/>
  <c r="F77" i="6"/>
  <c r="E77" i="6"/>
  <c r="E15" i="6"/>
  <c r="F15" i="6"/>
  <c r="E20" i="6"/>
  <c r="F20" i="6"/>
  <c r="E5" i="6"/>
  <c r="F5" i="6"/>
  <c r="E17" i="6"/>
  <c r="E18" i="6"/>
  <c r="F18" i="6"/>
  <c r="E10" i="6"/>
  <c r="F10" i="6"/>
  <c r="E19" i="6"/>
  <c r="F19" i="6"/>
  <c r="C38" i="12"/>
  <c r="D12" i="35"/>
  <c r="E9" i="109"/>
  <c r="G584" i="109"/>
  <c r="G386" i="109"/>
  <c r="G1093" i="109"/>
  <c r="G578" i="109"/>
  <c r="F578" i="109"/>
  <c r="H578" i="109"/>
  <c r="I578" i="109"/>
  <c r="J578" i="109"/>
  <c r="K578" i="109"/>
  <c r="E6" i="6"/>
  <c r="F6" i="6"/>
  <c r="F52" i="6"/>
  <c r="F76" i="6"/>
  <c r="D103" i="6"/>
  <c r="D1260" i="109"/>
  <c r="D1259" i="109"/>
  <c r="D1251" i="109"/>
  <c r="E1145" i="109"/>
  <c r="E1144" i="109"/>
  <c r="E1134" i="109"/>
  <c r="E1133" i="109"/>
  <c r="E1132" i="109"/>
  <c r="E1108" i="109"/>
  <c r="E1107" i="109"/>
  <c r="E1106" i="109"/>
  <c r="E1105" i="109"/>
  <c r="E1104" i="109"/>
  <c r="E1103" i="109"/>
  <c r="E1102" i="109"/>
  <c r="O402" i="109"/>
  <c r="O393" i="109"/>
  <c r="C535" i="109"/>
  <c r="C514" i="109"/>
  <c r="C493" i="109"/>
  <c r="E7" i="35"/>
  <c r="E8" i="35"/>
  <c r="F48" i="109"/>
  <c r="C940" i="109"/>
  <c r="C939" i="109"/>
  <c r="C938" i="109"/>
  <c r="C937" i="109"/>
  <c r="C1232" i="109"/>
  <c r="C1231" i="109"/>
  <c r="C1230" i="109"/>
  <c r="C1229" i="109"/>
  <c r="O448" i="109"/>
  <c r="H53" i="23"/>
  <c r="I53" i="23"/>
  <c r="H52" i="23"/>
  <c r="I52" i="23"/>
  <c r="H43" i="12"/>
  <c r="C46" i="12"/>
  <c r="G46" i="12"/>
  <c r="C47" i="12"/>
  <c r="G47" i="12"/>
  <c r="C48" i="12"/>
  <c r="G48" i="12"/>
  <c r="C49" i="12"/>
  <c r="G49" i="12"/>
  <c r="C50" i="12"/>
  <c r="G50" i="12"/>
  <c r="C51" i="12"/>
  <c r="G51" i="12"/>
  <c r="C52" i="12"/>
  <c r="G52" i="12"/>
  <c r="C53" i="12"/>
  <c r="G53" i="12"/>
  <c r="C54" i="12"/>
  <c r="G54" i="12"/>
  <c r="C55" i="12"/>
  <c r="G55" i="12"/>
  <c r="C56" i="12"/>
  <c r="G56" i="12"/>
  <c r="C57" i="12"/>
  <c r="G57" i="12"/>
  <c r="C58" i="12"/>
  <c r="G58" i="12"/>
  <c r="C59" i="12"/>
  <c r="G59" i="12"/>
  <c r="C60" i="12"/>
  <c r="G60" i="12"/>
  <c r="C61" i="12"/>
  <c r="G61" i="12"/>
  <c r="C62" i="12"/>
  <c r="G62" i="12"/>
  <c r="C63" i="12"/>
  <c r="G63" i="12"/>
  <c r="C64" i="12"/>
  <c r="G64" i="12"/>
  <c r="C65" i="12"/>
  <c r="G65" i="12"/>
  <c r="C66" i="12"/>
  <c r="G66" i="12"/>
  <c r="C67" i="12"/>
  <c r="G67" i="12"/>
  <c r="C68" i="12"/>
  <c r="G68" i="12"/>
  <c r="C69" i="12"/>
  <c r="G69" i="12"/>
  <c r="C70" i="12"/>
  <c r="G70" i="12"/>
  <c r="C71" i="12"/>
  <c r="G71" i="12"/>
  <c r="C72" i="12"/>
  <c r="G72" i="12"/>
  <c r="C73" i="12"/>
  <c r="G73" i="12"/>
  <c r="C74" i="12"/>
  <c r="G74" i="12"/>
  <c r="C75" i="12"/>
  <c r="C76" i="12"/>
  <c r="C77" i="12"/>
  <c r="C78" i="12"/>
  <c r="C79" i="12"/>
  <c r="C80" i="12"/>
  <c r="C81" i="12"/>
  <c r="G81" i="12"/>
  <c r="C82" i="12"/>
  <c r="G82" i="12"/>
  <c r="C83" i="12"/>
  <c r="C84" i="12"/>
  <c r="C85" i="12"/>
  <c r="C86" i="12"/>
  <c r="C87" i="12"/>
  <c r="G87" i="12"/>
  <c r="C88" i="12"/>
  <c r="G88" i="12"/>
  <c r="C89" i="12"/>
  <c r="G89" i="12"/>
  <c r="C90" i="12"/>
  <c r="G90" i="12"/>
  <c r="C91" i="12"/>
  <c r="G91" i="12"/>
  <c r="D84" i="6"/>
  <c r="D85" i="6"/>
  <c r="D86" i="6"/>
  <c r="D87" i="6"/>
  <c r="D88" i="6"/>
  <c r="D89" i="6"/>
  <c r="D90" i="6"/>
  <c r="D91" i="6"/>
  <c r="D92" i="6"/>
  <c r="D93" i="6"/>
  <c r="D95" i="6"/>
  <c r="D96" i="6"/>
  <c r="D97" i="6"/>
  <c r="D98" i="6"/>
  <c r="D99" i="6"/>
  <c r="D100" i="6"/>
  <c r="D101" i="6"/>
  <c r="D102" i="6"/>
  <c r="D27" i="35"/>
  <c r="E27" i="35"/>
  <c r="F27" i="35"/>
  <c r="G27" i="35"/>
  <c r="H27" i="35"/>
  <c r="I27" i="35"/>
  <c r="D28" i="35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50" i="23"/>
  <c r="I50" i="23"/>
  <c r="H51" i="23"/>
  <c r="I51" i="23"/>
  <c r="F75" i="6"/>
  <c r="E28" i="35"/>
  <c r="F28" i="35"/>
  <c r="G28" i="35"/>
  <c r="H28" i="35"/>
  <c r="I28" i="35"/>
  <c r="J28" i="35"/>
  <c r="K28" i="35"/>
  <c r="E71" i="6"/>
  <c r="E1143" i="109"/>
  <c r="E1146" i="109"/>
  <c r="E1147" i="109"/>
  <c r="E1152" i="109"/>
  <c r="E1150" i="109"/>
  <c r="O469" i="109"/>
  <c r="O425" i="109"/>
  <c r="G719" i="109"/>
  <c r="G645" i="109"/>
  <c r="D734" i="109"/>
  <c r="D733" i="109"/>
  <c r="D732" i="109"/>
  <c r="H727" i="109"/>
  <c r="G727" i="109"/>
  <c r="I726" i="109"/>
  <c r="I725" i="109"/>
  <c r="I724" i="109"/>
  <c r="D726" i="109"/>
  <c r="D725" i="109"/>
  <c r="D724" i="109"/>
  <c r="D642" i="109"/>
  <c r="F642" i="109"/>
  <c r="D643" i="109"/>
  <c r="F643" i="109"/>
  <c r="F644" i="109"/>
  <c r="F645" i="109"/>
  <c r="D644" i="109"/>
  <c r="D716" i="109"/>
  <c r="D717" i="109"/>
  <c r="D718" i="109"/>
  <c r="C557" i="109"/>
  <c r="I411" i="109"/>
  <c r="G411" i="109"/>
  <c r="O384" i="109"/>
  <c r="F250" i="109"/>
  <c r="P268" i="109"/>
  <c r="F249" i="109"/>
  <c r="P283" i="109"/>
  <c r="F248" i="109"/>
  <c r="P274" i="109"/>
  <c r="F247" i="109"/>
  <c r="P281" i="109"/>
  <c r="F246" i="109"/>
  <c r="P280" i="109"/>
  <c r="F245" i="109"/>
  <c r="P279" i="109"/>
  <c r="O55" i="109"/>
  <c r="E89" i="109"/>
  <c r="F89" i="109"/>
  <c r="G89" i="109"/>
  <c r="H89" i="109"/>
  <c r="I89" i="109"/>
  <c r="J89" i="109"/>
  <c r="K89" i="109"/>
  <c r="L89" i="109"/>
  <c r="M89" i="109"/>
  <c r="N89" i="109"/>
  <c r="O89" i="109"/>
  <c r="P89" i="109"/>
  <c r="Q89" i="109"/>
  <c r="R89" i="109"/>
  <c r="S89" i="109"/>
  <c r="P272" i="109"/>
  <c r="P256" i="109"/>
  <c r="P257" i="109"/>
  <c r="E1142" i="109"/>
  <c r="E1099" i="109"/>
  <c r="E1098" i="109"/>
  <c r="E1097" i="109"/>
  <c r="E1096" i="109"/>
  <c r="E1095" i="109"/>
  <c r="E1094" i="109"/>
  <c r="E1093" i="109"/>
  <c r="E1113" i="109"/>
  <c r="E1114" i="109"/>
  <c r="E1115" i="109"/>
  <c r="E1116" i="109"/>
  <c r="E1117" i="109"/>
  <c r="E1112" i="109"/>
  <c r="E1111" i="109"/>
  <c r="E1122" i="109"/>
  <c r="E1120" i="109"/>
  <c r="BC8" i="60"/>
  <c r="E1052" i="109"/>
  <c r="C1051" i="109"/>
  <c r="C1050" i="109"/>
  <c r="C1049" i="109"/>
  <c r="C1048" i="109"/>
  <c r="C1047" i="109"/>
  <c r="C1046" i="109"/>
  <c r="C1045" i="109"/>
  <c r="C1044" i="109"/>
  <c r="C1043" i="109"/>
  <c r="E1040" i="109"/>
  <c r="C1039" i="109"/>
  <c r="C1038" i="109"/>
  <c r="C1037" i="109"/>
  <c r="C1036" i="109"/>
  <c r="C1035" i="109"/>
  <c r="C1034" i="109"/>
  <c r="C1033" i="109"/>
  <c r="C1032" i="109"/>
  <c r="C1031" i="109"/>
  <c r="E1028" i="109"/>
  <c r="C1027" i="109"/>
  <c r="C1026" i="109"/>
  <c r="C1025" i="109"/>
  <c r="C1024" i="109"/>
  <c r="C1023" i="109"/>
  <c r="C1022" i="109"/>
  <c r="C1021" i="109"/>
  <c r="C1020" i="109"/>
  <c r="C1019" i="109"/>
  <c r="E1242" i="109"/>
  <c r="E1241" i="109"/>
  <c r="D1241" i="109"/>
  <c r="D1240" i="109"/>
  <c r="E1086" i="109"/>
  <c r="E1074" i="109"/>
  <c r="E1058" i="109"/>
  <c r="E1088" i="109"/>
  <c r="C1085" i="109"/>
  <c r="C1084" i="109"/>
  <c r="C1083" i="109"/>
  <c r="C1082" i="109"/>
  <c r="C1081" i="109"/>
  <c r="C1080" i="109"/>
  <c r="C1079" i="109"/>
  <c r="C1078" i="109"/>
  <c r="C1077" i="109"/>
  <c r="C1073" i="109"/>
  <c r="C1072" i="109"/>
  <c r="C1071" i="109"/>
  <c r="C1070" i="109"/>
  <c r="C1069" i="109"/>
  <c r="C1068" i="109"/>
  <c r="C1067" i="109"/>
  <c r="C1066" i="109"/>
  <c r="C1065" i="109"/>
  <c r="C1064" i="109"/>
  <c r="C1063" i="109"/>
  <c r="C1062" i="109"/>
  <c r="C1061" i="109"/>
  <c r="E1054" i="109"/>
  <c r="E1016" i="109"/>
  <c r="E1004" i="109"/>
  <c r="C1015" i="109"/>
  <c r="C1014" i="109"/>
  <c r="C1013" i="109"/>
  <c r="C1012" i="109"/>
  <c r="C1011" i="109"/>
  <c r="C1010" i="109"/>
  <c r="C1009" i="109"/>
  <c r="C1008" i="109"/>
  <c r="C1007" i="109"/>
  <c r="C1003" i="109"/>
  <c r="C1002" i="109"/>
  <c r="C1001" i="109"/>
  <c r="C1000" i="109"/>
  <c r="C999" i="109"/>
  <c r="C998" i="109"/>
  <c r="C997" i="109"/>
  <c r="C996" i="109"/>
  <c r="C995" i="109"/>
  <c r="C994" i="109"/>
  <c r="C993" i="109"/>
  <c r="C992" i="109"/>
  <c r="C991" i="109"/>
  <c r="E988" i="109"/>
  <c r="N195" i="109"/>
  <c r="M195" i="109"/>
  <c r="L195" i="109"/>
  <c r="K195" i="109"/>
  <c r="J195" i="109"/>
  <c r="I195" i="109"/>
  <c r="H195" i="109"/>
  <c r="G195" i="109"/>
  <c r="F195" i="109"/>
  <c r="N194" i="109"/>
  <c r="M194" i="109"/>
  <c r="L194" i="109"/>
  <c r="K194" i="109"/>
  <c r="J194" i="109"/>
  <c r="I194" i="109"/>
  <c r="H194" i="109"/>
  <c r="G194" i="109"/>
  <c r="F194" i="109"/>
  <c r="N193" i="109"/>
  <c r="M193" i="109"/>
  <c r="L193" i="109"/>
  <c r="K193" i="109"/>
  <c r="J193" i="109"/>
  <c r="I193" i="109"/>
  <c r="H193" i="109"/>
  <c r="G193" i="109"/>
  <c r="F193" i="109"/>
  <c r="N192" i="109"/>
  <c r="M192" i="109"/>
  <c r="L192" i="109"/>
  <c r="K192" i="109"/>
  <c r="J192" i="109"/>
  <c r="I192" i="109"/>
  <c r="H192" i="109"/>
  <c r="G192" i="109"/>
  <c r="F192" i="109"/>
  <c r="N191" i="109"/>
  <c r="M191" i="109"/>
  <c r="K191" i="109"/>
  <c r="J191" i="109"/>
  <c r="I191" i="109"/>
  <c r="H191" i="109"/>
  <c r="G191" i="109"/>
  <c r="F191" i="109"/>
  <c r="N190" i="109"/>
  <c r="M190" i="109"/>
  <c r="K190" i="109"/>
  <c r="J190" i="109"/>
  <c r="I190" i="109"/>
  <c r="H190" i="109"/>
  <c r="G190" i="109"/>
  <c r="F190" i="109"/>
  <c r="N189" i="109"/>
  <c r="M189" i="109"/>
  <c r="L189" i="109"/>
  <c r="K189" i="109"/>
  <c r="J189" i="109"/>
  <c r="I189" i="109"/>
  <c r="H189" i="109"/>
  <c r="G189" i="109"/>
  <c r="F189" i="109"/>
  <c r="N188" i="109"/>
  <c r="M188" i="109"/>
  <c r="L188" i="109"/>
  <c r="K188" i="109"/>
  <c r="J188" i="109"/>
  <c r="I188" i="109"/>
  <c r="H188" i="109"/>
  <c r="G188" i="109"/>
  <c r="F188" i="109"/>
  <c r="N187" i="109"/>
  <c r="M187" i="109"/>
  <c r="L187" i="109"/>
  <c r="K187" i="109"/>
  <c r="J187" i="109"/>
  <c r="I187" i="109"/>
  <c r="H187" i="109"/>
  <c r="G187" i="109"/>
  <c r="F187" i="109"/>
  <c r="N186" i="109"/>
  <c r="M186" i="109"/>
  <c r="L186" i="109"/>
  <c r="K186" i="109"/>
  <c r="J186" i="109"/>
  <c r="I186" i="109"/>
  <c r="H186" i="109"/>
  <c r="G186" i="109"/>
  <c r="F186" i="109"/>
  <c r="N185" i="109"/>
  <c r="M185" i="109"/>
  <c r="L185" i="109"/>
  <c r="K185" i="109"/>
  <c r="J185" i="109"/>
  <c r="I185" i="109"/>
  <c r="H185" i="109"/>
  <c r="G185" i="109"/>
  <c r="F185" i="109"/>
  <c r="N184" i="109"/>
  <c r="M184" i="109"/>
  <c r="L184" i="109"/>
  <c r="K184" i="109"/>
  <c r="J184" i="109"/>
  <c r="I184" i="109"/>
  <c r="H184" i="109"/>
  <c r="G184" i="109"/>
  <c r="F184" i="109"/>
  <c r="N183" i="109"/>
  <c r="M183" i="109"/>
  <c r="L183" i="109"/>
  <c r="K183" i="109"/>
  <c r="J183" i="109"/>
  <c r="I183" i="109"/>
  <c r="H183" i="109"/>
  <c r="G183" i="109"/>
  <c r="F183" i="109"/>
  <c r="M173" i="109"/>
  <c r="M172" i="109"/>
  <c r="N177" i="109"/>
  <c r="M177" i="109"/>
  <c r="L177" i="109"/>
  <c r="K177" i="109"/>
  <c r="J177" i="109"/>
  <c r="I177" i="109"/>
  <c r="H177" i="109"/>
  <c r="G177" i="109"/>
  <c r="F177" i="109"/>
  <c r="N176" i="109"/>
  <c r="M176" i="109"/>
  <c r="L176" i="109"/>
  <c r="K176" i="109"/>
  <c r="J176" i="109"/>
  <c r="I176" i="109"/>
  <c r="H176" i="109"/>
  <c r="G176" i="109"/>
  <c r="F176" i="109"/>
  <c r="N175" i="109"/>
  <c r="M175" i="109"/>
  <c r="L175" i="109"/>
  <c r="K175" i="109"/>
  <c r="J175" i="109"/>
  <c r="I175" i="109"/>
  <c r="H175" i="109"/>
  <c r="G175" i="109"/>
  <c r="F175" i="109"/>
  <c r="N174" i="109"/>
  <c r="M174" i="109"/>
  <c r="L174" i="109"/>
  <c r="K174" i="109"/>
  <c r="J174" i="109"/>
  <c r="I174" i="109"/>
  <c r="H174" i="109"/>
  <c r="G174" i="109"/>
  <c r="F174" i="109"/>
  <c r="N173" i="109"/>
  <c r="K173" i="109"/>
  <c r="J173" i="109"/>
  <c r="I173" i="109"/>
  <c r="H173" i="109"/>
  <c r="G173" i="109"/>
  <c r="F173" i="109"/>
  <c r="N172" i="109"/>
  <c r="K172" i="109"/>
  <c r="J172" i="109"/>
  <c r="I172" i="109"/>
  <c r="H172" i="109"/>
  <c r="G172" i="109"/>
  <c r="F172" i="109"/>
  <c r="N171" i="109"/>
  <c r="M171" i="109"/>
  <c r="L171" i="109"/>
  <c r="K171" i="109"/>
  <c r="J171" i="109"/>
  <c r="I171" i="109"/>
  <c r="H171" i="109"/>
  <c r="G171" i="109"/>
  <c r="F171" i="109"/>
  <c r="N170" i="109"/>
  <c r="M170" i="109"/>
  <c r="L170" i="109"/>
  <c r="K170" i="109"/>
  <c r="J170" i="109"/>
  <c r="I170" i="109"/>
  <c r="H170" i="109"/>
  <c r="G170" i="109"/>
  <c r="F170" i="109"/>
  <c r="N169" i="109"/>
  <c r="M169" i="109"/>
  <c r="L169" i="109"/>
  <c r="K169" i="109"/>
  <c r="J169" i="109"/>
  <c r="I169" i="109"/>
  <c r="H169" i="109"/>
  <c r="G169" i="109"/>
  <c r="F169" i="109"/>
  <c r="N168" i="109"/>
  <c r="M168" i="109"/>
  <c r="L168" i="109"/>
  <c r="K168" i="109"/>
  <c r="J168" i="109"/>
  <c r="I168" i="109"/>
  <c r="H168" i="109"/>
  <c r="G168" i="109"/>
  <c r="F168" i="109"/>
  <c r="N167" i="109"/>
  <c r="M167" i="109"/>
  <c r="L167" i="109"/>
  <c r="K167" i="109"/>
  <c r="J167" i="109"/>
  <c r="I167" i="109"/>
  <c r="H167" i="109"/>
  <c r="G167" i="109"/>
  <c r="F167" i="109"/>
  <c r="N166" i="109"/>
  <c r="M166" i="109"/>
  <c r="L166" i="109"/>
  <c r="K166" i="109"/>
  <c r="J166" i="109"/>
  <c r="I166" i="109"/>
  <c r="H166" i="109"/>
  <c r="G166" i="109"/>
  <c r="F166" i="109"/>
  <c r="N165" i="109"/>
  <c r="M165" i="109"/>
  <c r="L165" i="109"/>
  <c r="K165" i="109"/>
  <c r="J165" i="109"/>
  <c r="I165" i="109"/>
  <c r="H165" i="109"/>
  <c r="G165" i="109"/>
  <c r="F165" i="109"/>
  <c r="D195" i="109"/>
  <c r="D194" i="109"/>
  <c r="D193" i="109"/>
  <c r="D192" i="109"/>
  <c r="D191" i="109"/>
  <c r="D190" i="109"/>
  <c r="D189" i="109"/>
  <c r="D188" i="109"/>
  <c r="D187" i="109"/>
  <c r="D186" i="109"/>
  <c r="D185" i="109"/>
  <c r="D184" i="109"/>
  <c r="D183" i="109"/>
  <c r="N181" i="109"/>
  <c r="M181" i="109"/>
  <c r="L181" i="109"/>
  <c r="K181" i="109"/>
  <c r="J181" i="109"/>
  <c r="I181" i="109"/>
  <c r="H181" i="109"/>
  <c r="G181" i="109"/>
  <c r="F181" i="109"/>
  <c r="D177" i="109"/>
  <c r="D176" i="109"/>
  <c r="D175" i="109"/>
  <c r="D174" i="109"/>
  <c r="D173" i="109"/>
  <c r="D172" i="109"/>
  <c r="D171" i="109"/>
  <c r="D170" i="109"/>
  <c r="D169" i="109"/>
  <c r="D168" i="109"/>
  <c r="D167" i="109"/>
  <c r="D166" i="109"/>
  <c r="D165" i="109"/>
  <c r="N163" i="109"/>
  <c r="M163" i="109"/>
  <c r="L163" i="109"/>
  <c r="K163" i="109"/>
  <c r="J163" i="109"/>
  <c r="I163" i="109"/>
  <c r="H163" i="109"/>
  <c r="G163" i="109"/>
  <c r="F163" i="109"/>
  <c r="E985" i="109"/>
  <c r="D684" i="109"/>
  <c r="D683" i="109"/>
  <c r="D682" i="109"/>
  <c r="D681" i="109"/>
  <c r="D680" i="109"/>
  <c r="D679" i="109"/>
  <c r="D678" i="109"/>
  <c r="D677" i="109"/>
  <c r="D676" i="109"/>
  <c r="D675" i="109"/>
  <c r="D674" i="109"/>
  <c r="D673" i="109"/>
  <c r="D672" i="109"/>
  <c r="K234" i="109"/>
  <c r="J234" i="109"/>
  <c r="I234" i="109"/>
  <c r="I240" i="109"/>
  <c r="H234" i="109"/>
  <c r="G234" i="109"/>
  <c r="K233" i="109"/>
  <c r="J233" i="109"/>
  <c r="J239" i="109"/>
  <c r="I233" i="109"/>
  <c r="H233" i="109"/>
  <c r="G233" i="109"/>
  <c r="D1258" i="109"/>
  <c r="D1257" i="109"/>
  <c r="D1262" i="109"/>
  <c r="D1261" i="109"/>
  <c r="D1250" i="109"/>
  <c r="D1252" i="109"/>
  <c r="D1242" i="109"/>
  <c r="E1223" i="109"/>
  <c r="E1222" i="109"/>
  <c r="E1221" i="109"/>
  <c r="E1215" i="109"/>
  <c r="E1214" i="109"/>
  <c r="E1213" i="109"/>
  <c r="E1207" i="109"/>
  <c r="E1206" i="109"/>
  <c r="E1205" i="109"/>
  <c r="D1196" i="109"/>
  <c r="D1195" i="109"/>
  <c r="D1194" i="109"/>
  <c r="D1193" i="109"/>
  <c r="D1192" i="109"/>
  <c r="D1191" i="109"/>
  <c r="D1190" i="109"/>
  <c r="D1189" i="109"/>
  <c r="D1188" i="109"/>
  <c r="D1182" i="109"/>
  <c r="D1181" i="109"/>
  <c r="D1180" i="109"/>
  <c r="D1179" i="109"/>
  <c r="D1178" i="109"/>
  <c r="D1177" i="109"/>
  <c r="D1176" i="109"/>
  <c r="D1175" i="109"/>
  <c r="D1174" i="109"/>
  <c r="D1173" i="109"/>
  <c r="D1167" i="109"/>
  <c r="D1166" i="109"/>
  <c r="D1165" i="109"/>
  <c r="D1164" i="109"/>
  <c r="D1163" i="109"/>
  <c r="D1162" i="109"/>
  <c r="D1161" i="109"/>
  <c r="D1160" i="109"/>
  <c r="D1159" i="109"/>
  <c r="C972" i="109"/>
  <c r="C971" i="109"/>
  <c r="C970" i="109"/>
  <c r="C969" i="109"/>
  <c r="C968" i="109"/>
  <c r="C967" i="109"/>
  <c r="C966" i="109"/>
  <c r="C965" i="109"/>
  <c r="C964" i="109"/>
  <c r="C908" i="109"/>
  <c r="C907" i="109"/>
  <c r="C906" i="109"/>
  <c r="C905" i="109"/>
  <c r="C904" i="109"/>
  <c r="C903" i="109"/>
  <c r="C902" i="109"/>
  <c r="C901" i="109"/>
  <c r="C900" i="109"/>
  <c r="C894" i="109"/>
  <c r="C893" i="109"/>
  <c r="C892" i="109"/>
  <c r="C891" i="109"/>
  <c r="C890" i="109"/>
  <c r="C889" i="109"/>
  <c r="C888" i="109"/>
  <c r="C887" i="109"/>
  <c r="C886" i="109"/>
  <c r="C881" i="109"/>
  <c r="C880" i="109"/>
  <c r="C879" i="109"/>
  <c r="C878" i="109"/>
  <c r="C877" i="109"/>
  <c r="C876" i="109"/>
  <c r="C875" i="109"/>
  <c r="C874" i="109"/>
  <c r="C873" i="109"/>
  <c r="C858" i="109"/>
  <c r="C857" i="109"/>
  <c r="C856" i="109"/>
  <c r="C855" i="109"/>
  <c r="C854" i="109"/>
  <c r="C853" i="109"/>
  <c r="C852" i="109"/>
  <c r="C851" i="109"/>
  <c r="C850" i="109"/>
  <c r="K825" i="109"/>
  <c r="J825" i="109"/>
  <c r="I825" i="109"/>
  <c r="H825" i="109"/>
  <c r="G825" i="109"/>
  <c r="F825" i="109"/>
  <c r="C788" i="109"/>
  <c r="C787" i="109"/>
  <c r="C786" i="109"/>
  <c r="C785" i="109"/>
  <c r="C784" i="109"/>
  <c r="C783" i="109"/>
  <c r="C782" i="109"/>
  <c r="C781" i="109"/>
  <c r="C780" i="109"/>
  <c r="K753" i="109"/>
  <c r="J753" i="109"/>
  <c r="I753" i="109"/>
  <c r="H753" i="109"/>
  <c r="G753" i="109"/>
  <c r="F753" i="109"/>
  <c r="N199" i="109"/>
  <c r="M199" i="109"/>
  <c r="L199" i="109"/>
  <c r="K199" i="109"/>
  <c r="J199" i="109"/>
  <c r="I199" i="109"/>
  <c r="H199" i="109"/>
  <c r="G199" i="109"/>
  <c r="F199" i="109"/>
  <c r="N145" i="109"/>
  <c r="M145" i="109"/>
  <c r="L145" i="109"/>
  <c r="K145" i="109"/>
  <c r="J145" i="109"/>
  <c r="I145" i="109"/>
  <c r="H145" i="109"/>
  <c r="G145" i="109"/>
  <c r="F145" i="109"/>
  <c r="N127" i="109"/>
  <c r="M127" i="109"/>
  <c r="L127" i="109"/>
  <c r="K127" i="109"/>
  <c r="J127" i="109"/>
  <c r="I127" i="109"/>
  <c r="H127" i="109"/>
  <c r="G127" i="109"/>
  <c r="F127" i="109"/>
  <c r="D31" i="109"/>
  <c r="D28" i="109"/>
  <c r="B2" i="109"/>
  <c r="B1" i="109"/>
  <c r="G665" i="109"/>
  <c r="G1240" i="109"/>
  <c r="I665" i="109"/>
  <c r="I1240" i="109"/>
  <c r="K665" i="109"/>
  <c r="K1240" i="109"/>
  <c r="F718" i="109"/>
  <c r="G734" i="109"/>
  <c r="H665" i="109"/>
  <c r="H1240" i="109"/>
  <c r="H239" i="109"/>
  <c r="G240" i="109"/>
  <c r="K240" i="109"/>
  <c r="F240" i="109"/>
  <c r="G239" i="109"/>
  <c r="I239" i="109"/>
  <c r="K239" i="109"/>
  <c r="H240" i="109"/>
  <c r="O1185" i="109"/>
  <c r="O1170" i="109"/>
  <c r="O1156" i="109"/>
  <c r="E1129" i="109"/>
  <c r="E1128" i="109"/>
  <c r="E1127" i="109"/>
  <c r="E1139" i="109"/>
  <c r="E1138" i="109"/>
  <c r="E1137" i="109"/>
  <c r="O1090" i="109"/>
  <c r="E973" i="109"/>
  <c r="E959" i="109"/>
  <c r="C958" i="109"/>
  <c r="C957" i="109"/>
  <c r="C956" i="109"/>
  <c r="C955" i="109"/>
  <c r="C954" i="109"/>
  <c r="C953" i="109"/>
  <c r="C952" i="109"/>
  <c r="C951" i="109"/>
  <c r="C950" i="109"/>
  <c r="C949" i="109"/>
  <c r="C948" i="109"/>
  <c r="C947" i="109"/>
  <c r="C946" i="109"/>
  <c r="E909" i="109"/>
  <c r="E895" i="109"/>
  <c r="E882" i="109"/>
  <c r="D868" i="109"/>
  <c r="D867" i="109"/>
  <c r="D866" i="109"/>
  <c r="E865" i="109"/>
  <c r="E859" i="109"/>
  <c r="E846" i="109"/>
  <c r="C845" i="109"/>
  <c r="C844" i="109"/>
  <c r="C843" i="109"/>
  <c r="C842" i="109"/>
  <c r="C841" i="109"/>
  <c r="C840" i="109"/>
  <c r="C839" i="109"/>
  <c r="C838" i="109"/>
  <c r="C837" i="109"/>
  <c r="C836" i="109"/>
  <c r="C835" i="109"/>
  <c r="C834" i="109"/>
  <c r="C833" i="109"/>
  <c r="E828" i="109"/>
  <c r="F811" i="109"/>
  <c r="F806" i="109"/>
  <c r="F801" i="109"/>
  <c r="F796" i="109"/>
  <c r="E789" i="109"/>
  <c r="E776" i="109"/>
  <c r="C775" i="109"/>
  <c r="C774" i="109"/>
  <c r="C773" i="109"/>
  <c r="C772" i="109"/>
  <c r="C771" i="109"/>
  <c r="C770" i="109"/>
  <c r="C769" i="109"/>
  <c r="C768" i="109"/>
  <c r="C767" i="109"/>
  <c r="C766" i="109"/>
  <c r="C765" i="109"/>
  <c r="C764" i="109"/>
  <c r="C763" i="109"/>
  <c r="E758" i="109"/>
  <c r="D702" i="109"/>
  <c r="D701" i="109"/>
  <c r="D700" i="109"/>
  <c r="D699" i="109"/>
  <c r="D698" i="109"/>
  <c r="D697" i="109"/>
  <c r="D696" i="109"/>
  <c r="D695" i="109"/>
  <c r="D694" i="109"/>
  <c r="D693" i="109"/>
  <c r="D692" i="109"/>
  <c r="D691" i="109"/>
  <c r="D690" i="109"/>
  <c r="D664" i="109"/>
  <c r="D663" i="109"/>
  <c r="D662" i="109"/>
  <c r="D661" i="109"/>
  <c r="D660" i="109"/>
  <c r="D659" i="109"/>
  <c r="D658" i="109"/>
  <c r="D657" i="109"/>
  <c r="D656" i="109"/>
  <c r="D655" i="109"/>
  <c r="D654" i="109"/>
  <c r="D653" i="109"/>
  <c r="D652" i="109"/>
  <c r="H637" i="109"/>
  <c r="G637" i="109"/>
  <c r="F636" i="109"/>
  <c r="D636" i="109"/>
  <c r="F635" i="109"/>
  <c r="D635" i="109"/>
  <c r="F634" i="109"/>
  <c r="D634" i="109"/>
  <c r="F633" i="109"/>
  <c r="D633" i="109"/>
  <c r="F632" i="109"/>
  <c r="D632" i="109"/>
  <c r="F631" i="109"/>
  <c r="D631" i="109"/>
  <c r="F630" i="109"/>
  <c r="D630" i="109"/>
  <c r="F629" i="109"/>
  <c r="D629" i="109"/>
  <c r="F628" i="109"/>
  <c r="D628" i="109"/>
  <c r="F627" i="109"/>
  <c r="D627" i="109"/>
  <c r="F626" i="109"/>
  <c r="D626" i="109"/>
  <c r="F625" i="109"/>
  <c r="D625" i="109"/>
  <c r="F624" i="109"/>
  <c r="D624" i="109"/>
  <c r="D615" i="109"/>
  <c r="D614" i="109"/>
  <c r="D613" i="109"/>
  <c r="D610" i="109"/>
  <c r="D609" i="109"/>
  <c r="D608" i="109"/>
  <c r="D607" i="109"/>
  <c r="D606" i="109"/>
  <c r="D605" i="109"/>
  <c r="D604" i="109"/>
  <c r="D603" i="109"/>
  <c r="D602" i="109"/>
  <c r="D601" i="109"/>
  <c r="D600" i="109"/>
  <c r="D599" i="109"/>
  <c r="D598" i="109"/>
  <c r="F228" i="109"/>
  <c r="D227" i="109"/>
  <c r="D226" i="109"/>
  <c r="D225" i="109"/>
  <c r="F222" i="109"/>
  <c r="D221" i="109"/>
  <c r="D220" i="109"/>
  <c r="D219" i="109"/>
  <c r="D218" i="109"/>
  <c r="D217" i="109"/>
  <c r="D216" i="109"/>
  <c r="D215" i="109"/>
  <c r="D214" i="109"/>
  <c r="D213" i="109"/>
  <c r="D212" i="109"/>
  <c r="D211" i="109"/>
  <c r="D210" i="109"/>
  <c r="D209" i="109"/>
  <c r="O203" i="109"/>
  <c r="O202" i="109"/>
  <c r="O201" i="109"/>
  <c r="O159" i="109"/>
  <c r="O195" i="109"/>
  <c r="D159" i="109"/>
  <c r="O158" i="109"/>
  <c r="O194" i="109"/>
  <c r="D158" i="109"/>
  <c r="O157" i="109"/>
  <c r="O193" i="109"/>
  <c r="D157" i="109"/>
  <c r="O156" i="109"/>
  <c r="O192" i="109"/>
  <c r="D156" i="109"/>
  <c r="O155" i="109"/>
  <c r="O191" i="109"/>
  <c r="D155" i="109"/>
  <c r="O154" i="109"/>
  <c r="O190" i="109"/>
  <c r="D154" i="109"/>
  <c r="O153" i="109"/>
  <c r="O189" i="109"/>
  <c r="D153" i="109"/>
  <c r="O152" i="109"/>
  <c r="O188" i="109"/>
  <c r="D152" i="109"/>
  <c r="O151" i="109"/>
  <c r="O187" i="109"/>
  <c r="D151" i="109"/>
  <c r="O150" i="109"/>
  <c r="O186" i="109"/>
  <c r="D150" i="109"/>
  <c r="O149" i="109"/>
  <c r="O185" i="109"/>
  <c r="D149" i="109"/>
  <c r="O148" i="109"/>
  <c r="O184" i="109"/>
  <c r="D148" i="109"/>
  <c r="O147" i="109"/>
  <c r="O183" i="109"/>
  <c r="D147" i="109"/>
  <c r="O141" i="109"/>
  <c r="O177" i="109"/>
  <c r="D141" i="109"/>
  <c r="O140" i="109"/>
  <c r="O176" i="109"/>
  <c r="D140" i="109"/>
  <c r="O139" i="109"/>
  <c r="O175" i="109"/>
  <c r="D139" i="109"/>
  <c r="O138" i="109"/>
  <c r="O174" i="109"/>
  <c r="D138" i="109"/>
  <c r="O137" i="109"/>
  <c r="O173" i="109"/>
  <c r="D137" i="109"/>
  <c r="O136" i="109"/>
  <c r="O172" i="109"/>
  <c r="D136" i="109"/>
  <c r="O135" i="109"/>
  <c r="O171" i="109"/>
  <c r="D135" i="109"/>
  <c r="O134" i="109"/>
  <c r="O170" i="109"/>
  <c r="D134" i="109"/>
  <c r="O133" i="109"/>
  <c r="O169" i="109"/>
  <c r="D133" i="109"/>
  <c r="O132" i="109"/>
  <c r="O168" i="109"/>
  <c r="D132" i="109"/>
  <c r="O131" i="109"/>
  <c r="O167" i="109"/>
  <c r="D131" i="109"/>
  <c r="O130" i="109"/>
  <c r="O166" i="109"/>
  <c r="D130" i="109"/>
  <c r="O129" i="109"/>
  <c r="O165" i="109"/>
  <c r="D129" i="109"/>
  <c r="F122" i="109"/>
  <c r="F121" i="109"/>
  <c r="F120" i="109"/>
  <c r="F119" i="109"/>
  <c r="F118" i="109"/>
  <c r="T97" i="109"/>
  <c r="S97" i="109"/>
  <c r="R97" i="109"/>
  <c r="Q97" i="109"/>
  <c r="P97" i="109"/>
  <c r="O97" i="109"/>
  <c r="N97" i="109"/>
  <c r="M97" i="109"/>
  <c r="L97" i="109"/>
  <c r="K97" i="109"/>
  <c r="J97" i="109"/>
  <c r="I97" i="109"/>
  <c r="H97" i="109"/>
  <c r="G97" i="109"/>
  <c r="F97" i="109"/>
  <c r="E97" i="109"/>
  <c r="T89" i="109"/>
  <c r="O46" i="109"/>
  <c r="O28" i="109"/>
  <c r="E11" i="109"/>
  <c r="E10" i="109"/>
  <c r="E8" i="109"/>
  <c r="N44" i="109"/>
  <c r="M113" i="109"/>
  <c r="I113" i="109"/>
  <c r="N795" i="109"/>
  <c r="L800" i="109"/>
  <c r="G664" i="109"/>
  <c r="G684" i="109"/>
  <c r="G658" i="109"/>
  <c r="G678" i="109"/>
  <c r="G663" i="109"/>
  <c r="G683" i="109"/>
  <c r="G655" i="109"/>
  <c r="G675" i="109"/>
  <c r="G656" i="109"/>
  <c r="G676" i="109"/>
  <c r="G657" i="109"/>
  <c r="G677" i="109"/>
  <c r="H657" i="109"/>
  <c r="H677" i="109"/>
  <c r="H662" i="109"/>
  <c r="H682" i="109"/>
  <c r="H654" i="109"/>
  <c r="H674" i="109"/>
  <c r="H659" i="109"/>
  <c r="H679" i="109"/>
  <c r="H664" i="109"/>
  <c r="H684" i="109"/>
  <c r="H656" i="109"/>
  <c r="H676" i="109"/>
  <c r="E9" i="6"/>
  <c r="E11" i="6"/>
  <c r="E23" i="6"/>
  <c r="F24" i="6"/>
  <c r="E34" i="6"/>
  <c r="F7" i="24"/>
  <c r="B58" i="6"/>
  <c r="F58" i="6"/>
  <c r="B59" i="6"/>
  <c r="F59" i="6"/>
  <c r="B60" i="6"/>
  <c r="F60" i="6"/>
  <c r="BD25" i="60"/>
  <c r="BG30" i="60"/>
  <c r="E40" i="13"/>
  <c r="B40" i="13"/>
  <c r="E39" i="13"/>
  <c r="B39" i="13"/>
  <c r="B38" i="13"/>
  <c r="B33" i="13"/>
  <c r="B32" i="13"/>
  <c r="B31" i="13"/>
  <c r="B30" i="13"/>
  <c r="B29" i="13"/>
  <c r="B25" i="13"/>
  <c r="B24" i="13"/>
  <c r="B21" i="13"/>
  <c r="B20" i="13"/>
  <c r="B19" i="13"/>
  <c r="B18" i="13"/>
  <c r="B17" i="13"/>
  <c r="B16" i="13"/>
  <c r="E15" i="13"/>
  <c r="B15" i="13"/>
  <c r="E14" i="13"/>
  <c r="B14" i="13"/>
  <c r="E13" i="13"/>
  <c r="B13" i="13"/>
  <c r="E12" i="13"/>
  <c r="B12" i="13"/>
  <c r="E11" i="13"/>
  <c r="B11" i="13"/>
  <c r="E10" i="13"/>
  <c r="E9" i="13"/>
  <c r="B9" i="13"/>
  <c r="B8" i="13"/>
  <c r="B7" i="13"/>
  <c r="AK194" i="16"/>
  <c r="AJ194" i="16"/>
  <c r="AI194" i="16"/>
  <c r="AH194" i="16"/>
  <c r="AG194" i="16"/>
  <c r="AF194" i="16"/>
  <c r="J98" i="68"/>
  <c r="H98" i="68"/>
  <c r="G98" i="68"/>
  <c r="H86" i="68"/>
  <c r="G86" i="68"/>
  <c r="I42" i="68"/>
  <c r="G22" i="68"/>
  <c r="G23" i="68"/>
  <c r="H22" i="68"/>
  <c r="BL108" i="29"/>
  <c r="BL107" i="29"/>
  <c r="BL105" i="29"/>
  <c r="D104" i="29"/>
  <c r="BJ103" i="29"/>
  <c r="AR103" i="29"/>
  <c r="Q103" i="29"/>
  <c r="D103" i="29"/>
  <c r="D102" i="29"/>
  <c r="DH101" i="29"/>
  <c r="DH100" i="29"/>
  <c r="D99" i="29"/>
  <c r="D98" i="29"/>
  <c r="DH97" i="29"/>
  <c r="D96" i="29"/>
  <c r="DH95" i="29"/>
  <c r="DH94" i="29"/>
  <c r="BL94" i="29"/>
  <c r="D93" i="29"/>
  <c r="D92" i="29"/>
  <c r="D91" i="29"/>
  <c r="BL90" i="29"/>
  <c r="D89" i="29"/>
  <c r="BL87" i="29"/>
  <c r="BL86" i="29"/>
  <c r="BL85" i="29"/>
  <c r="BF83" i="29"/>
  <c r="BL83" i="29"/>
  <c r="D82" i="29"/>
  <c r="D81" i="29"/>
  <c r="DH80" i="29"/>
  <c r="BL80" i="29"/>
  <c r="D79" i="29"/>
  <c r="DH78" i="29"/>
  <c r="BL78" i="29"/>
  <c r="DH77" i="29"/>
  <c r="BL77" i="29"/>
  <c r="D76" i="29"/>
  <c r="D75" i="29"/>
  <c r="DH74" i="29"/>
  <c r="BJ74" i="29"/>
  <c r="BL74" i="29"/>
  <c r="DH73" i="29"/>
  <c r="D72" i="29"/>
  <c r="D71" i="29"/>
  <c r="DH70" i="29"/>
  <c r="BJ70" i="29"/>
  <c r="BL70" i="29"/>
  <c r="DH69" i="29"/>
  <c r="BL69" i="29"/>
  <c r="D68" i="29"/>
  <c r="D67" i="29"/>
  <c r="D66" i="29"/>
  <c r="D65" i="29"/>
  <c r="DH64" i="29"/>
  <c r="D63" i="29"/>
  <c r="D62" i="29"/>
  <c r="D61" i="29"/>
  <c r="D60" i="29"/>
  <c r="D59" i="29"/>
  <c r="D58" i="29"/>
  <c r="D57" i="29"/>
  <c r="DH56" i="29"/>
  <c r="BL56" i="29"/>
  <c r="D55" i="29"/>
  <c r="D54" i="29"/>
  <c r="D53" i="29"/>
  <c r="DH52" i="29"/>
  <c r="BL52" i="29"/>
  <c r="D51" i="29"/>
  <c r="D50" i="29"/>
  <c r="D49" i="29"/>
  <c r="D48" i="29"/>
  <c r="DH47" i="29"/>
  <c r="BL47" i="29"/>
  <c r="D46" i="29"/>
  <c r="D45" i="29"/>
  <c r="DH44" i="29"/>
  <c r="BL44" i="29"/>
  <c r="BL43" i="29"/>
  <c r="BL42" i="29"/>
  <c r="BL41" i="29"/>
  <c r="BF39" i="29"/>
  <c r="BL39" i="29"/>
  <c r="D38" i="29"/>
  <c r="D37" i="29"/>
  <c r="DH36" i="29"/>
  <c r="BL36" i="29"/>
  <c r="D35" i="29"/>
  <c r="D34" i="29"/>
  <c r="DH33" i="29"/>
  <c r="BL33" i="29"/>
  <c r="D32" i="29"/>
  <c r="D30" i="29"/>
  <c r="D29" i="29"/>
  <c r="D27" i="29"/>
  <c r="D26" i="29"/>
  <c r="D25" i="29"/>
  <c r="D24" i="29"/>
  <c r="DH23" i="29"/>
  <c r="BL23" i="29"/>
  <c r="D22" i="29"/>
  <c r="D21" i="29"/>
  <c r="DH20" i="29"/>
  <c r="BL20" i="29"/>
  <c r="D19" i="29"/>
  <c r="D18" i="29"/>
  <c r="D17" i="29"/>
  <c r="DH16" i="29"/>
  <c r="BL16" i="29"/>
  <c r="D15" i="29"/>
  <c r="D13" i="29"/>
  <c r="D12" i="29"/>
  <c r="D10" i="29"/>
  <c r="D9" i="29"/>
  <c r="DC4" i="29"/>
  <c r="CY4" i="29"/>
  <c r="CU4" i="29"/>
  <c r="CQ4" i="29"/>
  <c r="CM4" i="29"/>
  <c r="CI4" i="29"/>
  <c r="CE4" i="29"/>
  <c r="CA4" i="29"/>
  <c r="BW4" i="29"/>
  <c r="BS4" i="29"/>
  <c r="BO4" i="29"/>
  <c r="BL4" i="29"/>
  <c r="BI4" i="29"/>
  <c r="BH4" i="29"/>
  <c r="BE4" i="29"/>
  <c r="BD4" i="29"/>
  <c r="BC4" i="29"/>
  <c r="BB4" i="29"/>
  <c r="BA4" i="29"/>
  <c r="AZ4" i="29"/>
  <c r="AY4" i="29"/>
  <c r="AX4" i="29"/>
  <c r="AW4" i="29"/>
  <c r="AV4" i="29"/>
  <c r="AU4" i="29"/>
  <c r="AT4" i="29"/>
  <c r="AS4" i="29"/>
  <c r="AR4" i="29"/>
  <c r="AQ4" i="29"/>
  <c r="AP4" i="29"/>
  <c r="AO4" i="29"/>
  <c r="AN4" i="29"/>
  <c r="AM4" i="29"/>
  <c r="AJ4" i="29"/>
  <c r="AI4" i="29"/>
  <c r="AH4" i="29"/>
  <c r="AG4" i="29"/>
  <c r="AF4" i="29"/>
  <c r="AE4" i="29"/>
  <c r="AD4" i="29"/>
  <c r="AC4" i="29"/>
  <c r="AB4" i="29"/>
  <c r="AA4" i="29"/>
  <c r="Z4" i="29"/>
  <c r="Y4" i="29"/>
  <c r="X4" i="29"/>
  <c r="W4" i="29"/>
  <c r="V4" i="29"/>
  <c r="U4" i="29"/>
  <c r="T4" i="29"/>
  <c r="S4" i="29"/>
  <c r="P4" i="29"/>
  <c r="O4" i="29"/>
  <c r="N4" i="29"/>
  <c r="M4" i="29"/>
  <c r="L4" i="29"/>
  <c r="K4" i="29"/>
  <c r="J4" i="29"/>
  <c r="I4" i="29"/>
  <c r="H4" i="29"/>
  <c r="G4" i="29"/>
  <c r="E3" i="29"/>
  <c r="C35" i="12"/>
  <c r="C20" i="12"/>
  <c r="C13" i="12"/>
  <c r="C7" i="12"/>
  <c r="H4" i="12"/>
  <c r="D17" i="59"/>
  <c r="D16" i="59"/>
  <c r="D15" i="59"/>
  <c r="D14" i="59"/>
  <c r="D12" i="59"/>
  <c r="D11" i="59"/>
  <c r="D10" i="59"/>
  <c r="D9" i="59"/>
  <c r="D8" i="59"/>
  <c r="D7" i="59"/>
  <c r="D4" i="59"/>
  <c r="BF10" i="60"/>
  <c r="BC10" i="60"/>
  <c r="BF9" i="60"/>
  <c r="BC9" i="60"/>
  <c r="AR46" i="60"/>
  <c r="AR45" i="60"/>
  <c r="AR44" i="60"/>
  <c r="AR42" i="60"/>
  <c r="AR41" i="60"/>
  <c r="AR40" i="60"/>
  <c r="AR39" i="60"/>
  <c r="AR38" i="60"/>
  <c r="AR37" i="60"/>
  <c r="AR36" i="60"/>
  <c r="BD26" i="60"/>
  <c r="BD24" i="60"/>
  <c r="BD23" i="60"/>
  <c r="BD22" i="60"/>
  <c r="BG21" i="60"/>
  <c r="F11" i="6"/>
  <c r="F9" i="6"/>
  <c r="N364" i="109"/>
  <c r="L364" i="109"/>
  <c r="J364" i="109"/>
  <c r="H364" i="109"/>
  <c r="O362" i="109"/>
  <c r="M362" i="109"/>
  <c r="K362" i="109"/>
  <c r="I362" i="109"/>
  <c r="O364" i="109"/>
  <c r="M364" i="109"/>
  <c r="K364" i="109"/>
  <c r="I364" i="109"/>
  <c r="N362" i="109"/>
  <c r="L362" i="109"/>
  <c r="J362" i="109"/>
  <c r="H362" i="109"/>
  <c r="O359" i="109"/>
  <c r="O360" i="109"/>
  <c r="M359" i="109"/>
  <c r="M360" i="109"/>
  <c r="K359" i="109"/>
  <c r="K360" i="109"/>
  <c r="I359" i="109"/>
  <c r="I360" i="109"/>
  <c r="G359" i="109"/>
  <c r="N358" i="109"/>
  <c r="L358" i="109"/>
  <c r="J358" i="109"/>
  <c r="H358" i="109"/>
  <c r="O356" i="109"/>
  <c r="M356" i="109"/>
  <c r="K356" i="109"/>
  <c r="I356" i="109"/>
  <c r="N354" i="109"/>
  <c r="L354" i="109"/>
  <c r="J354" i="109"/>
  <c r="H354" i="109"/>
  <c r="N352" i="109"/>
  <c r="L352" i="109"/>
  <c r="J352" i="109"/>
  <c r="H352" i="109"/>
  <c r="O350" i="109"/>
  <c r="M350" i="109"/>
  <c r="K350" i="109"/>
  <c r="I350" i="109"/>
  <c r="N324" i="109"/>
  <c r="L324" i="109"/>
  <c r="J324" i="109"/>
  <c r="H324" i="109"/>
  <c r="O322" i="109"/>
  <c r="M322" i="109"/>
  <c r="K322" i="109"/>
  <c r="I322" i="109"/>
  <c r="O319" i="109"/>
  <c r="O320" i="109"/>
  <c r="M319" i="109"/>
  <c r="M320" i="109"/>
  <c r="K319" i="109"/>
  <c r="K320" i="109"/>
  <c r="I319" i="109"/>
  <c r="I320" i="109"/>
  <c r="G319" i="109"/>
  <c r="N318" i="109"/>
  <c r="L318" i="109"/>
  <c r="J318" i="109"/>
  <c r="H318" i="109"/>
  <c r="O316" i="109"/>
  <c r="M316" i="109"/>
  <c r="K316" i="109"/>
  <c r="I316" i="109"/>
  <c r="N314" i="109"/>
  <c r="L314" i="109"/>
  <c r="J314" i="109"/>
  <c r="H314" i="109"/>
  <c r="N312" i="109"/>
  <c r="L312" i="109"/>
  <c r="J312" i="109"/>
  <c r="H312" i="109"/>
  <c r="O310" i="109"/>
  <c r="M310" i="109"/>
  <c r="K310" i="109"/>
  <c r="I310" i="109"/>
  <c r="N359" i="109"/>
  <c r="N360" i="109"/>
  <c r="L359" i="109"/>
  <c r="L360" i="109"/>
  <c r="J359" i="109"/>
  <c r="J360" i="109"/>
  <c r="H359" i="109"/>
  <c r="H360" i="109"/>
  <c r="O358" i="109"/>
  <c r="M358" i="109"/>
  <c r="K358" i="109"/>
  <c r="I358" i="109"/>
  <c r="N356" i="109"/>
  <c r="L356" i="109"/>
  <c r="J356" i="109"/>
  <c r="H356" i="109"/>
  <c r="O354" i="109"/>
  <c r="M354" i="109"/>
  <c r="K354" i="109"/>
  <c r="I354" i="109"/>
  <c r="O352" i="109"/>
  <c r="M352" i="109"/>
  <c r="K352" i="109"/>
  <c r="I352" i="109"/>
  <c r="N350" i="109"/>
  <c r="L350" i="109"/>
  <c r="J350" i="109"/>
  <c r="H350" i="109"/>
  <c r="O324" i="109"/>
  <c r="M324" i="109"/>
  <c r="K324" i="109"/>
  <c r="I324" i="109"/>
  <c r="N322" i="109"/>
  <c r="L322" i="109"/>
  <c r="J322" i="109"/>
  <c r="H322" i="109"/>
  <c r="N319" i="109"/>
  <c r="N320" i="109"/>
  <c r="L319" i="109"/>
  <c r="L320" i="109"/>
  <c r="J319" i="109"/>
  <c r="J320" i="109"/>
  <c r="H319" i="109"/>
  <c r="H320" i="109"/>
  <c r="O318" i="109"/>
  <c r="M318" i="109"/>
  <c r="K318" i="109"/>
  <c r="I318" i="109"/>
  <c r="N316" i="109"/>
  <c r="L316" i="109"/>
  <c r="J316" i="109"/>
  <c r="H316" i="109"/>
  <c r="O314" i="109"/>
  <c r="M314" i="109"/>
  <c r="K314" i="109"/>
  <c r="I314" i="109"/>
  <c r="O312" i="109"/>
  <c r="M312" i="109"/>
  <c r="K312" i="109"/>
  <c r="I312" i="109"/>
  <c r="N310" i="109"/>
  <c r="L310" i="109"/>
  <c r="J310" i="109"/>
  <c r="H310" i="109"/>
  <c r="E53" i="6"/>
  <c r="F23" i="6"/>
  <c r="F22" i="6"/>
  <c r="F50" i="6"/>
  <c r="E21" i="6"/>
  <c r="F21" i="6"/>
  <c r="L233" i="109"/>
  <c r="L825" i="109"/>
  <c r="L234" i="109"/>
  <c r="L753" i="109"/>
  <c r="F17" i="6"/>
  <c r="F53" i="6"/>
  <c r="F51" i="6"/>
  <c r="F34" i="6"/>
  <c r="E60" i="6"/>
  <c r="F16" i="6"/>
  <c r="F11" i="12"/>
  <c r="D86" i="12"/>
  <c r="G86" i="12"/>
  <c r="G21" i="13"/>
  <c r="C24" i="12"/>
  <c r="C25" i="12"/>
  <c r="C23" i="12"/>
  <c r="C26" i="12"/>
  <c r="C22" i="12"/>
  <c r="C21" i="12"/>
  <c r="F6" i="35"/>
  <c r="G6" i="35"/>
  <c r="F7" i="35"/>
  <c r="G7" i="35"/>
  <c r="E24" i="6"/>
  <c r="C11" i="12"/>
  <c r="C9" i="12"/>
  <c r="C16" i="12"/>
  <c r="C14" i="12"/>
  <c r="C10" i="12"/>
  <c r="C15" i="12"/>
  <c r="I579" i="109"/>
  <c r="I809" i="109"/>
  <c r="G795" i="109"/>
  <c r="H810" i="109"/>
  <c r="J805" i="109"/>
  <c r="N71" i="109"/>
  <c r="F8" i="35"/>
  <c r="G8" i="35"/>
  <c r="E9" i="35"/>
  <c r="N113" i="109"/>
  <c r="F351" i="109"/>
  <c r="F352" i="109"/>
  <c r="G352" i="109"/>
  <c r="F357" i="109"/>
  <c r="F358" i="109"/>
  <c r="G358" i="109"/>
  <c r="F349" i="109"/>
  <c r="F350" i="109"/>
  <c r="G350" i="109"/>
  <c r="F359" i="109"/>
  <c r="F360" i="109"/>
  <c r="G360" i="109"/>
  <c r="F353" i="109"/>
  <c r="F354" i="109"/>
  <c r="G354" i="109"/>
  <c r="F355" i="109"/>
  <c r="F356" i="109"/>
  <c r="G356" i="109"/>
  <c r="F363" i="109"/>
  <c r="F364" i="109"/>
  <c r="G364" i="109"/>
  <c r="F361" i="109"/>
  <c r="F362" i="109"/>
  <c r="G362" i="109"/>
  <c r="F313" i="109"/>
  <c r="F314" i="109"/>
  <c r="G314" i="109"/>
  <c r="F323" i="109"/>
  <c r="F324" i="109"/>
  <c r="G324" i="109"/>
  <c r="F309" i="109"/>
  <c r="F310" i="109"/>
  <c r="G310" i="109"/>
  <c r="F319" i="109"/>
  <c r="F320" i="109"/>
  <c r="G320" i="109"/>
  <c r="F311" i="109"/>
  <c r="F312" i="109"/>
  <c r="G312" i="109"/>
  <c r="F317" i="109"/>
  <c r="F318" i="109"/>
  <c r="G318" i="109"/>
  <c r="F315" i="109"/>
  <c r="F316" i="109"/>
  <c r="G316" i="109"/>
  <c r="F321" i="109"/>
  <c r="F322" i="109"/>
  <c r="G322" i="109"/>
  <c r="O794" i="109"/>
  <c r="F59" i="109"/>
  <c r="G59" i="109"/>
  <c r="H59" i="109"/>
  <c r="I59" i="109"/>
  <c r="J59" i="109"/>
  <c r="K59" i="109"/>
  <c r="L59" i="109"/>
  <c r="M59" i="109"/>
  <c r="N59" i="109"/>
  <c r="O59" i="109"/>
  <c r="L52" i="109"/>
  <c r="H52" i="109"/>
  <c r="N51" i="109"/>
  <c r="J51" i="109"/>
  <c r="F51" i="109"/>
  <c r="L50" i="109"/>
  <c r="H50" i="109"/>
  <c r="N49" i="109"/>
  <c r="N52" i="109"/>
  <c r="N53" i="109"/>
  <c r="J49" i="109"/>
  <c r="F49" i="109"/>
  <c r="F58" i="109"/>
  <c r="M52" i="109"/>
  <c r="I52" i="109"/>
  <c r="O51" i="109"/>
  <c r="K51" i="109"/>
  <c r="G51" i="109"/>
  <c r="M50" i="109"/>
  <c r="I50" i="109"/>
  <c r="O49" i="109"/>
  <c r="K49" i="109"/>
  <c r="G49" i="109"/>
  <c r="F61" i="109"/>
  <c r="G61" i="109"/>
  <c r="H61" i="109"/>
  <c r="I61" i="109"/>
  <c r="J61" i="109"/>
  <c r="K61" i="109"/>
  <c r="L61" i="109"/>
  <c r="M61" i="109"/>
  <c r="N61" i="109"/>
  <c r="O61" i="109"/>
  <c r="J52" i="109"/>
  <c r="F52" i="109"/>
  <c r="L51" i="109"/>
  <c r="H51" i="109"/>
  <c r="N50" i="109"/>
  <c r="J50" i="109"/>
  <c r="F50" i="109"/>
  <c r="L49" i="109"/>
  <c r="H49" i="109"/>
  <c r="F60" i="109"/>
  <c r="G60" i="109"/>
  <c r="H60" i="109"/>
  <c r="I60" i="109"/>
  <c r="J60" i="109"/>
  <c r="K60" i="109"/>
  <c r="L60" i="109"/>
  <c r="M60" i="109"/>
  <c r="N60" i="109"/>
  <c r="O60" i="109"/>
  <c r="O52" i="109"/>
  <c r="K52" i="109"/>
  <c r="G52" i="109"/>
  <c r="M51" i="109"/>
  <c r="I51" i="109"/>
  <c r="O50" i="109"/>
  <c r="K50" i="109"/>
  <c r="G50" i="109"/>
  <c r="M49" i="109"/>
  <c r="I49" i="109"/>
  <c r="L53" i="109"/>
  <c r="I5" i="9"/>
  <c r="F9" i="12"/>
  <c r="F8" i="12"/>
  <c r="O304" i="109"/>
  <c r="M304" i="109"/>
  <c r="K304" i="109"/>
  <c r="I304" i="109"/>
  <c r="N302" i="109"/>
  <c r="L302" i="109"/>
  <c r="J302" i="109"/>
  <c r="H302" i="109"/>
  <c r="N300" i="109"/>
  <c r="L300" i="109"/>
  <c r="J300" i="109"/>
  <c r="H300" i="109"/>
  <c r="O298" i="109"/>
  <c r="M298" i="109"/>
  <c r="K298" i="109"/>
  <c r="I298" i="109"/>
  <c r="N296" i="109"/>
  <c r="L296" i="109"/>
  <c r="J296" i="109"/>
  <c r="H296" i="109"/>
  <c r="O294" i="109"/>
  <c r="M294" i="109"/>
  <c r="K294" i="109"/>
  <c r="I294" i="109"/>
  <c r="N290" i="109"/>
  <c r="L290" i="109"/>
  <c r="J290" i="109"/>
  <c r="H290" i="109"/>
  <c r="N344" i="109"/>
  <c r="L344" i="109"/>
  <c r="J344" i="109"/>
  <c r="H344" i="109"/>
  <c r="O341" i="109"/>
  <c r="O342" i="109"/>
  <c r="M341" i="109"/>
  <c r="M342" i="109"/>
  <c r="K341" i="109"/>
  <c r="K342" i="109"/>
  <c r="I341" i="109"/>
  <c r="I342" i="109"/>
  <c r="G341" i="109"/>
  <c r="O339" i="109"/>
  <c r="O340" i="109"/>
  <c r="M339" i="109"/>
  <c r="M340" i="109"/>
  <c r="K339" i="109"/>
  <c r="K340" i="109"/>
  <c r="I339" i="109"/>
  <c r="I340" i="109"/>
  <c r="G339" i="109"/>
  <c r="N337" i="109"/>
  <c r="N338" i="109"/>
  <c r="L337" i="109"/>
  <c r="L338" i="109"/>
  <c r="J337" i="109"/>
  <c r="J338" i="109"/>
  <c r="H337" i="109"/>
  <c r="H338" i="109"/>
  <c r="O336" i="109"/>
  <c r="M336" i="109"/>
  <c r="K336" i="109"/>
  <c r="I336" i="109"/>
  <c r="N334" i="109"/>
  <c r="L334" i="109"/>
  <c r="H334" i="109"/>
  <c r="N331" i="109"/>
  <c r="N332" i="109"/>
  <c r="J331" i="109"/>
  <c r="J332" i="109"/>
  <c r="O329" i="109"/>
  <c r="O330" i="109"/>
  <c r="K329" i="109"/>
  <c r="K330" i="109"/>
  <c r="G329" i="109"/>
  <c r="N304" i="109"/>
  <c r="L304" i="109"/>
  <c r="J304" i="109"/>
  <c r="H304" i="109"/>
  <c r="O302" i="109"/>
  <c r="M302" i="109"/>
  <c r="K302" i="109"/>
  <c r="I302" i="109"/>
  <c r="O300" i="109"/>
  <c r="M300" i="109"/>
  <c r="K300" i="109"/>
  <c r="I300" i="109"/>
  <c r="N298" i="109"/>
  <c r="L298" i="109"/>
  <c r="J298" i="109"/>
  <c r="H298" i="109"/>
  <c r="O296" i="109"/>
  <c r="M296" i="109"/>
  <c r="K296" i="109"/>
  <c r="I296" i="109"/>
  <c r="N294" i="109"/>
  <c r="L294" i="109"/>
  <c r="J294" i="109"/>
  <c r="H294" i="109"/>
  <c r="O290" i="109"/>
  <c r="M290" i="109"/>
  <c r="K290" i="109"/>
  <c r="I290" i="109"/>
  <c r="O344" i="109"/>
  <c r="M344" i="109"/>
  <c r="K344" i="109"/>
  <c r="I344" i="109"/>
  <c r="N341" i="109"/>
  <c r="N342" i="109"/>
  <c r="L341" i="109"/>
  <c r="L342" i="109"/>
  <c r="J341" i="109"/>
  <c r="J342" i="109"/>
  <c r="H341" i="109"/>
  <c r="H342" i="109"/>
  <c r="N339" i="109"/>
  <c r="N340" i="109"/>
  <c r="L339" i="109"/>
  <c r="L340" i="109"/>
  <c r="J339" i="109"/>
  <c r="J340" i="109"/>
  <c r="H339" i="109"/>
  <c r="H340" i="109"/>
  <c r="O337" i="109"/>
  <c r="O338" i="109"/>
  <c r="M337" i="109"/>
  <c r="M338" i="109"/>
  <c r="K337" i="109"/>
  <c r="K338" i="109"/>
  <c r="I337" i="109"/>
  <c r="I338" i="109"/>
  <c r="G337" i="109"/>
  <c r="N336" i="109"/>
  <c r="L336" i="109"/>
  <c r="J336" i="109"/>
  <c r="H336" i="109"/>
  <c r="O334" i="109"/>
  <c r="M334" i="109"/>
  <c r="K334" i="109"/>
  <c r="I334" i="109"/>
  <c r="O331" i="109"/>
  <c r="O332" i="109"/>
  <c r="M331" i="109"/>
  <c r="M332" i="109"/>
  <c r="K331" i="109"/>
  <c r="K332" i="109"/>
  <c r="I331" i="109"/>
  <c r="I332" i="109"/>
  <c r="G331" i="109"/>
  <c r="N329" i="109"/>
  <c r="N330" i="109"/>
  <c r="L329" i="109"/>
  <c r="L330" i="109"/>
  <c r="J329" i="109"/>
  <c r="J330" i="109"/>
  <c r="H329" i="109"/>
  <c r="H330" i="109"/>
  <c r="J334" i="109"/>
  <c r="L331" i="109"/>
  <c r="L332" i="109"/>
  <c r="H331" i="109"/>
  <c r="H332" i="109"/>
  <c r="M329" i="109"/>
  <c r="M330" i="109"/>
  <c r="I329" i="109"/>
  <c r="I330" i="109"/>
  <c r="K4" i="6"/>
  <c r="E35" i="6"/>
  <c r="F35" i="6"/>
  <c r="E58" i="6"/>
  <c r="F794" i="109"/>
  <c r="G652" i="109"/>
  <c r="G672" i="109"/>
  <c r="E72" i="6"/>
  <c r="E75" i="6"/>
  <c r="E74" i="6"/>
  <c r="E76" i="6"/>
  <c r="F123" i="109"/>
  <c r="I727" i="109"/>
  <c r="G585" i="109"/>
  <c r="O390" i="109"/>
  <c r="O388" i="109"/>
  <c r="O386" i="109"/>
  <c r="G391" i="109"/>
  <c r="G389" i="109"/>
  <c r="G387" i="109"/>
  <c r="O795" i="109"/>
  <c r="O797" i="109"/>
  <c r="K805" i="109"/>
  <c r="F795" i="109"/>
  <c r="M800" i="109"/>
  <c r="I810" i="109"/>
  <c r="K804" i="109"/>
  <c r="M799" i="109"/>
  <c r="F71" i="109"/>
  <c r="M71" i="109"/>
  <c r="G794" i="109"/>
  <c r="G797" i="109"/>
  <c r="L799" i="109"/>
  <c r="L802" i="109"/>
  <c r="H809" i="109"/>
  <c r="N794" i="109"/>
  <c r="N797" i="109"/>
  <c r="J804" i="109"/>
  <c r="J807" i="109"/>
  <c r="K795" i="109"/>
  <c r="K1058" i="109"/>
  <c r="H800" i="109"/>
  <c r="G805" i="109"/>
  <c r="O805" i="109"/>
  <c r="L810" i="109"/>
  <c r="J795" i="109"/>
  <c r="J1058" i="109"/>
  <c r="I800" i="109"/>
  <c r="F805" i="109"/>
  <c r="N805" i="109"/>
  <c r="M810" i="109"/>
  <c r="J71" i="109"/>
  <c r="I71" i="109"/>
  <c r="H694" i="109"/>
  <c r="J579" i="109"/>
  <c r="O865" i="109"/>
  <c r="H865" i="109"/>
  <c r="M53" i="109"/>
  <c r="K53" i="109"/>
  <c r="J53" i="109"/>
  <c r="F1058" i="109"/>
  <c r="F1061" i="109" a="1"/>
  <c r="G1058" i="109"/>
  <c r="I795" i="109"/>
  <c r="I1058" i="109"/>
  <c r="M795" i="109"/>
  <c r="F800" i="109"/>
  <c r="J800" i="109"/>
  <c r="N800" i="109"/>
  <c r="I805" i="109"/>
  <c r="M805" i="109"/>
  <c r="F810" i="109"/>
  <c r="J810" i="109"/>
  <c r="N810" i="109"/>
  <c r="H795" i="109"/>
  <c r="H1058" i="109"/>
  <c r="L795" i="109"/>
  <c r="L1058" i="109"/>
  <c r="G800" i="109"/>
  <c r="K800" i="109"/>
  <c r="O800" i="109"/>
  <c r="H805" i="109"/>
  <c r="L805" i="109"/>
  <c r="G810" i="109"/>
  <c r="K810" i="109"/>
  <c r="O810" i="109"/>
  <c r="K794" i="109"/>
  <c r="K797" i="109"/>
  <c r="H799" i="109"/>
  <c r="G804" i="109"/>
  <c r="G807" i="109"/>
  <c r="O804" i="109"/>
  <c r="L809" i="109"/>
  <c r="L812" i="109"/>
  <c r="J794" i="109"/>
  <c r="I799" i="109"/>
  <c r="F804" i="109"/>
  <c r="F807" i="109"/>
  <c r="N804" i="109"/>
  <c r="M809" i="109"/>
  <c r="M812" i="109"/>
  <c r="H71" i="109"/>
  <c r="L71" i="109"/>
  <c r="G71" i="109"/>
  <c r="K71" i="109"/>
  <c r="O71" i="109"/>
  <c r="E23" i="109"/>
  <c r="F605" i="109"/>
  <c r="O631" i="109"/>
  <c r="K44" i="109"/>
  <c r="G485" i="109"/>
  <c r="G487" i="109"/>
  <c r="F486" i="109"/>
  <c r="G486" i="109"/>
  <c r="F485" i="109"/>
  <c r="F487" i="109"/>
  <c r="H44" i="109"/>
  <c r="G44" i="109"/>
  <c r="O44" i="109"/>
  <c r="L44" i="109"/>
  <c r="H695" i="109"/>
  <c r="H702" i="109"/>
  <c r="D84" i="12"/>
  <c r="N865" i="109"/>
  <c r="F865" i="109"/>
  <c r="F866" i="109" a="1"/>
  <c r="K865" i="109"/>
  <c r="L865" i="109"/>
  <c r="M865" i="109"/>
  <c r="G865" i="109"/>
  <c r="G866" i="109" a="1"/>
  <c r="H53" i="109"/>
  <c r="I53" i="109"/>
  <c r="O53" i="109"/>
  <c r="F53" i="109"/>
  <c r="H652" i="109"/>
  <c r="H660" i="109"/>
  <c r="H655" i="109"/>
  <c r="H663" i="109"/>
  <c r="H658" i="109"/>
  <c r="H653" i="109"/>
  <c r="H661" i="109"/>
  <c r="G653" i="109"/>
  <c r="G661" i="109"/>
  <c r="G660" i="109"/>
  <c r="G659" i="109"/>
  <c r="G654" i="109"/>
  <c r="G662" i="109"/>
  <c r="F601" i="109"/>
  <c r="O627" i="109"/>
  <c r="P627" i="109"/>
  <c r="I627" i="109"/>
  <c r="J627" i="109"/>
  <c r="I794" i="109"/>
  <c r="M794" i="109"/>
  <c r="F799" i="109"/>
  <c r="F802" i="109"/>
  <c r="J799" i="109"/>
  <c r="J802" i="109"/>
  <c r="N799" i="109"/>
  <c r="N802" i="109"/>
  <c r="I804" i="109"/>
  <c r="I807" i="109"/>
  <c r="M804" i="109"/>
  <c r="M807" i="109"/>
  <c r="F809" i="109"/>
  <c r="J809" i="109"/>
  <c r="J812" i="109"/>
  <c r="N809" i="109"/>
  <c r="H794" i="109"/>
  <c r="H797" i="109"/>
  <c r="L794" i="109"/>
  <c r="G799" i="109"/>
  <c r="G802" i="109"/>
  <c r="K799" i="109"/>
  <c r="K802" i="109"/>
  <c r="O799" i="109"/>
  <c r="O802" i="109"/>
  <c r="H804" i="109"/>
  <c r="L804" i="109"/>
  <c r="L807" i="109"/>
  <c r="G809" i="109"/>
  <c r="K809" i="109"/>
  <c r="O809" i="109"/>
  <c r="F113" i="109"/>
  <c r="K113" i="109"/>
  <c r="O113" i="109"/>
  <c r="H113" i="109"/>
  <c r="J113" i="109"/>
  <c r="L113" i="109"/>
  <c r="I44" i="109"/>
  <c r="M44" i="109"/>
  <c r="F44" i="109"/>
  <c r="J44" i="109"/>
  <c r="J240" i="109"/>
  <c r="F239" i="109"/>
  <c r="F665" i="109"/>
  <c r="J665" i="109"/>
  <c r="J1240" i="109"/>
  <c r="F717" i="109"/>
  <c r="G733" i="109"/>
  <c r="F716" i="109"/>
  <c r="K579" i="109"/>
  <c r="E386" i="109"/>
  <c r="H386" i="109"/>
  <c r="I386" i="109"/>
  <c r="J386" i="109"/>
  <c r="K386" i="109"/>
  <c r="L386" i="109"/>
  <c r="M386" i="109"/>
  <c r="N386" i="109"/>
  <c r="K589" i="109"/>
  <c r="G589" i="109"/>
  <c r="G409" i="109"/>
  <c r="G400" i="109"/>
  <c r="K587" i="109"/>
  <c r="G587" i="109"/>
  <c r="G1094" i="109"/>
  <c r="K585" i="109"/>
  <c r="M589" i="109"/>
  <c r="M587" i="109"/>
  <c r="M585" i="109"/>
  <c r="O387" i="109"/>
  <c r="E387" i="109"/>
  <c r="H387" i="109"/>
  <c r="I387" i="109"/>
  <c r="J387" i="109"/>
  <c r="K387" i="109"/>
  <c r="L387" i="109"/>
  <c r="I589" i="109"/>
  <c r="I587" i="109"/>
  <c r="I585" i="109"/>
  <c r="N589" i="109"/>
  <c r="N587" i="109"/>
  <c r="O389" i="109"/>
  <c r="E389" i="109"/>
  <c r="H389" i="109"/>
  <c r="I389" i="109"/>
  <c r="J389" i="109"/>
  <c r="K389" i="109"/>
  <c r="L389" i="109"/>
  <c r="M389" i="109"/>
  <c r="N389" i="109"/>
  <c r="N585" i="109"/>
  <c r="L589" i="109"/>
  <c r="L587" i="109"/>
  <c r="L585" i="109"/>
  <c r="J589" i="109"/>
  <c r="J587" i="109"/>
  <c r="J585" i="109"/>
  <c r="H589" i="109"/>
  <c r="O391" i="109"/>
  <c r="E391" i="109"/>
  <c r="H391" i="109"/>
  <c r="H587" i="109"/>
  <c r="H585" i="109"/>
  <c r="O589" i="109"/>
  <c r="O588" i="109"/>
  <c r="O587" i="109"/>
  <c r="O586" i="109"/>
  <c r="O406" i="109"/>
  <c r="O585" i="109"/>
  <c r="O396" i="109"/>
  <c r="O584" i="109"/>
  <c r="N588" i="109"/>
  <c r="N586" i="109"/>
  <c r="G397" i="109"/>
  <c r="O397" i="109"/>
  <c r="N584" i="109"/>
  <c r="M588" i="109"/>
  <c r="M586" i="109"/>
  <c r="M584" i="109"/>
  <c r="G395" i="109"/>
  <c r="O395" i="109"/>
  <c r="L588" i="109"/>
  <c r="L586" i="109"/>
  <c r="L584" i="109"/>
  <c r="K588" i="109"/>
  <c r="G408" i="109"/>
  <c r="O408" i="109"/>
  <c r="K586" i="109"/>
  <c r="K584" i="109"/>
  <c r="J588" i="109"/>
  <c r="J586" i="109"/>
  <c r="J584" i="109"/>
  <c r="I588" i="109"/>
  <c r="I586" i="109"/>
  <c r="I584" i="109"/>
  <c r="H588" i="109"/>
  <c r="H586" i="109"/>
  <c r="H584" i="109"/>
  <c r="G588" i="109"/>
  <c r="G586" i="109"/>
  <c r="O807" i="109"/>
  <c r="H802" i="109"/>
  <c r="F797" i="109"/>
  <c r="E10" i="35"/>
  <c r="F9" i="35"/>
  <c r="G9" i="35"/>
  <c r="F343" i="109"/>
  <c r="F344" i="109"/>
  <c r="G344" i="109"/>
  <c r="G334" i="109"/>
  <c r="F339" i="109"/>
  <c r="F340" i="109"/>
  <c r="G340" i="109"/>
  <c r="F331" i="109"/>
  <c r="F332" i="109"/>
  <c r="G332" i="109"/>
  <c r="F337" i="109"/>
  <c r="F338" i="109"/>
  <c r="G338" i="109"/>
  <c r="F329" i="109"/>
  <c r="F330" i="109"/>
  <c r="G330" i="109"/>
  <c r="F335" i="109"/>
  <c r="F336" i="109"/>
  <c r="G336" i="109"/>
  <c r="F341" i="109"/>
  <c r="F342" i="109"/>
  <c r="G342" i="109"/>
  <c r="F289" i="109"/>
  <c r="F290" i="109"/>
  <c r="G290" i="109"/>
  <c r="F299" i="109"/>
  <c r="F300" i="109"/>
  <c r="G300" i="109"/>
  <c r="F293" i="109"/>
  <c r="F294" i="109"/>
  <c r="G294" i="109"/>
  <c r="F303" i="109"/>
  <c r="F304" i="109"/>
  <c r="G304" i="109"/>
  <c r="F295" i="109"/>
  <c r="F296" i="109"/>
  <c r="G296" i="109"/>
  <c r="F301" i="109"/>
  <c r="F302" i="109"/>
  <c r="G302" i="109"/>
  <c r="F297" i="109"/>
  <c r="F298" i="109"/>
  <c r="G298" i="109"/>
  <c r="I865" i="109"/>
  <c r="F1069" i="109"/>
  <c r="F1067" i="109"/>
  <c r="F1066" i="109"/>
  <c r="G53" i="109"/>
  <c r="J865" i="109"/>
  <c r="F614" i="109"/>
  <c r="G58" i="109"/>
  <c r="F62" i="109"/>
  <c r="F752" i="109"/>
  <c r="F755" i="109"/>
  <c r="F988" i="109"/>
  <c r="F991" i="109" a="1"/>
  <c r="D83" i="12"/>
  <c r="D75" i="12"/>
  <c r="D78" i="12"/>
  <c r="G8" i="12"/>
  <c r="H8" i="12"/>
  <c r="G9" i="12"/>
  <c r="H9" i="12"/>
  <c r="D79" i="12"/>
  <c r="D76" i="12"/>
  <c r="G388" i="109"/>
  <c r="E388" i="109"/>
  <c r="H388" i="109"/>
  <c r="F416" i="109"/>
  <c r="K1096" i="109"/>
  <c r="G1102" i="109"/>
  <c r="G399" i="109"/>
  <c r="G416" i="109"/>
  <c r="O398" i="109"/>
  <c r="O405" i="109"/>
  <c r="O407" i="109"/>
  <c r="O409" i="109"/>
  <c r="G405" i="109"/>
  <c r="G1112" i="109"/>
  <c r="G407" i="109"/>
  <c r="O547" i="109"/>
  <c r="O543" i="109"/>
  <c r="O539" i="109"/>
  <c r="G548" i="109"/>
  <c r="G544" i="109"/>
  <c r="G396" i="109"/>
  <c r="G1103" i="109"/>
  <c r="G404" i="109"/>
  <c r="G1111" i="109"/>
  <c r="O545" i="109"/>
  <c r="O537" i="109"/>
  <c r="G542" i="109"/>
  <c r="G538" i="109"/>
  <c r="O551" i="109"/>
  <c r="F552" i="109"/>
  <c r="F547" i="109"/>
  <c r="F543" i="109"/>
  <c r="F539" i="109"/>
  <c r="O548" i="109"/>
  <c r="O544" i="109"/>
  <c r="O540" i="109"/>
  <c r="G549" i="109"/>
  <c r="G545" i="109"/>
  <c r="G541" i="109"/>
  <c r="G537" i="109"/>
  <c r="G551" i="109"/>
  <c r="F553" i="109"/>
  <c r="F546" i="109"/>
  <c r="F542" i="109"/>
  <c r="F538" i="109"/>
  <c r="G511" i="109"/>
  <c r="O485" i="109"/>
  <c r="O442" i="109"/>
  <c r="G510" i="109"/>
  <c r="O486" i="109"/>
  <c r="G442" i="109"/>
  <c r="G464" i="109"/>
  <c r="F443" i="109"/>
  <c r="F465" i="109"/>
  <c r="F444" i="109"/>
  <c r="F466" i="109"/>
  <c r="F511" i="109"/>
  <c r="O511" i="109"/>
  <c r="O507" i="109"/>
  <c r="O503" i="109"/>
  <c r="O499" i="109"/>
  <c r="O495" i="109"/>
  <c r="G498" i="109"/>
  <c r="G502" i="109"/>
  <c r="G506" i="109"/>
  <c r="F504" i="109"/>
  <c r="F500" i="109"/>
  <c r="F496" i="109"/>
  <c r="F398" i="109"/>
  <c r="F409" i="109"/>
  <c r="F404" i="109"/>
  <c r="F391" i="109"/>
  <c r="F387" i="109"/>
  <c r="F549" i="109"/>
  <c r="O506" i="109"/>
  <c r="O502" i="109"/>
  <c r="E502" i="109"/>
  <c r="H502" i="109"/>
  <c r="I502" i="109"/>
  <c r="J502" i="109"/>
  <c r="K502" i="109"/>
  <c r="L502" i="109"/>
  <c r="M502" i="109"/>
  <c r="N502" i="109"/>
  <c r="O498" i="109"/>
  <c r="G495" i="109"/>
  <c r="G499" i="109"/>
  <c r="G503" i="109"/>
  <c r="G507" i="109"/>
  <c r="F503" i="109"/>
  <c r="F499" i="109"/>
  <c r="F495" i="109"/>
  <c r="F397" i="109"/>
  <c r="F407" i="109"/>
  <c r="F390" i="109"/>
  <c r="F386" i="109"/>
  <c r="O481" i="109"/>
  <c r="O477" i="109"/>
  <c r="O473" i="109"/>
  <c r="G472" i="109"/>
  <c r="G476" i="109"/>
  <c r="G480" i="109"/>
  <c r="F483" i="109"/>
  <c r="F479" i="109"/>
  <c r="F475" i="109"/>
  <c r="F471" i="109"/>
  <c r="O436" i="109"/>
  <c r="O432" i="109"/>
  <c r="O428" i="109"/>
  <c r="G429" i="109"/>
  <c r="G433" i="109"/>
  <c r="G437" i="109"/>
  <c r="F438" i="109"/>
  <c r="F434" i="109"/>
  <c r="F430" i="109"/>
  <c r="O482" i="109"/>
  <c r="O478" i="109"/>
  <c r="O474" i="109"/>
  <c r="G471" i="109"/>
  <c r="G475" i="109"/>
  <c r="G479" i="109"/>
  <c r="G483" i="109"/>
  <c r="F480" i="109"/>
  <c r="F476" i="109"/>
  <c r="F472" i="109"/>
  <c r="O437" i="109"/>
  <c r="E437" i="109"/>
  <c r="H437" i="109"/>
  <c r="I437" i="109"/>
  <c r="J437" i="109"/>
  <c r="K437" i="109"/>
  <c r="L437" i="109"/>
  <c r="M437" i="109"/>
  <c r="N437" i="109"/>
  <c r="O433" i="109"/>
  <c r="E433" i="109"/>
  <c r="H433" i="109"/>
  <c r="I433" i="109"/>
  <c r="J433" i="109"/>
  <c r="K433" i="109"/>
  <c r="L433" i="109"/>
  <c r="M433" i="109"/>
  <c r="N433" i="109"/>
  <c r="O429" i="109"/>
  <c r="G428" i="109"/>
  <c r="G432" i="109"/>
  <c r="G436" i="109"/>
  <c r="F439" i="109"/>
  <c r="F435" i="109"/>
  <c r="F431" i="109"/>
  <c r="F427" i="109"/>
  <c r="G390" i="109"/>
  <c r="E390" i="109"/>
  <c r="H390" i="109"/>
  <c r="G398" i="109"/>
  <c r="O399" i="109"/>
  <c r="O404" i="109"/>
  <c r="G406" i="109"/>
  <c r="O549" i="109"/>
  <c r="O541" i="109"/>
  <c r="G546" i="109"/>
  <c r="G540" i="109"/>
  <c r="G519" i="109"/>
  <c r="O553" i="109"/>
  <c r="G552" i="109"/>
  <c r="G531" i="109"/>
  <c r="F551" i="109"/>
  <c r="F1147" i="109"/>
  <c r="F545" i="109"/>
  <c r="F524" i="109"/>
  <c r="F541" i="109"/>
  <c r="F520" i="109"/>
  <c r="F537" i="109"/>
  <c r="F516" i="109"/>
  <c r="O546" i="109"/>
  <c r="O542" i="109"/>
  <c r="O538" i="109"/>
  <c r="G547" i="109"/>
  <c r="G543" i="109"/>
  <c r="G539" i="109"/>
  <c r="O552" i="109"/>
  <c r="G553" i="109"/>
  <c r="G532" i="109"/>
  <c r="F548" i="109"/>
  <c r="F544" i="109"/>
  <c r="F540" i="109"/>
  <c r="G509" i="109"/>
  <c r="G1143" i="109"/>
  <c r="O487" i="109"/>
  <c r="O510" i="109"/>
  <c r="E510" i="109"/>
  <c r="H510" i="109"/>
  <c r="I510" i="109"/>
  <c r="J510" i="109"/>
  <c r="K510" i="109"/>
  <c r="L510" i="109"/>
  <c r="M510" i="109"/>
  <c r="N510" i="109"/>
  <c r="F510" i="109"/>
  <c r="O443" i="109"/>
  <c r="G444" i="109"/>
  <c r="O444" i="109"/>
  <c r="G443" i="109"/>
  <c r="F442" i="109"/>
  <c r="O509" i="109"/>
  <c r="F509" i="109"/>
  <c r="O505" i="109"/>
  <c r="O501" i="109"/>
  <c r="O497" i="109"/>
  <c r="G496" i="109"/>
  <c r="G500" i="109"/>
  <c r="G504" i="109"/>
  <c r="F506" i="109"/>
  <c r="F502" i="109"/>
  <c r="F498" i="109"/>
  <c r="F396" i="109"/>
  <c r="F406" i="109"/>
  <c r="F399" i="109"/>
  <c r="F389" i="109"/>
  <c r="F507" i="109"/>
  <c r="O504" i="109"/>
  <c r="O500" i="109"/>
  <c r="O496" i="109"/>
  <c r="G497" i="109"/>
  <c r="G501" i="109"/>
  <c r="G505" i="109"/>
  <c r="F505" i="109"/>
  <c r="F501" i="109"/>
  <c r="F497" i="109"/>
  <c r="F408" i="109"/>
  <c r="F395" i="109"/>
  <c r="F405" i="109"/>
  <c r="F388" i="109"/>
  <c r="O483" i="109"/>
  <c r="O479" i="109"/>
  <c r="O475" i="109"/>
  <c r="O471" i="109"/>
  <c r="G474" i="109"/>
  <c r="G478" i="109"/>
  <c r="G482" i="109"/>
  <c r="F481" i="109"/>
  <c r="F477" i="109"/>
  <c r="F473" i="109"/>
  <c r="O438" i="109"/>
  <c r="O434" i="109"/>
  <c r="O430" i="109"/>
  <c r="G427" i="109"/>
  <c r="G431" i="109"/>
  <c r="G435" i="109"/>
  <c r="G439" i="109"/>
  <c r="F436" i="109"/>
  <c r="F432" i="109"/>
  <c r="F428" i="109"/>
  <c r="O480" i="109"/>
  <c r="O476" i="109"/>
  <c r="O472" i="109"/>
  <c r="G473" i="109"/>
  <c r="G477" i="109"/>
  <c r="G456" i="109"/>
  <c r="G481" i="109"/>
  <c r="F482" i="109"/>
  <c r="F478" i="109"/>
  <c r="F474" i="109"/>
  <c r="F453" i="109"/>
  <c r="O439" i="109"/>
  <c r="O435" i="109"/>
  <c r="O431" i="109"/>
  <c r="O427" i="109"/>
  <c r="G430" i="109"/>
  <c r="G434" i="109"/>
  <c r="G438" i="109"/>
  <c r="F437" i="109"/>
  <c r="F433" i="109"/>
  <c r="F429" i="109"/>
  <c r="F9" i="24"/>
  <c r="F417" i="109"/>
  <c r="G417" i="109"/>
  <c r="F414" i="109"/>
  <c r="D560" i="109"/>
  <c r="D558" i="109"/>
  <c r="G1150" i="109"/>
  <c r="G415" i="109"/>
  <c r="F415" i="109"/>
  <c r="G414" i="109"/>
  <c r="G1116" i="109"/>
  <c r="G465" i="109"/>
  <c r="G466" i="109"/>
  <c r="G1114" i="109"/>
  <c r="F464" i="109"/>
  <c r="I391" i="109"/>
  <c r="J391" i="109"/>
  <c r="M802" i="109"/>
  <c r="K807" i="109"/>
  <c r="F1068" i="109"/>
  <c r="F1072" i="109"/>
  <c r="F1070" i="109"/>
  <c r="F1073" i="109"/>
  <c r="F1064" i="109"/>
  <c r="F1063" i="109"/>
  <c r="F602" i="109"/>
  <c r="O628" i="109"/>
  <c r="O643" i="109"/>
  <c r="P643" i="109"/>
  <c r="F609" i="109"/>
  <c r="O635" i="109"/>
  <c r="F604" i="109"/>
  <c r="O630" i="109"/>
  <c r="F603" i="109"/>
  <c r="O629" i="109"/>
  <c r="F608" i="109"/>
  <c r="O634" i="109"/>
  <c r="F606" i="109"/>
  <c r="O632" i="109"/>
  <c r="F598" i="109"/>
  <c r="O624" i="109"/>
  <c r="F599" i="109"/>
  <c r="O625" i="109"/>
  <c r="F615" i="109"/>
  <c r="F607" i="109"/>
  <c r="O633" i="109"/>
  <c r="F610" i="109"/>
  <c r="O636" i="109"/>
  <c r="P636" i="109"/>
  <c r="I636" i="109"/>
  <c r="J636" i="109"/>
  <c r="F600" i="109"/>
  <c r="O626" i="109"/>
  <c r="P626" i="109"/>
  <c r="I626" i="109"/>
  <c r="J626" i="109"/>
  <c r="K626" i="109"/>
  <c r="F613" i="109"/>
  <c r="O812" i="109"/>
  <c r="G812" i="109"/>
  <c r="H807" i="109"/>
  <c r="L797" i="109"/>
  <c r="N812" i="109"/>
  <c r="F812" i="109"/>
  <c r="M797" i="109"/>
  <c r="H1061" i="109" a="1"/>
  <c r="G1061" i="109" a="1"/>
  <c r="G1073" i="109"/>
  <c r="E486" i="109"/>
  <c r="H486" i="109"/>
  <c r="I486" i="109"/>
  <c r="J486" i="109"/>
  <c r="K486" i="109"/>
  <c r="L486" i="109"/>
  <c r="M486" i="109"/>
  <c r="N486" i="109"/>
  <c r="G1096" i="109"/>
  <c r="F1240" i="109"/>
  <c r="F661" i="109"/>
  <c r="F681" i="109"/>
  <c r="G699" i="109"/>
  <c r="F657" i="109"/>
  <c r="F677" i="109"/>
  <c r="G695" i="109"/>
  <c r="F653" i="109"/>
  <c r="F673" i="109"/>
  <c r="F663" i="109"/>
  <c r="F683" i="109"/>
  <c r="G701" i="109"/>
  <c r="F659" i="109"/>
  <c r="F679" i="109"/>
  <c r="G697" i="109"/>
  <c r="F655" i="109"/>
  <c r="F675" i="109"/>
  <c r="G693" i="109"/>
  <c r="F664" i="109"/>
  <c r="F662" i="109"/>
  <c r="F682" i="109"/>
  <c r="G700" i="109"/>
  <c r="F660" i="109"/>
  <c r="F658" i="109"/>
  <c r="F656" i="109"/>
  <c r="F654" i="109"/>
  <c r="F674" i="109"/>
  <c r="G682" i="109"/>
  <c r="H700" i="109"/>
  <c r="G679" i="109"/>
  <c r="H697" i="109"/>
  <c r="G681" i="109"/>
  <c r="H699" i="109"/>
  <c r="H681" i="109"/>
  <c r="H678" i="109"/>
  <c r="H696" i="109"/>
  <c r="H675" i="109"/>
  <c r="H693" i="109"/>
  <c r="H672" i="109"/>
  <c r="H690" i="109"/>
  <c r="G732" i="109"/>
  <c r="F719" i="109"/>
  <c r="G674" i="109"/>
  <c r="H692" i="109"/>
  <c r="G680" i="109"/>
  <c r="H698" i="109"/>
  <c r="G673" i="109"/>
  <c r="H691" i="109"/>
  <c r="G1138" i="109"/>
  <c r="G1262" i="109"/>
  <c r="H673" i="109"/>
  <c r="H708" i="109"/>
  <c r="H683" i="109"/>
  <c r="H701" i="109"/>
  <c r="H680" i="109"/>
  <c r="G868" i="109"/>
  <c r="G867" i="109"/>
  <c r="G866" i="109"/>
  <c r="F866" i="109"/>
  <c r="F867" i="109"/>
  <c r="F868" i="109"/>
  <c r="F652" i="109"/>
  <c r="G1105" i="109"/>
  <c r="I1094" i="109"/>
  <c r="I1098" i="109"/>
  <c r="I1096" i="109"/>
  <c r="J1096" i="109"/>
  <c r="K1093" i="109"/>
  <c r="O1093" i="109"/>
  <c r="O1111" i="109"/>
  <c r="O1095" i="109"/>
  <c r="O1097" i="109"/>
  <c r="O1106" i="109"/>
  <c r="O1115" i="109"/>
  <c r="I655" i="109"/>
  <c r="G1104" i="109"/>
  <c r="G1113" i="109"/>
  <c r="H1093" i="109"/>
  <c r="J1093" i="109"/>
  <c r="L1093" i="109"/>
  <c r="N1093" i="109"/>
  <c r="O1094" i="109"/>
  <c r="O1112" i="109"/>
  <c r="O1105" i="109"/>
  <c r="O1114" i="109"/>
  <c r="O1098" i="109"/>
  <c r="O1116" i="109"/>
  <c r="O466" i="109"/>
  <c r="E506" i="109"/>
  <c r="H506" i="109"/>
  <c r="I506" i="109"/>
  <c r="J506" i="109"/>
  <c r="K506" i="109"/>
  <c r="L506" i="109"/>
  <c r="M506" i="109"/>
  <c r="N506" i="109"/>
  <c r="E442" i="109"/>
  <c r="H442" i="109"/>
  <c r="I442" i="109"/>
  <c r="J442" i="109"/>
  <c r="K442" i="109"/>
  <c r="L442" i="109"/>
  <c r="M442" i="109"/>
  <c r="N442" i="109"/>
  <c r="E429" i="109"/>
  <c r="H429" i="109"/>
  <c r="I429" i="109"/>
  <c r="J429" i="109"/>
  <c r="K429" i="109"/>
  <c r="L429" i="109"/>
  <c r="M429" i="109"/>
  <c r="N429" i="109"/>
  <c r="O465" i="109"/>
  <c r="E11" i="35"/>
  <c r="F10" i="35"/>
  <c r="G10" i="35"/>
  <c r="M814" i="109"/>
  <c r="G1067" i="109"/>
  <c r="G1128" i="109"/>
  <c r="G1258" i="109"/>
  <c r="O400" i="109"/>
  <c r="F83" i="12"/>
  <c r="F84" i="12"/>
  <c r="E83" i="12"/>
  <c r="E84" i="12"/>
  <c r="F400" i="109"/>
  <c r="O1107" i="109"/>
  <c r="O1096" i="109"/>
  <c r="G1095" i="109"/>
  <c r="O1102" i="109"/>
  <c r="J1094" i="109"/>
  <c r="H1094" i="109"/>
  <c r="L1096" i="109"/>
  <c r="H1096" i="109"/>
  <c r="K1094" i="109"/>
  <c r="G691" i="109"/>
  <c r="G1065" i="109"/>
  <c r="E438" i="109"/>
  <c r="H438" i="109"/>
  <c r="I438" i="109"/>
  <c r="J438" i="109"/>
  <c r="K438" i="109"/>
  <c r="L438" i="109"/>
  <c r="M438" i="109"/>
  <c r="N438" i="109"/>
  <c r="E430" i="109"/>
  <c r="H430" i="109"/>
  <c r="I430" i="109"/>
  <c r="J430" i="109"/>
  <c r="K430" i="109"/>
  <c r="L430" i="109"/>
  <c r="M430" i="109"/>
  <c r="N430" i="109"/>
  <c r="E431" i="109"/>
  <c r="H431" i="109"/>
  <c r="I431" i="109"/>
  <c r="J431" i="109"/>
  <c r="K431" i="109"/>
  <c r="L431" i="109"/>
  <c r="M431" i="109"/>
  <c r="N431" i="109"/>
  <c r="E439" i="109"/>
  <c r="H439" i="109"/>
  <c r="I439" i="109"/>
  <c r="J439" i="109"/>
  <c r="K439" i="109"/>
  <c r="L439" i="109"/>
  <c r="M439" i="109"/>
  <c r="N439" i="109"/>
  <c r="F457" i="109"/>
  <c r="G460" i="109"/>
  <c r="G452" i="109"/>
  <c r="E496" i="109"/>
  <c r="H496" i="109"/>
  <c r="I496" i="109"/>
  <c r="J496" i="109"/>
  <c r="K496" i="109"/>
  <c r="L496" i="109"/>
  <c r="M496" i="109"/>
  <c r="N496" i="109"/>
  <c r="E504" i="109"/>
  <c r="H504" i="109"/>
  <c r="I504" i="109"/>
  <c r="J504" i="109"/>
  <c r="K504" i="109"/>
  <c r="L504" i="109"/>
  <c r="M504" i="109"/>
  <c r="N504" i="109"/>
  <c r="E509" i="109"/>
  <c r="H509" i="109"/>
  <c r="I509" i="109"/>
  <c r="J509" i="109"/>
  <c r="K509" i="109"/>
  <c r="L509" i="109"/>
  <c r="M509" i="109"/>
  <c r="N509" i="109"/>
  <c r="E404" i="109"/>
  <c r="H404" i="109"/>
  <c r="E399" i="109"/>
  <c r="H58" i="109"/>
  <c r="G752" i="109"/>
  <c r="G755" i="109"/>
  <c r="G988" i="109"/>
  <c r="G991" i="109" a="1"/>
  <c r="G62" i="109"/>
  <c r="F79" i="12"/>
  <c r="F76" i="12"/>
  <c r="F75" i="12"/>
  <c r="F78" i="12"/>
  <c r="E76" i="12"/>
  <c r="G76" i="12"/>
  <c r="E79" i="12"/>
  <c r="E75" i="12"/>
  <c r="E78" i="12"/>
  <c r="G79" i="12"/>
  <c r="G708" i="109"/>
  <c r="H709" i="109"/>
  <c r="H1150" i="109"/>
  <c r="E511" i="109"/>
  <c r="H511" i="109"/>
  <c r="I511" i="109"/>
  <c r="J511" i="109"/>
  <c r="K511" i="109"/>
  <c r="L511" i="109"/>
  <c r="M511" i="109"/>
  <c r="N511" i="109"/>
  <c r="E434" i="109"/>
  <c r="H434" i="109"/>
  <c r="I434" i="109"/>
  <c r="J434" i="109"/>
  <c r="K434" i="109"/>
  <c r="L434" i="109"/>
  <c r="M434" i="109"/>
  <c r="N434" i="109"/>
  <c r="F452" i="109"/>
  <c r="F460" i="109"/>
  <c r="G457" i="109"/>
  <c r="E497" i="109"/>
  <c r="H497" i="109"/>
  <c r="I497" i="109"/>
  <c r="J497" i="109"/>
  <c r="K497" i="109"/>
  <c r="L497" i="109"/>
  <c r="M497" i="109"/>
  <c r="N497" i="109"/>
  <c r="E505" i="109"/>
  <c r="F530" i="109"/>
  <c r="G525" i="109"/>
  <c r="F458" i="109"/>
  <c r="G459" i="109"/>
  <c r="G451" i="109"/>
  <c r="E465" i="109"/>
  <c r="H465" i="109"/>
  <c r="I465" i="109"/>
  <c r="J465" i="109"/>
  <c r="K465" i="109"/>
  <c r="L465" i="109"/>
  <c r="M465" i="109"/>
  <c r="N465" i="109"/>
  <c r="G520" i="109"/>
  <c r="G528" i="109"/>
  <c r="E409" i="109"/>
  <c r="H409" i="109"/>
  <c r="H1116" i="109"/>
  <c r="E405" i="109"/>
  <c r="H405" i="109"/>
  <c r="G1152" i="109"/>
  <c r="G1151" i="109"/>
  <c r="D559" i="109"/>
  <c r="O455" i="109"/>
  <c r="E476" i="109"/>
  <c r="H476" i="109"/>
  <c r="I476" i="109"/>
  <c r="J476" i="109"/>
  <c r="K476" i="109"/>
  <c r="L476" i="109"/>
  <c r="M476" i="109"/>
  <c r="N476" i="109"/>
  <c r="E471" i="109"/>
  <c r="H471" i="109"/>
  <c r="I471" i="109"/>
  <c r="J471" i="109"/>
  <c r="K471" i="109"/>
  <c r="L471" i="109"/>
  <c r="M471" i="109"/>
  <c r="N471" i="109"/>
  <c r="O450" i="109"/>
  <c r="E479" i="109"/>
  <c r="H479" i="109"/>
  <c r="I479" i="109"/>
  <c r="J479" i="109"/>
  <c r="K479" i="109"/>
  <c r="L479" i="109"/>
  <c r="M479" i="109"/>
  <c r="N479" i="109"/>
  <c r="O458" i="109"/>
  <c r="E466" i="109"/>
  <c r="H466" i="109"/>
  <c r="I466" i="109"/>
  <c r="J466" i="109"/>
  <c r="K466" i="109"/>
  <c r="L466" i="109"/>
  <c r="M466" i="109"/>
  <c r="N466" i="109"/>
  <c r="E487" i="109"/>
  <c r="H487" i="109"/>
  <c r="I487" i="109"/>
  <c r="J487" i="109"/>
  <c r="K487" i="109"/>
  <c r="L487" i="109"/>
  <c r="M487" i="109"/>
  <c r="N487" i="109"/>
  <c r="O531" i="109"/>
  <c r="E552" i="109"/>
  <c r="H552" i="109"/>
  <c r="I552" i="109"/>
  <c r="J552" i="109"/>
  <c r="K552" i="109"/>
  <c r="L552" i="109"/>
  <c r="M552" i="109"/>
  <c r="N552" i="109"/>
  <c r="E538" i="109"/>
  <c r="H538" i="109"/>
  <c r="I538" i="109"/>
  <c r="J538" i="109"/>
  <c r="K538" i="109"/>
  <c r="L538" i="109"/>
  <c r="M538" i="109"/>
  <c r="N538" i="109"/>
  <c r="O517" i="109"/>
  <c r="E546" i="109"/>
  <c r="H546" i="109"/>
  <c r="I546" i="109"/>
  <c r="J546" i="109"/>
  <c r="K546" i="109"/>
  <c r="L546" i="109"/>
  <c r="M546" i="109"/>
  <c r="N546" i="109"/>
  <c r="O525" i="109"/>
  <c r="E525" i="109"/>
  <c r="E553" i="109"/>
  <c r="H553" i="109"/>
  <c r="I553" i="109"/>
  <c r="J553" i="109"/>
  <c r="K553" i="109"/>
  <c r="L553" i="109"/>
  <c r="M553" i="109"/>
  <c r="N553" i="109"/>
  <c r="O532" i="109"/>
  <c r="E532" i="109"/>
  <c r="E549" i="109"/>
  <c r="H549" i="109"/>
  <c r="I549" i="109"/>
  <c r="J549" i="109"/>
  <c r="K549" i="109"/>
  <c r="L549" i="109"/>
  <c r="M549" i="109"/>
  <c r="N549" i="109"/>
  <c r="O528" i="109"/>
  <c r="E528" i="109"/>
  <c r="H528" i="109"/>
  <c r="I528" i="109"/>
  <c r="J528" i="109"/>
  <c r="K528" i="109"/>
  <c r="L528" i="109"/>
  <c r="M528" i="109"/>
  <c r="N528" i="109"/>
  <c r="O453" i="109"/>
  <c r="E474" i="109"/>
  <c r="H474" i="109"/>
  <c r="I474" i="109"/>
  <c r="J474" i="109"/>
  <c r="K474" i="109"/>
  <c r="L474" i="109"/>
  <c r="M474" i="109"/>
  <c r="N474" i="109"/>
  <c r="O461" i="109"/>
  <c r="E482" i="109"/>
  <c r="H482" i="109"/>
  <c r="I482" i="109"/>
  <c r="J482" i="109"/>
  <c r="K482" i="109"/>
  <c r="L482" i="109"/>
  <c r="M482" i="109"/>
  <c r="N482" i="109"/>
  <c r="F1137" i="109"/>
  <c r="F1261" i="109"/>
  <c r="F450" i="109"/>
  <c r="E477" i="109"/>
  <c r="H477" i="109"/>
  <c r="I477" i="109"/>
  <c r="J477" i="109"/>
  <c r="K477" i="109"/>
  <c r="L477" i="109"/>
  <c r="M477" i="109"/>
  <c r="N477" i="109"/>
  <c r="O456" i="109"/>
  <c r="E485" i="109"/>
  <c r="H485" i="109"/>
  <c r="I485" i="109"/>
  <c r="J485" i="109"/>
  <c r="K485" i="109"/>
  <c r="L485" i="109"/>
  <c r="M485" i="109"/>
  <c r="N485" i="109"/>
  <c r="G530" i="109"/>
  <c r="G1147" i="109"/>
  <c r="O523" i="109"/>
  <c r="E544" i="109"/>
  <c r="H544" i="109"/>
  <c r="I544" i="109"/>
  <c r="J544" i="109"/>
  <c r="K544" i="109"/>
  <c r="L544" i="109"/>
  <c r="M544" i="109"/>
  <c r="N544" i="109"/>
  <c r="E551" i="109"/>
  <c r="H551" i="109"/>
  <c r="I551" i="109"/>
  <c r="J551" i="109"/>
  <c r="K551" i="109"/>
  <c r="L551" i="109"/>
  <c r="M551" i="109"/>
  <c r="N551" i="109"/>
  <c r="O530" i="109"/>
  <c r="E545" i="109"/>
  <c r="H545" i="109"/>
  <c r="I545" i="109"/>
  <c r="J545" i="109"/>
  <c r="K545" i="109"/>
  <c r="L545" i="109"/>
  <c r="M545" i="109"/>
  <c r="N545" i="109"/>
  <c r="O524" i="109"/>
  <c r="E539" i="109"/>
  <c r="H539" i="109"/>
  <c r="I539" i="109"/>
  <c r="J539" i="109"/>
  <c r="K539" i="109"/>
  <c r="L539" i="109"/>
  <c r="M539" i="109"/>
  <c r="N539" i="109"/>
  <c r="O518" i="109"/>
  <c r="E547" i="109"/>
  <c r="H547" i="109"/>
  <c r="I547" i="109"/>
  <c r="J547" i="109"/>
  <c r="K547" i="109"/>
  <c r="L547" i="109"/>
  <c r="M547" i="109"/>
  <c r="N547" i="109"/>
  <c r="O526" i="109"/>
  <c r="F1122" i="109"/>
  <c r="K1122" i="109"/>
  <c r="J1122" i="109"/>
  <c r="I1122" i="109"/>
  <c r="F519" i="109"/>
  <c r="F527" i="109"/>
  <c r="G522" i="109"/>
  <c r="F455" i="109"/>
  <c r="G462" i="109"/>
  <c r="G454" i="109"/>
  <c r="E432" i="109"/>
  <c r="H432" i="109"/>
  <c r="I432" i="109"/>
  <c r="J432" i="109"/>
  <c r="K432" i="109"/>
  <c r="L432" i="109"/>
  <c r="M432" i="109"/>
  <c r="N432" i="109"/>
  <c r="F528" i="109"/>
  <c r="E495" i="109"/>
  <c r="H495" i="109"/>
  <c r="E503" i="109"/>
  <c r="H503" i="109"/>
  <c r="I503" i="109"/>
  <c r="J503" i="109"/>
  <c r="K503" i="109"/>
  <c r="L503" i="109"/>
  <c r="M503" i="109"/>
  <c r="N503" i="109"/>
  <c r="F517" i="109"/>
  <c r="F525" i="109"/>
  <c r="F518" i="109"/>
  <c r="F526" i="109"/>
  <c r="G521" i="109"/>
  <c r="G523" i="109"/>
  <c r="E398" i="109"/>
  <c r="H398" i="109"/>
  <c r="O451" i="109"/>
  <c r="E451" i="109"/>
  <c r="H451" i="109"/>
  <c r="E472" i="109"/>
  <c r="H472" i="109"/>
  <c r="O459" i="109"/>
  <c r="E459" i="109"/>
  <c r="H459" i="109"/>
  <c r="I459" i="109"/>
  <c r="J459" i="109"/>
  <c r="K459" i="109"/>
  <c r="L459" i="109"/>
  <c r="M459" i="109"/>
  <c r="N459" i="109"/>
  <c r="E480" i="109"/>
  <c r="H480" i="109"/>
  <c r="I480" i="109"/>
  <c r="J480" i="109"/>
  <c r="K480" i="109"/>
  <c r="L480" i="109"/>
  <c r="M480" i="109"/>
  <c r="N480" i="109"/>
  <c r="E475" i="109"/>
  <c r="H475" i="109"/>
  <c r="I475" i="109"/>
  <c r="J475" i="109"/>
  <c r="K475" i="109"/>
  <c r="L475" i="109"/>
  <c r="M475" i="109"/>
  <c r="N475" i="109"/>
  <c r="O454" i="109"/>
  <c r="E454" i="109"/>
  <c r="H454" i="109"/>
  <c r="I454" i="109"/>
  <c r="J454" i="109"/>
  <c r="K454" i="109"/>
  <c r="L454" i="109"/>
  <c r="M454" i="109"/>
  <c r="N454" i="109"/>
  <c r="E483" i="109"/>
  <c r="H483" i="109"/>
  <c r="I483" i="109"/>
  <c r="J483" i="109"/>
  <c r="K483" i="109"/>
  <c r="L483" i="109"/>
  <c r="M483" i="109"/>
  <c r="N483" i="109"/>
  <c r="O462" i="109"/>
  <c r="E462" i="109"/>
  <c r="H462" i="109"/>
  <c r="I462" i="109"/>
  <c r="J462" i="109"/>
  <c r="K462" i="109"/>
  <c r="L462" i="109"/>
  <c r="M462" i="109"/>
  <c r="N462" i="109"/>
  <c r="O521" i="109"/>
  <c r="E521" i="109"/>
  <c r="H521" i="109"/>
  <c r="I521" i="109"/>
  <c r="J521" i="109"/>
  <c r="K521" i="109"/>
  <c r="L521" i="109"/>
  <c r="M521" i="109"/>
  <c r="N521" i="109"/>
  <c r="E542" i="109"/>
  <c r="H542" i="109"/>
  <c r="I542" i="109"/>
  <c r="J542" i="109"/>
  <c r="K542" i="109"/>
  <c r="L542" i="109"/>
  <c r="M542" i="109"/>
  <c r="N542" i="109"/>
  <c r="E541" i="109"/>
  <c r="H541" i="109"/>
  <c r="I541" i="109"/>
  <c r="J541" i="109"/>
  <c r="K541" i="109"/>
  <c r="L541" i="109"/>
  <c r="M541" i="109"/>
  <c r="N541" i="109"/>
  <c r="O520" i="109"/>
  <c r="O457" i="109"/>
  <c r="E457" i="109"/>
  <c r="H457" i="109"/>
  <c r="I457" i="109"/>
  <c r="J457" i="109"/>
  <c r="K457" i="109"/>
  <c r="L457" i="109"/>
  <c r="M457" i="109"/>
  <c r="N457" i="109"/>
  <c r="E478" i="109"/>
  <c r="H478" i="109"/>
  <c r="I478" i="109"/>
  <c r="J478" i="109"/>
  <c r="K478" i="109"/>
  <c r="L478" i="109"/>
  <c r="M478" i="109"/>
  <c r="N478" i="109"/>
  <c r="E473" i="109"/>
  <c r="H473" i="109"/>
  <c r="I473" i="109"/>
  <c r="J473" i="109"/>
  <c r="K473" i="109"/>
  <c r="L473" i="109"/>
  <c r="M473" i="109"/>
  <c r="N473" i="109"/>
  <c r="O452" i="109"/>
  <c r="E452" i="109"/>
  <c r="H452" i="109"/>
  <c r="I452" i="109"/>
  <c r="J452" i="109"/>
  <c r="K452" i="109"/>
  <c r="L452" i="109"/>
  <c r="M452" i="109"/>
  <c r="N452" i="109"/>
  <c r="O460" i="109"/>
  <c r="E481" i="109"/>
  <c r="H481" i="109"/>
  <c r="I481" i="109"/>
  <c r="J481" i="109"/>
  <c r="K481" i="109"/>
  <c r="L481" i="109"/>
  <c r="M481" i="109"/>
  <c r="N481" i="109"/>
  <c r="E540" i="109"/>
  <c r="H540" i="109"/>
  <c r="I540" i="109"/>
  <c r="J540" i="109"/>
  <c r="K540" i="109"/>
  <c r="L540" i="109"/>
  <c r="M540" i="109"/>
  <c r="N540" i="109"/>
  <c r="O519" i="109"/>
  <c r="E519" i="109"/>
  <c r="H519" i="109"/>
  <c r="I519" i="109"/>
  <c r="J519" i="109"/>
  <c r="K519" i="109"/>
  <c r="L519" i="109"/>
  <c r="M519" i="109"/>
  <c r="N519" i="109"/>
  <c r="E548" i="109"/>
  <c r="H548" i="109"/>
  <c r="I548" i="109"/>
  <c r="J548" i="109"/>
  <c r="K548" i="109"/>
  <c r="L548" i="109"/>
  <c r="M548" i="109"/>
  <c r="N548" i="109"/>
  <c r="O527" i="109"/>
  <c r="O516" i="109"/>
  <c r="E537" i="109"/>
  <c r="H537" i="109"/>
  <c r="E543" i="109"/>
  <c r="H543" i="109"/>
  <c r="I543" i="109"/>
  <c r="J543" i="109"/>
  <c r="K543" i="109"/>
  <c r="L543" i="109"/>
  <c r="M543" i="109"/>
  <c r="N543" i="109"/>
  <c r="O522" i="109"/>
  <c r="J1120" i="109"/>
  <c r="J1121" i="109"/>
  <c r="K1120" i="109"/>
  <c r="I1120" i="109"/>
  <c r="F1120" i="109"/>
  <c r="E427" i="109"/>
  <c r="H427" i="109"/>
  <c r="E435" i="109"/>
  <c r="H435" i="109"/>
  <c r="I435" i="109"/>
  <c r="J435" i="109"/>
  <c r="K435" i="109"/>
  <c r="L435" i="109"/>
  <c r="M435" i="109"/>
  <c r="N435" i="109"/>
  <c r="F456" i="109"/>
  <c r="G461" i="109"/>
  <c r="G453" i="109"/>
  <c r="H505" i="109"/>
  <c r="I505" i="109"/>
  <c r="J505" i="109"/>
  <c r="K505" i="109"/>
  <c r="L505" i="109"/>
  <c r="M505" i="109"/>
  <c r="N505" i="109"/>
  <c r="E500" i="109"/>
  <c r="H500" i="109"/>
  <c r="I500" i="109"/>
  <c r="J500" i="109"/>
  <c r="K500" i="109"/>
  <c r="L500" i="109"/>
  <c r="M500" i="109"/>
  <c r="N500" i="109"/>
  <c r="E501" i="109"/>
  <c r="H501" i="109"/>
  <c r="I501" i="109"/>
  <c r="J501" i="109"/>
  <c r="K501" i="109"/>
  <c r="L501" i="109"/>
  <c r="M501" i="109"/>
  <c r="N501" i="109"/>
  <c r="E444" i="109"/>
  <c r="H444" i="109"/>
  <c r="I444" i="109"/>
  <c r="J444" i="109"/>
  <c r="K444" i="109"/>
  <c r="L444" i="109"/>
  <c r="M444" i="109"/>
  <c r="N444" i="109"/>
  <c r="E443" i="109"/>
  <c r="H443" i="109"/>
  <c r="I443" i="109"/>
  <c r="J443" i="109"/>
  <c r="K443" i="109"/>
  <c r="L443" i="109"/>
  <c r="M443" i="109"/>
  <c r="N443" i="109"/>
  <c r="F523" i="109"/>
  <c r="H532" i="109"/>
  <c r="I532" i="109"/>
  <c r="J532" i="109"/>
  <c r="K532" i="109"/>
  <c r="L532" i="109"/>
  <c r="M532" i="109"/>
  <c r="N532" i="109"/>
  <c r="G518" i="109"/>
  <c r="G526" i="109"/>
  <c r="E526" i="109"/>
  <c r="F1127" i="109"/>
  <c r="F1257" i="109"/>
  <c r="F451" i="109"/>
  <c r="F459" i="109"/>
  <c r="G458" i="109"/>
  <c r="E458" i="109"/>
  <c r="G450" i="109"/>
  <c r="E428" i="109"/>
  <c r="H428" i="109"/>
  <c r="I428" i="109"/>
  <c r="J428" i="109"/>
  <c r="K428" i="109"/>
  <c r="L428" i="109"/>
  <c r="M428" i="109"/>
  <c r="N428" i="109"/>
  <c r="E436" i="109"/>
  <c r="H436" i="109"/>
  <c r="I436" i="109"/>
  <c r="J436" i="109"/>
  <c r="K436" i="109"/>
  <c r="L436" i="109"/>
  <c r="M436" i="109"/>
  <c r="N436" i="109"/>
  <c r="F454" i="109"/>
  <c r="F462" i="109"/>
  <c r="G455" i="109"/>
  <c r="E499" i="109"/>
  <c r="H499" i="109"/>
  <c r="I499" i="109"/>
  <c r="J499" i="109"/>
  <c r="K499" i="109"/>
  <c r="L499" i="109"/>
  <c r="M499" i="109"/>
  <c r="N499" i="109"/>
  <c r="E507" i="109"/>
  <c r="H507" i="109"/>
  <c r="I507" i="109"/>
  <c r="J507" i="109"/>
  <c r="K507" i="109"/>
  <c r="L507" i="109"/>
  <c r="M507" i="109"/>
  <c r="N507" i="109"/>
  <c r="F521" i="109"/>
  <c r="F532" i="109"/>
  <c r="G516" i="109"/>
  <c r="G524" i="109"/>
  <c r="E524" i="109"/>
  <c r="F522" i="109"/>
  <c r="F531" i="109"/>
  <c r="F1145" i="109"/>
  <c r="G517" i="109"/>
  <c r="E406" i="109"/>
  <c r="H406" i="109"/>
  <c r="I406" i="109"/>
  <c r="I1113" i="109"/>
  <c r="G527" i="109"/>
  <c r="E407" i="109"/>
  <c r="H407" i="109"/>
  <c r="E400" i="109"/>
  <c r="H400" i="109"/>
  <c r="I400" i="109"/>
  <c r="J400" i="109"/>
  <c r="K400" i="109"/>
  <c r="K1107" i="109"/>
  <c r="E396" i="109"/>
  <c r="H396" i="109"/>
  <c r="I396" i="109"/>
  <c r="I1103" i="109"/>
  <c r="H399" i="109"/>
  <c r="I399" i="109"/>
  <c r="J399" i="109"/>
  <c r="K399" i="109"/>
  <c r="K1106" i="109"/>
  <c r="G1071" i="109"/>
  <c r="G1064" i="109"/>
  <c r="G1070" i="109"/>
  <c r="G1066" i="109"/>
  <c r="G1072" i="109"/>
  <c r="G1063" i="109"/>
  <c r="G1062" i="109"/>
  <c r="G1069" i="109"/>
  <c r="G1068" i="109"/>
  <c r="G1061" i="109"/>
  <c r="F814" i="109"/>
  <c r="F822" i="109"/>
  <c r="F824" i="109"/>
  <c r="F826" i="109"/>
  <c r="F828" i="109"/>
  <c r="F833" i="109" a="1"/>
  <c r="O814" i="109"/>
  <c r="O642" i="109"/>
  <c r="O644" i="109"/>
  <c r="H812" i="109"/>
  <c r="H814" i="109"/>
  <c r="H822" i="109"/>
  <c r="H824" i="109"/>
  <c r="H826" i="109"/>
  <c r="H828" i="109"/>
  <c r="H833" i="109" a="1"/>
  <c r="M1096" i="109"/>
  <c r="G685" i="109"/>
  <c r="F1128" i="109"/>
  <c r="F1129" i="109"/>
  <c r="F1138" i="109"/>
  <c r="F672" i="109"/>
  <c r="G690" i="109"/>
  <c r="G878" i="109" a="1"/>
  <c r="G874" i="109" a="1"/>
  <c r="G874" i="109"/>
  <c r="G887" i="109"/>
  <c r="G879" i="109" a="1"/>
  <c r="G880" i="109" a="1"/>
  <c r="G880" i="109"/>
  <c r="G881" i="109" a="1"/>
  <c r="G873" i="109" a="1"/>
  <c r="G873" i="109"/>
  <c r="G886" i="109"/>
  <c r="G985" i="109"/>
  <c r="G876" i="109" a="1"/>
  <c r="G875" i="109" a="1"/>
  <c r="G877" i="109" a="1"/>
  <c r="I664" i="109"/>
  <c r="I702" i="109"/>
  <c r="G735" i="109"/>
  <c r="G1146" i="109"/>
  <c r="G1142" i="109"/>
  <c r="F678" i="109"/>
  <c r="G696" i="109"/>
  <c r="H685" i="109"/>
  <c r="F881" i="109" a="1"/>
  <c r="F881" i="109"/>
  <c r="F894" i="109"/>
  <c r="F880" i="109" a="1"/>
  <c r="F875" i="109" a="1"/>
  <c r="F873" i="109" a="1"/>
  <c r="F876" i="109" a="1"/>
  <c r="F876" i="109"/>
  <c r="F889" i="109"/>
  <c r="F877" i="109" a="1"/>
  <c r="F879" i="109" a="1"/>
  <c r="F879" i="109"/>
  <c r="F878" i="109" a="1"/>
  <c r="F878" i="109"/>
  <c r="F891" i="109"/>
  <c r="F874" i="109" a="1"/>
  <c r="F676" i="109"/>
  <c r="G694" i="109"/>
  <c r="F684" i="109"/>
  <c r="G702" i="109"/>
  <c r="J655" i="109"/>
  <c r="K627" i="109"/>
  <c r="O1099" i="109"/>
  <c r="I693" i="109"/>
  <c r="I675" i="109"/>
  <c r="F11" i="35"/>
  <c r="G11" i="35"/>
  <c r="E12" i="35"/>
  <c r="E13" i="35"/>
  <c r="I404" i="109"/>
  <c r="H1111" i="109"/>
  <c r="I58" i="109"/>
  <c r="J58" i="109"/>
  <c r="K58" i="109"/>
  <c r="L58" i="109"/>
  <c r="M58" i="109"/>
  <c r="N58" i="109"/>
  <c r="H752" i="109"/>
  <c r="H755" i="109"/>
  <c r="H988" i="109"/>
  <c r="H991" i="109" a="1"/>
  <c r="H62" i="109"/>
  <c r="G84" i="12"/>
  <c r="G83" i="12"/>
  <c r="H1152" i="109"/>
  <c r="H1151" i="109"/>
  <c r="I405" i="109"/>
  <c r="I1112" i="109"/>
  <c r="H1112" i="109"/>
  <c r="I409" i="109"/>
  <c r="I1116" i="109"/>
  <c r="E530" i="109"/>
  <c r="H1106" i="109"/>
  <c r="H1107" i="109"/>
  <c r="H1113" i="109"/>
  <c r="H526" i="109"/>
  <c r="I526" i="109"/>
  <c r="J526" i="109"/>
  <c r="K526" i="109"/>
  <c r="L526" i="109"/>
  <c r="M526" i="109"/>
  <c r="N526" i="109"/>
  <c r="E518" i="109"/>
  <c r="H518" i="109"/>
  <c r="I518" i="109"/>
  <c r="J518" i="109"/>
  <c r="K518" i="109"/>
  <c r="L518" i="109"/>
  <c r="M518" i="109"/>
  <c r="N518" i="109"/>
  <c r="H524" i="109"/>
  <c r="I524" i="109"/>
  <c r="J524" i="109"/>
  <c r="K524" i="109"/>
  <c r="L524" i="109"/>
  <c r="M524" i="109"/>
  <c r="N524" i="109"/>
  <c r="H458" i="109"/>
  <c r="I458" i="109"/>
  <c r="J458" i="109"/>
  <c r="K458" i="109"/>
  <c r="L458" i="109"/>
  <c r="M458" i="109"/>
  <c r="N458" i="109"/>
  <c r="H1103" i="109"/>
  <c r="H530" i="109"/>
  <c r="I530" i="109"/>
  <c r="J530" i="109"/>
  <c r="K530" i="109"/>
  <c r="L530" i="109"/>
  <c r="M530" i="109"/>
  <c r="N530" i="109"/>
  <c r="G1133" i="109"/>
  <c r="G1260" i="109"/>
  <c r="E527" i="109"/>
  <c r="H527" i="109"/>
  <c r="I527" i="109"/>
  <c r="J527" i="109"/>
  <c r="K527" i="109"/>
  <c r="L527" i="109"/>
  <c r="M527" i="109"/>
  <c r="N527" i="109"/>
  <c r="I1121" i="109"/>
  <c r="K1121" i="109"/>
  <c r="E523" i="109"/>
  <c r="H523" i="109"/>
  <c r="I523" i="109"/>
  <c r="J523" i="109"/>
  <c r="K523" i="109"/>
  <c r="L523" i="109"/>
  <c r="M523" i="109"/>
  <c r="N523" i="109"/>
  <c r="E461" i="109"/>
  <c r="H461" i="109"/>
  <c r="I461" i="109"/>
  <c r="J461" i="109"/>
  <c r="K461" i="109"/>
  <c r="L461" i="109"/>
  <c r="M461" i="109"/>
  <c r="N461" i="109"/>
  <c r="E455" i="109"/>
  <c r="H455" i="109"/>
  <c r="I455" i="109"/>
  <c r="J455" i="109"/>
  <c r="K455" i="109"/>
  <c r="L455" i="109"/>
  <c r="M455" i="109"/>
  <c r="N455" i="109"/>
  <c r="I797" i="109"/>
  <c r="I812" i="109"/>
  <c r="P642" i="109"/>
  <c r="O645" i="109"/>
  <c r="G814" i="109"/>
  <c r="G822" i="109"/>
  <c r="G824" i="109"/>
  <c r="G826" i="109"/>
  <c r="G828" i="109"/>
  <c r="G833" i="109" a="1"/>
  <c r="I684" i="109"/>
  <c r="F1258" i="109"/>
  <c r="J664" i="109"/>
  <c r="J684" i="109"/>
  <c r="K636" i="109"/>
  <c r="K664" i="109"/>
  <c r="K684" i="109"/>
  <c r="F1139" i="109"/>
  <c r="F1262" i="109"/>
  <c r="J675" i="109"/>
  <c r="J693" i="109"/>
  <c r="F12" i="35"/>
  <c r="G12" i="35"/>
  <c r="J404" i="109"/>
  <c r="K404" i="109"/>
  <c r="I1111" i="109"/>
  <c r="I752" i="109"/>
  <c r="I755" i="109"/>
  <c r="I988" i="109"/>
  <c r="I62" i="109"/>
  <c r="J409" i="109"/>
  <c r="J1116" i="109"/>
  <c r="J396" i="109"/>
  <c r="J406" i="109"/>
  <c r="I1107" i="109"/>
  <c r="I1106" i="109"/>
  <c r="J797" i="109"/>
  <c r="J814" i="109"/>
  <c r="J822" i="109"/>
  <c r="J824" i="109"/>
  <c r="J826" i="109"/>
  <c r="J828" i="109"/>
  <c r="K812" i="109"/>
  <c r="K814" i="109"/>
  <c r="K822" i="109"/>
  <c r="K824" i="109"/>
  <c r="K826" i="109"/>
  <c r="K828" i="109"/>
  <c r="J62" i="109"/>
  <c r="J752" i="109"/>
  <c r="J755" i="109"/>
  <c r="J988" i="109"/>
  <c r="K409" i="109"/>
  <c r="L409" i="109"/>
  <c r="L1116" i="109"/>
  <c r="J1106" i="109"/>
  <c r="J1107" i="109"/>
  <c r="P624" i="109"/>
  <c r="I624" i="109"/>
  <c r="P625" i="109"/>
  <c r="I625" i="109"/>
  <c r="P628" i="109"/>
  <c r="I628" i="109"/>
  <c r="J628" i="109"/>
  <c r="P629" i="109"/>
  <c r="I629" i="109"/>
  <c r="J629" i="109"/>
  <c r="K629" i="109"/>
  <c r="P630" i="109"/>
  <c r="I630" i="109"/>
  <c r="J630" i="109"/>
  <c r="K630" i="109"/>
  <c r="P631" i="109"/>
  <c r="I631" i="109"/>
  <c r="J631" i="109"/>
  <c r="K631" i="109"/>
  <c r="P632" i="109"/>
  <c r="I632" i="109"/>
  <c r="J632" i="109"/>
  <c r="P634" i="109"/>
  <c r="I634" i="109"/>
  <c r="J634" i="109"/>
  <c r="K634" i="109"/>
  <c r="P635" i="109"/>
  <c r="I635" i="109"/>
  <c r="J635" i="109"/>
  <c r="K635" i="109"/>
  <c r="K62" i="109"/>
  <c r="K752" i="109"/>
  <c r="K755" i="109"/>
  <c r="K988" i="109"/>
  <c r="L400" i="109"/>
  <c r="L399" i="109"/>
  <c r="L814" i="109"/>
  <c r="L822" i="109"/>
  <c r="L824" i="109"/>
  <c r="L826" i="109"/>
  <c r="L828" i="109"/>
  <c r="L62" i="109"/>
  <c r="L752" i="109"/>
  <c r="L755" i="109"/>
  <c r="L988" i="109"/>
  <c r="M642" i="109"/>
  <c r="M822" i="109"/>
  <c r="M824" i="109"/>
  <c r="I642" i="109"/>
  <c r="K628" i="109"/>
  <c r="K632" i="109"/>
  <c r="N642" i="109"/>
  <c r="M752" i="109"/>
  <c r="M62" i="109"/>
  <c r="N62" i="109"/>
  <c r="O58" i="109"/>
  <c r="N752" i="109"/>
  <c r="O752" i="109"/>
  <c r="O62" i="109"/>
  <c r="I654" i="109"/>
  <c r="F875" i="109"/>
  <c r="F888" i="109"/>
  <c r="F873" i="109"/>
  <c r="F877" i="109"/>
  <c r="F890" i="109"/>
  <c r="F869" i="109"/>
  <c r="F874" i="109"/>
  <c r="F880" i="109"/>
  <c r="G876" i="109"/>
  <c r="G889" i="109"/>
  <c r="G877" i="109"/>
  <c r="G890" i="109"/>
  <c r="G879" i="109"/>
  <c r="G881" i="109"/>
  <c r="G894" i="109"/>
  <c r="G878" i="109"/>
  <c r="G869" i="109"/>
  <c r="G875" i="109"/>
  <c r="O1104" i="109"/>
  <c r="M1093" i="109"/>
  <c r="I1093" i="109"/>
  <c r="G1097" i="109"/>
  <c r="G1098" i="109"/>
  <c r="G1106" i="109"/>
  <c r="H1066" i="109"/>
  <c r="H1069" i="109"/>
  <c r="H1061" i="109"/>
  <c r="H1068" i="109"/>
  <c r="H1071" i="109"/>
  <c r="H1073" i="109"/>
  <c r="H1072" i="109"/>
  <c r="H1070" i="109"/>
  <c r="H1062" i="109"/>
  <c r="H1064" i="109"/>
  <c r="H1065" i="109"/>
  <c r="H1067" i="109"/>
  <c r="H1063" i="109"/>
  <c r="G888" i="109"/>
  <c r="F886" i="109"/>
  <c r="F985" i="109"/>
  <c r="J654" i="109"/>
  <c r="I652" i="109"/>
  <c r="I690" i="109"/>
  <c r="I674" i="109"/>
  <c r="I692" i="109"/>
  <c r="I672" i="109"/>
  <c r="K654" i="109"/>
  <c r="L626" i="109"/>
  <c r="M626" i="109"/>
  <c r="N626" i="109"/>
  <c r="H1074" i="109"/>
  <c r="O637" i="109"/>
  <c r="K702" i="109"/>
  <c r="L636" i="109"/>
  <c r="J702" i="109"/>
  <c r="I663" i="109"/>
  <c r="I656" i="109"/>
  <c r="I658" i="109"/>
  <c r="G991" i="109"/>
  <c r="G997" i="109"/>
  <c r="G999" i="109"/>
  <c r="G996" i="109"/>
  <c r="G993" i="109"/>
  <c r="G1003" i="109"/>
  <c r="G995" i="109"/>
  <c r="G994" i="109"/>
  <c r="G1002" i="109"/>
  <c r="G992" i="109"/>
  <c r="G1001" i="109"/>
  <c r="G1000" i="109"/>
  <c r="G998" i="109"/>
  <c r="I660" i="109"/>
  <c r="I680" i="109"/>
  <c r="I659" i="109"/>
  <c r="M636" i="109"/>
  <c r="N636" i="109"/>
  <c r="I657" i="109"/>
  <c r="I662" i="109"/>
  <c r="I682" i="109"/>
  <c r="J656" i="109"/>
  <c r="J676" i="109"/>
  <c r="I696" i="109"/>
  <c r="I678" i="109"/>
  <c r="I676" i="109"/>
  <c r="I694" i="109"/>
  <c r="J663" i="109"/>
  <c r="J660" i="109"/>
  <c r="J698" i="109"/>
  <c r="H844" i="109"/>
  <c r="H835" i="109"/>
  <c r="H843" i="109"/>
  <c r="H840" i="109"/>
  <c r="H839" i="109"/>
  <c r="H837" i="109"/>
  <c r="H836" i="109"/>
  <c r="H842" i="109"/>
  <c r="H838" i="109"/>
  <c r="H845" i="109"/>
  <c r="H841" i="109"/>
  <c r="H833" i="109"/>
  <c r="H834" i="109"/>
  <c r="I698" i="109"/>
  <c r="J658" i="109"/>
  <c r="J678" i="109"/>
  <c r="F836" i="109"/>
  <c r="F834" i="109"/>
  <c r="F841" i="109"/>
  <c r="F839" i="109"/>
  <c r="F842" i="109"/>
  <c r="F833" i="109"/>
  <c r="F838" i="109"/>
  <c r="F840" i="109"/>
  <c r="F845" i="109"/>
  <c r="F843" i="109"/>
  <c r="F844" i="109"/>
  <c r="F835" i="109"/>
  <c r="F837" i="109"/>
  <c r="G844" i="109"/>
  <c r="G834" i="109"/>
  <c r="G833" i="109"/>
  <c r="G835" i="109"/>
  <c r="G836" i="109"/>
  <c r="G837" i="109"/>
  <c r="G838" i="109"/>
  <c r="G839" i="109"/>
  <c r="G840" i="109"/>
  <c r="G841" i="109"/>
  <c r="G842" i="109"/>
  <c r="G843" i="109"/>
  <c r="G845" i="109"/>
  <c r="G854" i="109" a="1"/>
  <c r="G854" i="109"/>
  <c r="I679" i="109"/>
  <c r="I697" i="109"/>
  <c r="J659" i="109"/>
  <c r="I695" i="109"/>
  <c r="J662" i="109"/>
  <c r="J682" i="109"/>
  <c r="J657" i="109"/>
  <c r="L635" i="109"/>
  <c r="M635" i="109"/>
  <c r="N635" i="109"/>
  <c r="K663" i="109"/>
  <c r="J683" i="109"/>
  <c r="K701" i="109"/>
  <c r="L628" i="109"/>
  <c r="K656" i="109"/>
  <c r="J694" i="109"/>
  <c r="K658" i="109"/>
  <c r="K678" i="109"/>
  <c r="L630" i="109"/>
  <c r="M630" i="109"/>
  <c r="J696" i="109"/>
  <c r="J680" i="109"/>
  <c r="K660" i="109"/>
  <c r="K698" i="109"/>
  <c r="K680" i="109"/>
  <c r="L632" i="109"/>
  <c r="M632" i="109"/>
  <c r="N632" i="109"/>
  <c r="L631" i="109"/>
  <c r="M631" i="109"/>
  <c r="N631" i="109"/>
  <c r="K659" i="109"/>
  <c r="K679" i="109"/>
  <c r="J677" i="109"/>
  <c r="K657" i="109"/>
  <c r="K677" i="109"/>
  <c r="L629" i="109"/>
  <c r="L634" i="109"/>
  <c r="M634" i="109"/>
  <c r="N634" i="109"/>
  <c r="K662" i="109"/>
  <c r="M628" i="109"/>
  <c r="N628" i="109"/>
  <c r="K683" i="109"/>
  <c r="K676" i="109"/>
  <c r="K696" i="109"/>
  <c r="M629" i="109"/>
  <c r="N630" i="109"/>
  <c r="N629" i="109"/>
  <c r="G851" i="109" a="1"/>
  <c r="G853" i="109" a="1"/>
  <c r="G853" i="109"/>
  <c r="H851" i="109" a="1"/>
  <c r="H851" i="109"/>
  <c r="G856" i="109" a="1"/>
  <c r="G856" i="109"/>
  <c r="G857" i="109" a="1"/>
  <c r="G857" i="109"/>
  <c r="H857" i="109" a="1"/>
  <c r="F856" i="109" a="1"/>
  <c r="F857" i="109" a="1"/>
  <c r="F857" i="109"/>
  <c r="F858" i="109" a="1"/>
  <c r="J679" i="109"/>
  <c r="K697" i="109"/>
  <c r="J643" i="109"/>
  <c r="H643" i="109"/>
  <c r="M643" i="109"/>
  <c r="I643" i="109"/>
  <c r="K643" i="109"/>
  <c r="N643" i="109"/>
  <c r="L643" i="109"/>
  <c r="J625" i="109"/>
  <c r="I653" i="109"/>
  <c r="G1145" i="109"/>
  <c r="E531" i="109"/>
  <c r="H531" i="109"/>
  <c r="I531" i="109"/>
  <c r="J531" i="109"/>
  <c r="K531" i="109"/>
  <c r="L531" i="109"/>
  <c r="M531" i="109"/>
  <c r="N531" i="109"/>
  <c r="O822" i="109"/>
  <c r="O824" i="109"/>
  <c r="O464" i="109"/>
  <c r="E464" i="109"/>
  <c r="H464" i="109"/>
  <c r="I464" i="109"/>
  <c r="J464" i="109"/>
  <c r="K464" i="109"/>
  <c r="L464" i="109"/>
  <c r="M464" i="109"/>
  <c r="N464" i="109"/>
  <c r="G1099" i="109"/>
  <c r="H703" i="109"/>
  <c r="E408" i="109"/>
  <c r="E397" i="109"/>
  <c r="H397" i="109"/>
  <c r="H1098" i="109"/>
  <c r="L190" i="109"/>
  <c r="F31" i="6"/>
  <c r="F637" i="109"/>
  <c r="P282" i="109"/>
  <c r="G579" i="109"/>
  <c r="H579" i="109"/>
  <c r="K674" i="109"/>
  <c r="G692" i="109"/>
  <c r="G850" i="109" a="1"/>
  <c r="G850" i="109"/>
  <c r="G852" i="109" a="1"/>
  <c r="G852" i="109"/>
  <c r="G858" i="109" a="1"/>
  <c r="G855" i="109" a="1"/>
  <c r="G855" i="109"/>
  <c r="F850" i="109" a="1"/>
  <c r="F850" i="109"/>
  <c r="F853" i="109" a="1"/>
  <c r="F855" i="109" a="1"/>
  <c r="F854" i="109" a="1"/>
  <c r="F852" i="109" a="1"/>
  <c r="F851" i="109" a="1"/>
  <c r="F851" i="109"/>
  <c r="I701" i="109"/>
  <c r="I683" i="109"/>
  <c r="J692" i="109"/>
  <c r="J674" i="109"/>
  <c r="K692" i="109"/>
  <c r="H854" i="109" a="1"/>
  <c r="H850" i="109" a="1"/>
  <c r="H850" i="109"/>
  <c r="H858" i="109" a="1"/>
  <c r="H858" i="109"/>
  <c r="H853" i="109" a="1"/>
  <c r="H853" i="109"/>
  <c r="H855" i="109" a="1"/>
  <c r="H855" i="109"/>
  <c r="H852" i="109" a="1"/>
  <c r="H856" i="109" a="1"/>
  <c r="H856" i="109"/>
  <c r="J701" i="109"/>
  <c r="M400" i="109"/>
  <c r="L1107" i="109"/>
  <c r="K700" i="109"/>
  <c r="F887" i="109"/>
  <c r="F882" i="109"/>
  <c r="F1002" i="109"/>
  <c r="F999" i="109"/>
  <c r="F997" i="109"/>
  <c r="F1003" i="109"/>
  <c r="F996" i="109"/>
  <c r="F992" i="109"/>
  <c r="F1001" i="109"/>
  <c r="F1000" i="109"/>
  <c r="F993" i="109"/>
  <c r="F994" i="109"/>
  <c r="F998" i="109"/>
  <c r="F991" i="109"/>
  <c r="K406" i="109"/>
  <c r="J1113" i="109"/>
  <c r="J1103" i="109"/>
  <c r="K396" i="109"/>
  <c r="K1103" i="109"/>
  <c r="L404" i="109"/>
  <c r="M404" i="109"/>
  <c r="K1111" i="109"/>
  <c r="H642" i="109"/>
  <c r="L642" i="109"/>
  <c r="J642" i="109"/>
  <c r="K642" i="109"/>
  <c r="M399" i="109"/>
  <c r="L1106" i="109"/>
  <c r="E516" i="109"/>
  <c r="H516" i="109"/>
  <c r="E517" i="109"/>
  <c r="H517" i="109"/>
  <c r="I517" i="109"/>
  <c r="J517" i="109"/>
  <c r="K517" i="109"/>
  <c r="L517" i="109"/>
  <c r="M517" i="109"/>
  <c r="N517" i="109"/>
  <c r="E450" i="109"/>
  <c r="H450" i="109"/>
  <c r="I450" i="109"/>
  <c r="J450" i="109"/>
  <c r="K450" i="109"/>
  <c r="L450" i="109"/>
  <c r="M450" i="109"/>
  <c r="N450" i="109"/>
  <c r="G78" i="12"/>
  <c r="F680" i="109"/>
  <c r="G698" i="109"/>
  <c r="E456" i="109"/>
  <c r="H456" i="109"/>
  <c r="I456" i="109"/>
  <c r="J456" i="109"/>
  <c r="K456" i="109"/>
  <c r="L456" i="109"/>
  <c r="M456" i="109"/>
  <c r="N456" i="109"/>
  <c r="G75" i="12"/>
  <c r="F461" i="109"/>
  <c r="E453" i="109"/>
  <c r="H453" i="109"/>
  <c r="I453" i="109"/>
  <c r="J453" i="109"/>
  <c r="K453" i="109"/>
  <c r="L453" i="109"/>
  <c r="M453" i="109"/>
  <c r="N453" i="109"/>
  <c r="G1144" i="109"/>
  <c r="E395" i="109"/>
  <c r="G1115" i="109"/>
  <c r="G1117" i="109"/>
  <c r="O1113" i="109"/>
  <c r="O1117" i="109"/>
  <c r="P267" i="109"/>
  <c r="F10" i="12"/>
  <c r="L172" i="109"/>
  <c r="P266" i="109"/>
  <c r="P258" i="109"/>
  <c r="F30" i="6"/>
  <c r="F858" i="109"/>
  <c r="F853" i="109"/>
  <c r="F852" i="109"/>
  <c r="F856" i="109"/>
  <c r="H857" i="109"/>
  <c r="G858" i="109"/>
  <c r="H852" i="109"/>
  <c r="F854" i="109"/>
  <c r="F855" i="109"/>
  <c r="G851" i="109"/>
  <c r="G859" i="109"/>
  <c r="H846" i="109"/>
  <c r="G891" i="109"/>
  <c r="G882" i="109"/>
  <c r="E59" i="6"/>
  <c r="K694" i="109"/>
  <c r="G846" i="109"/>
  <c r="K682" i="109"/>
  <c r="K695" i="109"/>
  <c r="J700" i="109"/>
  <c r="I700" i="109"/>
  <c r="I677" i="109"/>
  <c r="G1004" i="109"/>
  <c r="G893" i="109"/>
  <c r="G895" i="109"/>
  <c r="F893" i="109"/>
  <c r="F895" i="109"/>
  <c r="H1114" i="109"/>
  <c r="I407" i="109"/>
  <c r="H1127" i="109"/>
  <c r="I427" i="109"/>
  <c r="J427" i="109"/>
  <c r="K427" i="109"/>
  <c r="L427" i="109"/>
  <c r="M427" i="109"/>
  <c r="N427" i="109"/>
  <c r="I537" i="109"/>
  <c r="J537" i="109"/>
  <c r="K537" i="109"/>
  <c r="L537" i="109"/>
  <c r="M537" i="109"/>
  <c r="N537" i="109"/>
  <c r="H1138" i="109"/>
  <c r="H1262" i="109"/>
  <c r="I472" i="109"/>
  <c r="J472" i="109"/>
  <c r="K472" i="109"/>
  <c r="L472" i="109"/>
  <c r="M472" i="109"/>
  <c r="N472" i="109"/>
  <c r="H1137" i="109"/>
  <c r="I398" i="109"/>
  <c r="H1105" i="109"/>
  <c r="I495" i="109"/>
  <c r="J495" i="109"/>
  <c r="K495" i="109"/>
  <c r="L495" i="109"/>
  <c r="M495" i="109"/>
  <c r="N495" i="109"/>
  <c r="J624" i="109"/>
  <c r="I516" i="109"/>
  <c r="J516" i="109"/>
  <c r="K516" i="109"/>
  <c r="L516" i="109"/>
  <c r="M516" i="109"/>
  <c r="N516" i="109"/>
  <c r="H992" i="109"/>
  <c r="H1003" i="109"/>
  <c r="H993" i="109"/>
  <c r="H995" i="109"/>
  <c r="H997" i="109"/>
  <c r="H999" i="109"/>
  <c r="H1001" i="109"/>
  <c r="H991" i="109"/>
  <c r="H994" i="109"/>
  <c r="H996" i="109"/>
  <c r="H998" i="109"/>
  <c r="H1000" i="109"/>
  <c r="H1002" i="109"/>
  <c r="I451" i="109"/>
  <c r="J451" i="109"/>
  <c r="K451" i="109"/>
  <c r="L451" i="109"/>
  <c r="M451" i="109"/>
  <c r="N451" i="109"/>
  <c r="H525" i="109"/>
  <c r="I525" i="109"/>
  <c r="J525" i="109"/>
  <c r="K525" i="109"/>
  <c r="L525" i="109"/>
  <c r="M525" i="109"/>
  <c r="N525" i="109"/>
  <c r="K391" i="109"/>
  <c r="J1098" i="109"/>
  <c r="H1097" i="109"/>
  <c r="I390" i="109"/>
  <c r="H1095" i="109"/>
  <c r="I388" i="109"/>
  <c r="M387" i="109"/>
  <c r="N387" i="109"/>
  <c r="N1094" i="109"/>
  <c r="L1094" i="109"/>
  <c r="P275" i="109"/>
  <c r="P271" i="109"/>
  <c r="P265" i="109"/>
  <c r="P259" i="109"/>
  <c r="P255" i="109"/>
  <c r="P260" i="109"/>
  <c r="P284" i="109"/>
  <c r="P276" i="109"/>
  <c r="P264" i="109"/>
  <c r="C8" i="12"/>
  <c r="C17" i="12"/>
  <c r="C18" i="12"/>
  <c r="F48" i="6"/>
  <c r="H1120" i="109"/>
  <c r="H1122" i="109"/>
  <c r="H1121" i="109"/>
  <c r="K625" i="109"/>
  <c r="J653" i="109"/>
  <c r="J673" i="109"/>
  <c r="F859" i="109"/>
  <c r="G1120" i="109"/>
  <c r="G1122" i="109"/>
  <c r="I397" i="109"/>
  <c r="H1104" i="109"/>
  <c r="G1252" i="109"/>
  <c r="G1250" i="109"/>
  <c r="I673" i="109"/>
  <c r="I691" i="109"/>
  <c r="H854" i="109"/>
  <c r="H859" i="109"/>
  <c r="J697" i="109"/>
  <c r="F846" i="109"/>
  <c r="J691" i="109"/>
  <c r="M409" i="109"/>
  <c r="L1111" i="109"/>
  <c r="L396" i="109"/>
  <c r="K1116" i="109"/>
  <c r="J1111" i="109"/>
  <c r="J405" i="109"/>
  <c r="L627" i="109"/>
  <c r="M627" i="109"/>
  <c r="N627" i="109"/>
  <c r="K655" i="109"/>
  <c r="G1132" i="109"/>
  <c r="P644" i="109"/>
  <c r="O866" i="109" a="1"/>
  <c r="N404" i="109"/>
  <c r="N1111" i="109"/>
  <c r="M1111" i="109"/>
  <c r="F13" i="35"/>
  <c r="G13" i="35"/>
  <c r="E14" i="35"/>
  <c r="G1074" i="109"/>
  <c r="F1132" i="109"/>
  <c r="F1133" i="109"/>
  <c r="F1260" i="109"/>
  <c r="P633" i="109"/>
  <c r="I633" i="109"/>
  <c r="E522" i="109"/>
  <c r="H522" i="109"/>
  <c r="I522" i="109"/>
  <c r="J522" i="109"/>
  <c r="K522" i="109"/>
  <c r="L522" i="109"/>
  <c r="M522" i="109"/>
  <c r="N522" i="109"/>
  <c r="E460" i="109"/>
  <c r="H460" i="109"/>
  <c r="E520" i="109"/>
  <c r="H520" i="109"/>
  <c r="I520" i="109"/>
  <c r="J520" i="109"/>
  <c r="K520" i="109"/>
  <c r="L520" i="109"/>
  <c r="M520" i="109"/>
  <c r="N520" i="109"/>
  <c r="F1143" i="109"/>
  <c r="E498" i="109"/>
  <c r="H498" i="109"/>
  <c r="H408" i="109"/>
  <c r="F1061" i="109"/>
  <c r="F1065" i="109"/>
  <c r="F1062" i="109"/>
  <c r="F1071" i="109"/>
  <c r="F995" i="109"/>
  <c r="H395" i="109"/>
  <c r="O1103" i="109"/>
  <c r="O1108" i="109"/>
  <c r="N1096" i="109"/>
  <c r="G1107" i="109"/>
  <c r="G1108" i="109"/>
  <c r="N807" i="109"/>
  <c r="N814" i="109"/>
  <c r="N822" i="109"/>
  <c r="N824" i="109"/>
  <c r="I802" i="109"/>
  <c r="I814" i="109"/>
  <c r="L173" i="109"/>
  <c r="G1077" i="109" a="1"/>
  <c r="G1077" i="109"/>
  <c r="L191" i="109"/>
  <c r="F49" i="6"/>
  <c r="P273" i="109"/>
  <c r="P263" i="109"/>
  <c r="L578" i="109"/>
  <c r="L239" i="109"/>
  <c r="D13" i="35"/>
  <c r="H1133" i="109"/>
  <c r="H1260" i="109"/>
  <c r="J695" i="109"/>
  <c r="H1099" i="109"/>
  <c r="H1250" i="109"/>
  <c r="J388" i="109"/>
  <c r="I1095" i="109"/>
  <c r="J390" i="109"/>
  <c r="I1097" i="109"/>
  <c r="K1098" i="109"/>
  <c r="L391" i="109"/>
  <c r="H1010" i="109" a="1"/>
  <c r="H1010" i="109"/>
  <c r="H1012" i="109" a="1"/>
  <c r="H1012" i="109"/>
  <c r="H1014" i="109" a="1"/>
  <c r="H1014" i="109"/>
  <c r="H1007" i="109" a="1"/>
  <c r="H1007" i="109"/>
  <c r="H1009" i="109" a="1"/>
  <c r="H1009" i="109"/>
  <c r="H1011" i="109" a="1"/>
  <c r="H1011" i="109"/>
  <c r="H1013" i="109" a="1"/>
  <c r="H1013" i="109"/>
  <c r="H1015" i="109" a="1"/>
  <c r="H1015" i="109"/>
  <c r="H1008" i="109" a="1"/>
  <c r="H1008" i="109"/>
  <c r="H1004" i="109"/>
  <c r="K624" i="109"/>
  <c r="J652" i="109"/>
  <c r="I1105" i="109"/>
  <c r="J398" i="109"/>
  <c r="H1139" i="109"/>
  <c r="I1114" i="109"/>
  <c r="J407" i="109"/>
  <c r="F1011" i="109" a="1"/>
  <c r="F1011" i="109"/>
  <c r="G1137" i="109"/>
  <c r="G1127" i="109"/>
  <c r="G703" i="109"/>
  <c r="K1113" i="109"/>
  <c r="L406" i="109"/>
  <c r="F685" i="109"/>
  <c r="M1094" i="109"/>
  <c r="N399" i="109"/>
  <c r="N1106" i="109"/>
  <c r="M1106" i="109"/>
  <c r="N400" i="109"/>
  <c r="N1107" i="109"/>
  <c r="M1107" i="109"/>
  <c r="D85" i="12"/>
  <c r="D80" i="12"/>
  <c r="H10" i="12"/>
  <c r="D77" i="12"/>
  <c r="G10" i="12"/>
  <c r="I822" i="109"/>
  <c r="I824" i="109"/>
  <c r="I826" i="109"/>
  <c r="I828" i="109"/>
  <c r="I833" i="109" a="1"/>
  <c r="D14" i="35"/>
  <c r="M578" i="109"/>
  <c r="M234" i="109"/>
  <c r="M240" i="109"/>
  <c r="M233" i="109"/>
  <c r="M239" i="109"/>
  <c r="M753" i="109"/>
  <c r="M755" i="109"/>
  <c r="M988" i="109"/>
  <c r="M825" i="109"/>
  <c r="G1007" i="109" a="1"/>
  <c r="G1007" i="109"/>
  <c r="G1009" i="109" a="1"/>
  <c r="G1009" i="109"/>
  <c r="G1012" i="109" a="1"/>
  <c r="G1012" i="109"/>
  <c r="G1013" i="109" a="1"/>
  <c r="G1013" i="109"/>
  <c r="G1008" i="109" a="1"/>
  <c r="G1008" i="109"/>
  <c r="G1010" i="109" a="1"/>
  <c r="G1010" i="109"/>
  <c r="G1011" i="109" a="1"/>
  <c r="G1011" i="109"/>
  <c r="G1014" i="109" a="1"/>
  <c r="G1014" i="109"/>
  <c r="G1015" i="109" a="1"/>
  <c r="G1015" i="109"/>
  <c r="I395" i="109"/>
  <c r="H1102" i="109"/>
  <c r="H1108" i="109"/>
  <c r="H1251" i="109"/>
  <c r="I408" i="109"/>
  <c r="H1115" i="109"/>
  <c r="H1117" i="109"/>
  <c r="H1252" i="109"/>
  <c r="I498" i="109"/>
  <c r="J498" i="109"/>
  <c r="K498" i="109"/>
  <c r="L498" i="109"/>
  <c r="M498" i="109"/>
  <c r="N498" i="109"/>
  <c r="H1128" i="109"/>
  <c r="I460" i="109"/>
  <c r="J460" i="109"/>
  <c r="K460" i="109"/>
  <c r="L460" i="109"/>
  <c r="M460" i="109"/>
  <c r="N460" i="109"/>
  <c r="H1132" i="109"/>
  <c r="H1134" i="109"/>
  <c r="I661" i="109"/>
  <c r="J633" i="109"/>
  <c r="I637" i="109"/>
  <c r="I1061" i="109" a="1"/>
  <c r="I991" i="109" a="1"/>
  <c r="F1007" i="109" a="1"/>
  <c r="F1007" i="109"/>
  <c r="F1015" i="109" a="1"/>
  <c r="F1015" i="109"/>
  <c r="G1082" i="109" a="1"/>
  <c r="G1082" i="109"/>
  <c r="G1084" i="109" a="1"/>
  <c r="G1084" i="109"/>
  <c r="E15" i="35"/>
  <c r="F15" i="35"/>
  <c r="G15" i="35"/>
  <c r="F14" i="35"/>
  <c r="G14" i="35"/>
  <c r="O867" i="109"/>
  <c r="O866" i="109"/>
  <c r="O868" i="109"/>
  <c r="G1134" i="109"/>
  <c r="G1259" i="109"/>
  <c r="K693" i="109"/>
  <c r="K675" i="109"/>
  <c r="J1112" i="109"/>
  <c r="K405" i="109"/>
  <c r="M396" i="109"/>
  <c r="L1103" i="109"/>
  <c r="M1116" i="109"/>
  <c r="N409" i="109"/>
  <c r="N1116" i="109"/>
  <c r="L579" i="109"/>
  <c r="L240" i="109"/>
  <c r="L665" i="109"/>
  <c r="G1085" i="109" a="1"/>
  <c r="G1085" i="109"/>
  <c r="G1083" i="109" a="1"/>
  <c r="G1083" i="109"/>
  <c r="G1079" i="109" a="1"/>
  <c r="G1079" i="109"/>
  <c r="G1032" i="109" a="1"/>
  <c r="G1032" i="109"/>
  <c r="G1044" i="109"/>
  <c r="F1031" i="109" a="1"/>
  <c r="F1031" i="109"/>
  <c r="H1031" i="109" a="1"/>
  <c r="H1031" i="109"/>
  <c r="H1032" i="109" a="1"/>
  <c r="H1032" i="109"/>
  <c r="H1044" i="109"/>
  <c r="G1033" i="109" a="1"/>
  <c r="G1033" i="109"/>
  <c r="G1045" i="109"/>
  <c r="G1036" i="109" a="1"/>
  <c r="G1036" i="109"/>
  <c r="G1048" i="109"/>
  <c r="G1037" i="109" a="1"/>
  <c r="G1037" i="109"/>
  <c r="G1049" i="109"/>
  <c r="F1033" i="109" a="1"/>
  <c r="F1033" i="109"/>
  <c r="F1045" i="109"/>
  <c r="F1036" i="109" a="1"/>
  <c r="F1036" i="109"/>
  <c r="F1048" i="109"/>
  <c r="F1037" i="109" a="1"/>
  <c r="F1037" i="109"/>
  <c r="F1049" i="109"/>
  <c r="H1033" i="109" a="1"/>
  <c r="H1033" i="109"/>
  <c r="H1045" i="109"/>
  <c r="H1036" i="109" a="1"/>
  <c r="H1036" i="109"/>
  <c r="H1048" i="109"/>
  <c r="H1037" i="109" a="1"/>
  <c r="H1037" i="109"/>
  <c r="H1049" i="109"/>
  <c r="G1031" i="109" a="1"/>
  <c r="G1031" i="109"/>
  <c r="F1032" i="109" a="1"/>
  <c r="F1032" i="109"/>
  <c r="F1044" i="109"/>
  <c r="H1077" i="109" a="1"/>
  <c r="H1077" i="109"/>
  <c r="H1078" i="109" a="1"/>
  <c r="H1078" i="109"/>
  <c r="G1034" i="109" a="1"/>
  <c r="G1034" i="109"/>
  <c r="G1046" i="109"/>
  <c r="G1035" i="109" a="1"/>
  <c r="G1035" i="109"/>
  <c r="G1047" i="109"/>
  <c r="G1038" i="109" a="1"/>
  <c r="G1038" i="109"/>
  <c r="G1050" i="109"/>
  <c r="G1039" i="109" a="1"/>
  <c r="G1039" i="109"/>
  <c r="G1051" i="109"/>
  <c r="F1034" i="109" a="1"/>
  <c r="F1034" i="109"/>
  <c r="F1046" i="109"/>
  <c r="F1035" i="109" a="1"/>
  <c r="F1035" i="109"/>
  <c r="F1047" i="109"/>
  <c r="F1038" i="109" a="1"/>
  <c r="F1038" i="109"/>
  <c r="F1050" i="109"/>
  <c r="F1039" i="109" a="1"/>
  <c r="F1039" i="109"/>
  <c r="F1051" i="109"/>
  <c r="H1034" i="109" a="1"/>
  <c r="H1034" i="109"/>
  <c r="H1046" i="109"/>
  <c r="H1035" i="109" a="1"/>
  <c r="H1035" i="109"/>
  <c r="H1047" i="109"/>
  <c r="H1038" i="109" a="1"/>
  <c r="H1038" i="109"/>
  <c r="H1050" i="109"/>
  <c r="H1039" i="109" a="1"/>
  <c r="H1039" i="109"/>
  <c r="H1051" i="109"/>
  <c r="H1079" i="109" a="1"/>
  <c r="H1079" i="109"/>
  <c r="H1080" i="109" a="1"/>
  <c r="H1080" i="109"/>
  <c r="H1081" i="109" a="1"/>
  <c r="H1081" i="109"/>
  <c r="H1083" i="109" a="1"/>
  <c r="H1083" i="109"/>
  <c r="H1085" i="109" a="1"/>
  <c r="H1085" i="109"/>
  <c r="H1082" i="109" a="1"/>
  <c r="H1082" i="109"/>
  <c r="H1084" i="109" a="1"/>
  <c r="H1084" i="109"/>
  <c r="F1009" i="109" a="1"/>
  <c r="F1009" i="109"/>
  <c r="F1004" i="109"/>
  <c r="F1013" i="109" a="1"/>
  <c r="F1013" i="109"/>
  <c r="F1083" i="109" a="1"/>
  <c r="F1083" i="109"/>
  <c r="F1079" i="109" a="1"/>
  <c r="F1079" i="109"/>
  <c r="F1081" i="109" a="1"/>
  <c r="F1081" i="109"/>
  <c r="F1077" i="109" a="1"/>
  <c r="F1077" i="109"/>
  <c r="F1085" i="109" a="1"/>
  <c r="F1085" i="109"/>
  <c r="F1082" i="109" a="1"/>
  <c r="F1082" i="109"/>
  <c r="F1078" i="109" a="1"/>
  <c r="F1078" i="109"/>
  <c r="F1074" i="109"/>
  <c r="F1080" i="109" a="1"/>
  <c r="F1080" i="109"/>
  <c r="F1084" i="109" a="1"/>
  <c r="F1084" i="109"/>
  <c r="F1012" i="109" a="1"/>
  <c r="F1012" i="109"/>
  <c r="F1010" i="109" a="1"/>
  <c r="F1010" i="109"/>
  <c r="F1014" i="109" a="1"/>
  <c r="F1014" i="109"/>
  <c r="F1259" i="109"/>
  <c r="F1134" i="109"/>
  <c r="G1080" i="109" a="1"/>
  <c r="G1080" i="109"/>
  <c r="G1078" i="109" a="1"/>
  <c r="G1078" i="109"/>
  <c r="G1081" i="109" a="1"/>
  <c r="G1081" i="109"/>
  <c r="F1008" i="109" a="1"/>
  <c r="F1008" i="109"/>
  <c r="J644" i="109"/>
  <c r="N644" i="109"/>
  <c r="I644" i="109"/>
  <c r="H644" i="109"/>
  <c r="M644" i="109"/>
  <c r="K644" i="109"/>
  <c r="L644" i="109"/>
  <c r="I1099" i="109"/>
  <c r="I1250" i="109"/>
  <c r="J1114" i="109"/>
  <c r="K407" i="109"/>
  <c r="K398" i="109"/>
  <c r="J1105" i="109"/>
  <c r="J672" i="109"/>
  <c r="J690" i="109"/>
  <c r="L624" i="109"/>
  <c r="K652" i="109"/>
  <c r="H1016" i="109"/>
  <c r="M391" i="109"/>
  <c r="L1098" i="109"/>
  <c r="J1097" i="109"/>
  <c r="K390" i="109"/>
  <c r="J1095" i="109"/>
  <c r="K388" i="109"/>
  <c r="AI45" i="29"/>
  <c r="P9" i="29"/>
  <c r="DC71" i="29"/>
  <c r="DB89" i="29"/>
  <c r="AN49" i="29"/>
  <c r="CB81" i="29"/>
  <c r="P89" i="29"/>
  <c r="BO103" i="29"/>
  <c r="CG96" i="29"/>
  <c r="X9" i="29"/>
  <c r="BZ67" i="29"/>
  <c r="AM102" i="29"/>
  <c r="AB10" i="29"/>
  <c r="BP27" i="29"/>
  <c r="V59" i="29"/>
  <c r="CZ13" i="29"/>
  <c r="BC27" i="29"/>
  <c r="AR27" i="29"/>
  <c r="DF61" i="29"/>
  <c r="AJ25" i="29"/>
  <c r="DE53" i="29"/>
  <c r="BZ57" i="29"/>
  <c r="CM29" i="29"/>
  <c r="BU75" i="29"/>
  <c r="AB59" i="29"/>
  <c r="BI89" i="29"/>
  <c r="AH37" i="29"/>
  <c r="K102" i="29"/>
  <c r="BA37" i="29"/>
  <c r="AN67" i="29"/>
  <c r="J30" i="29"/>
  <c r="CA29" i="29"/>
  <c r="BS89" i="29"/>
  <c r="CQ81" i="29"/>
  <c r="BR21" i="29"/>
  <c r="BC29" i="29"/>
  <c r="AO75" i="29"/>
  <c r="CU79" i="29"/>
  <c r="I62" i="29"/>
  <c r="AP89" i="29"/>
  <c r="J34" i="29"/>
  <c r="DD62" i="29"/>
  <c r="BE67" i="29"/>
  <c r="DC24" i="29"/>
  <c r="J75" i="29"/>
  <c r="DD17" i="29"/>
  <c r="Z45" i="29"/>
  <c r="AO29" i="29"/>
  <c r="N18" i="29"/>
  <c r="CK48" i="29"/>
  <c r="BY9" i="29"/>
  <c r="AZ24" i="29"/>
  <c r="CA10" i="29"/>
  <c r="CV71" i="29"/>
  <c r="CF60" i="29"/>
  <c r="DA89" i="29"/>
  <c r="J27" i="29"/>
  <c r="BA65" i="29"/>
  <c r="AE75" i="29"/>
  <c r="M67" i="29"/>
  <c r="CJ96" i="29"/>
  <c r="X45" i="29"/>
  <c r="BY37" i="29"/>
  <c r="CL59" i="29"/>
  <c r="AP66" i="29"/>
  <c r="BI67" i="29"/>
  <c r="T21" i="29"/>
  <c r="BA21" i="29"/>
  <c r="CM54" i="29"/>
  <c r="DA45" i="29"/>
  <c r="Z58" i="29"/>
  <c r="CE92" i="29"/>
  <c r="AX29" i="29"/>
  <c r="DC27" i="29"/>
  <c r="AJ62" i="29"/>
  <c r="CF34" i="29"/>
  <c r="BC21" i="29"/>
  <c r="BX57" i="29"/>
  <c r="AD17" i="29"/>
  <c r="BP89" i="29"/>
  <c r="AD81" i="29"/>
  <c r="BB53" i="29"/>
  <c r="BE91" i="29"/>
  <c r="AM92" i="29"/>
  <c r="DC89" i="29"/>
  <c r="BA75" i="29"/>
  <c r="CJ50" i="29"/>
  <c r="BR53" i="29"/>
  <c r="DF65" i="29"/>
  <c r="CD91" i="29"/>
  <c r="T29" i="29"/>
  <c r="AE66" i="29"/>
  <c r="CU75" i="29"/>
  <c r="AJ13" i="29"/>
  <c r="H59" i="29"/>
  <c r="AQ21" i="29"/>
  <c r="BX89" i="29"/>
  <c r="BU30" i="29"/>
  <c r="AT67" i="29"/>
  <c r="S96" i="29"/>
  <c r="AF102" i="29"/>
  <c r="CE10" i="29"/>
  <c r="CM81" i="29"/>
  <c r="BD59" i="29"/>
  <c r="BW9" i="29"/>
  <c r="AC67" i="29"/>
  <c r="K96" i="29"/>
  <c r="BO26" i="29"/>
  <c r="P24" i="29"/>
  <c r="CN18" i="29"/>
  <c r="BU67" i="29"/>
  <c r="CC102" i="29"/>
  <c r="AS89" i="29"/>
  <c r="CX92" i="29"/>
  <c r="AQ92" i="29"/>
  <c r="DD102" i="29"/>
  <c r="AU37" i="29"/>
  <c r="BY58" i="29"/>
  <c r="AF25" i="29"/>
  <c r="CH10" i="29"/>
  <c r="AP21" i="29"/>
  <c r="CE49" i="29"/>
  <c r="AI18" i="29"/>
  <c r="BX17" i="29"/>
  <c r="DE66" i="29"/>
  <c r="DB21" i="29"/>
  <c r="AP79" i="29"/>
  <c r="AN37" i="29"/>
  <c r="DC9" i="29"/>
  <c r="P58" i="29"/>
  <c r="CR10" i="29"/>
  <c r="J18" i="29"/>
  <c r="K79" i="29"/>
  <c r="AF27" i="29"/>
  <c r="CF57" i="29"/>
  <c r="P30" i="29"/>
  <c r="G25" i="29"/>
  <c r="AO24" i="29"/>
  <c r="AP92" i="29"/>
  <c r="BE92" i="29"/>
  <c r="I92" i="29"/>
  <c r="BS53" i="29"/>
  <c r="AI58" i="29"/>
  <c r="AN66" i="29"/>
  <c r="BC18" i="29"/>
  <c r="CP26" i="29"/>
  <c r="AM66" i="29"/>
  <c r="CO45" i="29"/>
  <c r="BD60" i="29"/>
  <c r="AX81" i="29"/>
  <c r="CH17" i="29"/>
  <c r="P92" i="29"/>
  <c r="BX13" i="29"/>
  <c r="CL92" i="29"/>
  <c r="DE79" i="29"/>
  <c r="CL67" i="29"/>
  <c r="BU57" i="29"/>
  <c r="BY26" i="29"/>
  <c r="AS62" i="29"/>
  <c r="AR10" i="29"/>
  <c r="CN25" i="29"/>
  <c r="BO45" i="29"/>
  <c r="BS81" i="29"/>
  <c r="BH30" i="29"/>
  <c r="AZ12" i="29"/>
  <c r="BP26" i="29"/>
  <c r="CV92" i="29"/>
  <c r="J92" i="29"/>
  <c r="BQ65" i="29"/>
  <c r="AN58" i="29"/>
  <c r="BT103" i="29"/>
  <c r="CW10" i="29"/>
  <c r="J17" i="29"/>
  <c r="P61" i="29"/>
  <c r="CU48" i="29"/>
  <c r="H98" i="29"/>
  <c r="CE59" i="29"/>
  <c r="BI26" i="29"/>
  <c r="CZ37" i="29"/>
  <c r="U53" i="29"/>
  <c r="BR66" i="29"/>
  <c r="CT96" i="29"/>
  <c r="H30" i="29"/>
  <c r="AR57" i="29"/>
  <c r="I21" i="29"/>
  <c r="AZ18" i="29"/>
  <c r="BE75" i="29"/>
  <c r="BI98" i="29"/>
  <c r="CK89" i="29"/>
  <c r="O48" i="29"/>
  <c r="I81" i="29"/>
  <c r="DD59" i="29"/>
  <c r="CB50" i="29"/>
  <c r="BU60" i="29"/>
  <c r="AC26" i="29"/>
  <c r="Y67" i="29"/>
  <c r="Z96" i="29"/>
  <c r="CL79" i="29"/>
  <c r="BH66" i="29"/>
  <c r="X24" i="29"/>
  <c r="CC96" i="29"/>
  <c r="BQ89" i="29"/>
  <c r="AT9" i="29"/>
  <c r="DC66" i="29"/>
  <c r="DB13" i="29"/>
  <c r="DD79" i="29"/>
  <c r="BQ98" i="29"/>
  <c r="BQ29" i="29"/>
  <c r="CK9" i="29"/>
  <c r="CT53" i="29"/>
  <c r="CI12" i="29"/>
  <c r="BO67" i="29"/>
  <c r="CC24" i="29"/>
  <c r="T102" i="29"/>
  <c r="O81" i="29"/>
  <c r="AT54" i="29"/>
  <c r="BU27" i="29"/>
  <c r="CG58" i="29"/>
  <c r="BE61" i="29"/>
  <c r="BR29" i="29"/>
  <c r="DD10" i="29"/>
  <c r="AN12" i="29"/>
  <c r="AV29" i="29"/>
  <c r="AC45" i="29"/>
  <c r="BI54" i="29"/>
  <c r="AX27" i="29"/>
  <c r="CG89" i="29"/>
  <c r="BR26" i="29"/>
  <c r="AF17" i="29"/>
  <c r="BT29" i="29"/>
  <c r="BI25" i="29"/>
  <c r="CC48" i="29"/>
  <c r="CY102" i="29"/>
  <c r="Z29" i="29"/>
  <c r="CK13" i="29"/>
  <c r="AM27" i="29"/>
  <c r="DF53" i="29"/>
  <c r="AA27" i="29"/>
  <c r="L26" i="29"/>
  <c r="CO26" i="29"/>
  <c r="W17" i="29"/>
  <c r="AC96" i="29"/>
  <c r="CS96" i="29"/>
  <c r="AQ48" i="29"/>
  <c r="CR96" i="29"/>
  <c r="AV96" i="29"/>
  <c r="CV59" i="29"/>
  <c r="CF59" i="29"/>
  <c r="BW98" i="29"/>
  <c r="CZ12" i="29"/>
  <c r="BB81" i="29"/>
  <c r="CQ91" i="29"/>
  <c r="BV58" i="29"/>
  <c r="BD34" i="29"/>
  <c r="CM50" i="29"/>
  <c r="CI102" i="29"/>
  <c r="AU26" i="29"/>
  <c r="CJ79" i="29"/>
  <c r="AB45" i="29"/>
  <c r="CQ54" i="29"/>
  <c r="DF96" i="29"/>
  <c r="AC50" i="29"/>
  <c r="CX75" i="29"/>
  <c r="CU60" i="29"/>
  <c r="X89" i="29"/>
  <c r="CJ30" i="29"/>
  <c r="AM26" i="29"/>
  <c r="AC37" i="29"/>
  <c r="CA17" i="29"/>
  <c r="N65" i="29"/>
  <c r="BE96" i="29"/>
  <c r="CN61" i="29"/>
  <c r="AA62" i="29"/>
  <c r="BP34" i="29"/>
  <c r="M66" i="29"/>
  <c r="BZ12" i="29"/>
  <c r="AV54" i="29"/>
  <c r="BW26" i="29"/>
  <c r="CT92" i="29"/>
  <c r="CL12" i="29"/>
  <c r="DB65" i="29"/>
  <c r="BW17" i="29"/>
  <c r="BA49" i="29"/>
  <c r="T34" i="29"/>
  <c r="V17" i="29"/>
  <c r="O27" i="29"/>
  <c r="CQ49" i="29"/>
  <c r="AB50" i="29"/>
  <c r="N75" i="29"/>
  <c r="BX75" i="29"/>
  <c r="BC59" i="29"/>
  <c r="BX58" i="29"/>
  <c r="K91" i="29"/>
  <c r="BV61" i="29"/>
  <c r="S67" i="29"/>
  <c r="CG62" i="29"/>
  <c r="CI29" i="29"/>
  <c r="AF66" i="29"/>
  <c r="AT89" i="29"/>
  <c r="U67" i="29"/>
  <c r="DC59" i="29"/>
  <c r="CD17" i="29"/>
  <c r="BH65" i="29"/>
  <c r="CX60" i="29"/>
  <c r="H27" i="29"/>
  <c r="CA27" i="29"/>
  <c r="X34" i="29"/>
  <c r="BE57" i="29"/>
  <c r="AC59" i="29"/>
  <c r="AU81" i="29"/>
  <c r="K49" i="29"/>
  <c r="AM79" i="29"/>
  <c r="BV57" i="29"/>
  <c r="CK34" i="29"/>
  <c r="CN98" i="29"/>
  <c r="BA81" i="29"/>
  <c r="AC65" i="29"/>
  <c r="BU21" i="29"/>
  <c r="X60" i="29"/>
  <c r="AN24" i="29"/>
  <c r="CS92" i="29"/>
  <c r="CU102" i="29"/>
  <c r="BT9" i="29"/>
  <c r="CY12" i="29"/>
  <c r="CH21" i="29"/>
  <c r="Z25" i="29"/>
  <c r="BH61" i="29"/>
  <c r="CA75" i="29"/>
  <c r="AZ21" i="29"/>
  <c r="AJ27" i="29"/>
  <c r="N48" i="29"/>
  <c r="BD29" i="29"/>
  <c r="DD27" i="29"/>
  <c r="BO13" i="29"/>
  <c r="AJ61" i="29"/>
  <c r="AZ29" i="29"/>
  <c r="AO30" i="29"/>
  <c r="CJ71" i="29"/>
  <c r="L98" i="29"/>
  <c r="CT29" i="29"/>
  <c r="CN92" i="29"/>
  <c r="BT91" i="29"/>
  <c r="CU62" i="29"/>
  <c r="BX29" i="29"/>
  <c r="Z91" i="29"/>
  <c r="U26" i="29"/>
  <c r="DB24" i="29"/>
  <c r="CN59" i="29"/>
  <c r="DB27" i="29"/>
  <c r="BT89" i="29"/>
  <c r="AN50" i="29"/>
  <c r="BX10" i="29"/>
  <c r="BX61" i="29"/>
  <c r="K66" i="29"/>
  <c r="CK24" i="29"/>
  <c r="BQ61" i="29"/>
  <c r="BA66" i="29"/>
  <c r="CY13" i="29"/>
  <c r="CC26" i="29"/>
  <c r="AD60" i="29"/>
  <c r="CM60" i="29"/>
  <c r="CQ48" i="29"/>
  <c r="J98" i="29"/>
  <c r="CZ25" i="29"/>
  <c r="N26" i="29"/>
  <c r="DB12" i="29"/>
  <c r="CX21" i="29"/>
  <c r="AA81" i="29"/>
  <c r="BS60" i="29"/>
  <c r="CO75" i="29"/>
  <c r="AJ66" i="29"/>
  <c r="AR49" i="29"/>
  <c r="CZ96" i="29"/>
  <c r="DA54" i="29"/>
  <c r="AJ91" i="29"/>
  <c r="CK98" i="29"/>
  <c r="CG18" i="29"/>
  <c r="BX59" i="29"/>
  <c r="CZ45" i="29"/>
  <c r="CE50" i="29"/>
  <c r="CW91" i="29"/>
  <c r="K67" i="29"/>
  <c r="T37" i="29"/>
  <c r="AP53" i="29"/>
  <c r="BA98" i="29"/>
  <c r="CN21" i="29"/>
  <c r="CF66" i="29"/>
  <c r="CK57" i="29"/>
  <c r="DD30" i="29"/>
  <c r="AM53" i="29"/>
  <c r="CH30" i="29"/>
  <c r="S59" i="29"/>
  <c r="AS48" i="29"/>
  <c r="AW62" i="29"/>
  <c r="AB29" i="29"/>
  <c r="AQ62" i="29"/>
  <c r="BQ102" i="29"/>
  <c r="S98" i="29"/>
  <c r="DE92" i="29"/>
  <c r="CV98" i="29"/>
  <c r="CV66" i="29"/>
  <c r="BC53" i="29"/>
  <c r="CN37" i="29"/>
  <c r="CO37" i="29"/>
  <c r="CA62" i="29"/>
  <c r="AF29" i="29"/>
  <c r="AM59" i="29"/>
  <c r="BX98" i="29"/>
  <c r="AV59" i="29"/>
  <c r="DA48" i="29"/>
  <c r="I49" i="29"/>
  <c r="CW57" i="29"/>
  <c r="G79" i="29"/>
  <c r="CH13" i="29"/>
  <c r="CP25" i="29"/>
  <c r="N12" i="29"/>
  <c r="AR75" i="29"/>
  <c r="Y49" i="29"/>
  <c r="AM30" i="29"/>
  <c r="DD71" i="29"/>
  <c r="AY102" i="29"/>
  <c r="AR18" i="29"/>
  <c r="BS67" i="29"/>
  <c r="BV29" i="29"/>
  <c r="AG17" i="29"/>
  <c r="AR48" i="29"/>
  <c r="AI10" i="29"/>
  <c r="AW75" i="29"/>
  <c r="BE65" i="29"/>
  <c r="CF18" i="29"/>
  <c r="O18" i="29"/>
  <c r="AR13" i="29"/>
  <c r="BC58" i="29"/>
  <c r="AW91" i="29"/>
  <c r="BS13" i="29"/>
  <c r="BP71" i="29"/>
  <c r="I58" i="29"/>
  <c r="AU53" i="29"/>
  <c r="P65" i="29"/>
  <c r="CL57" i="29"/>
  <c r="BD61" i="29"/>
  <c r="AB30" i="29"/>
  <c r="AV60" i="29"/>
  <c r="CR75" i="29"/>
  <c r="CJ48" i="29"/>
  <c r="CQ92" i="29"/>
  <c r="V79" i="29"/>
  <c r="BX9" i="29"/>
  <c r="DC67" i="29"/>
  <c r="AZ53" i="29"/>
  <c r="BH62" i="29"/>
  <c r="AM37" i="29"/>
  <c r="J91" i="29"/>
  <c r="AG65" i="29"/>
  <c r="BU50" i="29"/>
  <c r="BE21" i="29"/>
  <c r="AP59" i="29"/>
  <c r="AH27" i="29"/>
  <c r="AX54" i="29"/>
  <c r="DF54" i="29"/>
  <c r="W29" i="29"/>
  <c r="O75" i="29"/>
  <c r="CG92" i="29"/>
  <c r="X67" i="29"/>
  <c r="AF57" i="29"/>
  <c r="G18" i="29"/>
  <c r="BZ79" i="29"/>
  <c r="CT79" i="29"/>
  <c r="BZ25" i="29"/>
  <c r="BC91" i="29"/>
  <c r="BV65" i="29"/>
  <c r="CZ60" i="29"/>
  <c r="AU91" i="29"/>
  <c r="CJ10" i="29"/>
  <c r="AG62" i="29"/>
  <c r="O53" i="29"/>
  <c r="BA25" i="29"/>
  <c r="BR79" i="29"/>
  <c r="L62" i="29"/>
  <c r="BP66" i="29"/>
  <c r="CU10" i="29"/>
  <c r="BD89" i="29"/>
  <c r="BY71" i="29"/>
  <c r="Z62" i="29"/>
  <c r="CD89" i="29"/>
  <c r="CW49" i="29"/>
  <c r="DB10" i="29"/>
  <c r="BS61" i="29"/>
  <c r="CS53" i="29"/>
  <c r="CS66" i="29"/>
  <c r="BW66" i="29"/>
  <c r="CP66" i="29"/>
  <c r="H71" i="29"/>
  <c r="DD103" i="29"/>
  <c r="CU27" i="29"/>
  <c r="CD48" i="29"/>
  <c r="AB13" i="29"/>
  <c r="CM102" i="29"/>
  <c r="DE17" i="29"/>
  <c r="BC65" i="29"/>
  <c r="AE92" i="29"/>
  <c r="T54" i="29"/>
  <c r="BY21" i="29"/>
  <c r="Z71" i="29"/>
  <c r="DA27" i="29"/>
  <c r="BA79" i="29"/>
  <c r="CZ34" i="29"/>
  <c r="J102" i="29"/>
  <c r="DB34" i="29"/>
  <c r="AQ29" i="29"/>
  <c r="BT25" i="29"/>
  <c r="CY81" i="29"/>
  <c r="AD102" i="29"/>
  <c r="BT60" i="29"/>
  <c r="CY49" i="29"/>
  <c r="CR25" i="29"/>
  <c r="CY29" i="29"/>
  <c r="CF10" i="29"/>
  <c r="BT61" i="29"/>
  <c r="BU49" i="29"/>
  <c r="AR98" i="29"/>
  <c r="BS25" i="29"/>
  <c r="CG37" i="29"/>
  <c r="DB53" i="29"/>
  <c r="CF30" i="29"/>
  <c r="BA67" i="29"/>
  <c r="AS29" i="29"/>
  <c r="CF25" i="29"/>
  <c r="AU75" i="29"/>
  <c r="BA26" i="29"/>
  <c r="AN98" i="29"/>
  <c r="T48" i="29"/>
  <c r="AQ96" i="29"/>
  <c r="BV53" i="29"/>
  <c r="CX49" i="29"/>
  <c r="BP75" i="29"/>
  <c r="CR79" i="29"/>
  <c r="Z57" i="29"/>
  <c r="AT25" i="29"/>
  <c r="CY66" i="29"/>
  <c r="CG71" i="29"/>
  <c r="AT96" i="29"/>
  <c r="BX54" i="29"/>
  <c r="AE71" i="29"/>
  <c r="CH75" i="29"/>
  <c r="U60" i="29"/>
  <c r="Z26" i="29"/>
  <c r="BQ71" i="29"/>
  <c r="K10" i="29"/>
  <c r="M9" i="29"/>
  <c r="CB102" i="29"/>
  <c r="CN60" i="29"/>
  <c r="X65" i="29"/>
  <c r="CU49" i="29"/>
  <c r="I27" i="29"/>
  <c r="BO66" i="29"/>
  <c r="CO27" i="29"/>
  <c r="BA29" i="29"/>
  <c r="AS21" i="29"/>
  <c r="AS61" i="29"/>
  <c r="CB9" i="29"/>
  <c r="BR57" i="29"/>
  <c r="L58" i="29"/>
  <c r="BZ27" i="29"/>
  <c r="CV61" i="29"/>
  <c r="CS98" i="29"/>
  <c r="BR17" i="29"/>
  <c r="CD96" i="29"/>
  <c r="CR71" i="29"/>
  <c r="BQ103" i="29"/>
  <c r="Y18" i="29"/>
  <c r="CO9" i="29"/>
  <c r="BW92" i="29"/>
  <c r="BT24" i="29"/>
  <c r="K81" i="29"/>
  <c r="Y9" i="29"/>
  <c r="BB58" i="29"/>
  <c r="M25" i="29"/>
  <c r="CB13" i="29"/>
  <c r="CT98" i="29"/>
  <c r="CM9" i="29"/>
  <c r="CB12" i="29"/>
  <c r="P50" i="29"/>
  <c r="BQ58" i="29"/>
  <c r="S71" i="29"/>
  <c r="CH27" i="29"/>
  <c r="CQ27" i="29"/>
  <c r="BR30" i="29"/>
  <c r="N45" i="29"/>
  <c r="AR54" i="29"/>
  <c r="AJ92" i="29"/>
  <c r="AJ49" i="29"/>
  <c r="T18" i="29"/>
  <c r="CE81" i="29"/>
  <c r="AU12" i="29"/>
  <c r="CU18" i="29"/>
  <c r="AO21" i="29"/>
  <c r="CM58" i="29"/>
  <c r="O37" i="29"/>
  <c r="L92" i="29"/>
  <c r="W34" i="29"/>
  <c r="Y89" i="29"/>
  <c r="AC98" i="29"/>
  <c r="BR37" i="29"/>
  <c r="BO89" i="29"/>
  <c r="AQ58" i="29"/>
  <c r="BD49" i="29"/>
  <c r="H53" i="29"/>
  <c r="BA91" i="29"/>
  <c r="AR61" i="29"/>
  <c r="BD17" i="29"/>
  <c r="AB92" i="29"/>
  <c r="AR71" i="29"/>
  <c r="BE17" i="29"/>
  <c r="CQ71" i="29"/>
  <c r="CY91" i="29"/>
  <c r="AU13" i="29"/>
  <c r="CZ89" i="29"/>
  <c r="BH24" i="29"/>
  <c r="CJ27" i="29"/>
  <c r="AH30" i="29"/>
  <c r="BO57" i="29"/>
  <c r="CI60" i="29"/>
  <c r="CJ75" i="29"/>
  <c r="AY91" i="29"/>
  <c r="BU79" i="29"/>
  <c r="BE53" i="29"/>
  <c r="DF60" i="29"/>
  <c r="CL50" i="29"/>
  <c r="BQ48" i="29"/>
  <c r="O24" i="29"/>
  <c r="BR58" i="29"/>
  <c r="W59" i="29"/>
  <c r="BD67" i="29"/>
  <c r="AB65" i="29"/>
  <c r="CC10" i="29"/>
  <c r="CL96" i="29"/>
  <c r="CQ45" i="29"/>
  <c r="BH27" i="29"/>
  <c r="P10" i="29"/>
  <c r="AE29" i="29"/>
  <c r="AO45" i="29"/>
  <c r="Y27" i="29"/>
  <c r="AY62" i="29"/>
  <c r="AJ37" i="29"/>
  <c r="X75" i="29"/>
  <c r="CF91" i="29"/>
  <c r="X96" i="29"/>
  <c r="CL62" i="29"/>
  <c r="BU17" i="29"/>
  <c r="CS12" i="29"/>
  <c r="CO65" i="29"/>
  <c r="AP37" i="29"/>
  <c r="AY13" i="29"/>
  <c r="CL49" i="29"/>
  <c r="DD66" i="29"/>
  <c r="BD71" i="29"/>
  <c r="BP58" i="29"/>
  <c r="AM29" i="29"/>
  <c r="CW12" i="29"/>
  <c r="AT102" i="29"/>
  <c r="CW60" i="29"/>
  <c r="CW102" i="29"/>
  <c r="AS60" i="29"/>
  <c r="BI13" i="29"/>
  <c r="CY61" i="29"/>
  <c r="CB21" i="29"/>
  <c r="AV30" i="29"/>
  <c r="CW58" i="29"/>
  <c r="CX37" i="29"/>
  <c r="CG34" i="29"/>
  <c r="M53" i="29"/>
  <c r="AH61" i="29"/>
  <c r="CV25" i="29"/>
  <c r="CM27" i="29"/>
  <c r="CJ17" i="29"/>
  <c r="U24" i="29"/>
  <c r="AC71" i="29"/>
  <c r="AU79" i="29"/>
  <c r="W10" i="29"/>
  <c r="AH10" i="29"/>
  <c r="AF98" i="29"/>
  <c r="CR17" i="29"/>
  <c r="CW103" i="29"/>
  <c r="BB89" i="29"/>
  <c r="AG58" i="29"/>
  <c r="AT12" i="29"/>
  <c r="AH57" i="29"/>
  <c r="CS59" i="29"/>
  <c r="V71" i="29"/>
  <c r="BY17" i="29"/>
  <c r="AC30" i="29"/>
  <c r="AY92" i="29"/>
  <c r="AO61" i="29"/>
  <c r="BA54" i="29"/>
  <c r="CC58" i="29"/>
  <c r="AO10" i="29"/>
  <c r="BC61" i="29"/>
  <c r="AB34" i="29"/>
  <c r="CL54" i="29"/>
  <c r="BZ30" i="29"/>
  <c r="CK65" i="29"/>
  <c r="CF89" i="29"/>
  <c r="AV65" i="29"/>
  <c r="BP62" i="29"/>
  <c r="CS60" i="29"/>
  <c r="AA75" i="29"/>
  <c r="CD61" i="29"/>
  <c r="AT53" i="29"/>
  <c r="AG102" i="29"/>
  <c r="J66" i="29"/>
  <c r="AJ57" i="29"/>
  <c r="W60" i="29"/>
  <c r="AW92" i="29"/>
  <c r="AF65" i="29"/>
  <c r="DA17" i="29"/>
  <c r="CA60" i="29"/>
  <c r="DB103" i="29"/>
  <c r="CR66" i="29"/>
  <c r="BZ17" i="29"/>
  <c r="AH67" i="29"/>
  <c r="CT9" i="29"/>
  <c r="BE54" i="29"/>
  <c r="AA96" i="29"/>
  <c r="BB30" i="29"/>
  <c r="AZ50" i="29"/>
  <c r="DF25" i="29"/>
  <c r="DE25" i="29"/>
  <c r="CG65" i="29"/>
  <c r="CD71" i="29"/>
  <c r="AE12" i="29"/>
  <c r="CR81" i="29"/>
  <c r="CZ92" i="29"/>
  <c r="CB75" i="29"/>
  <c r="CP37" i="29"/>
  <c r="S50" i="29"/>
  <c r="CH66" i="29"/>
  <c r="DE61" i="29"/>
  <c r="BA27" i="29"/>
  <c r="L13" i="29"/>
  <c r="CR45" i="29"/>
  <c r="AI30" i="29"/>
  <c r="M59" i="29"/>
  <c r="CO67" i="29"/>
  <c r="I102" i="29"/>
  <c r="AE57" i="29"/>
  <c r="BC13" i="29"/>
  <c r="BC30" i="29"/>
  <c r="CE30" i="29"/>
  <c r="BV62" i="29"/>
  <c r="CH54" i="29"/>
  <c r="BX71" i="29"/>
  <c r="AU45" i="29"/>
  <c r="CS81" i="29"/>
  <c r="CW62" i="29"/>
  <c r="CI49" i="29"/>
  <c r="U75" i="29"/>
  <c r="CV89" i="29"/>
  <c r="CT67" i="29"/>
  <c r="BT21" i="29"/>
  <c r="AF71" i="29"/>
  <c r="P27" i="29"/>
  <c r="CX98" i="29"/>
  <c r="BV9" i="29"/>
  <c r="CM30" i="29"/>
  <c r="CV79" i="29"/>
  <c r="BZ53" i="29"/>
  <c r="BU29" i="29"/>
  <c r="AW96" i="29"/>
  <c r="AG9" i="29"/>
  <c r="BZ98" i="29"/>
  <c r="AQ24" i="29"/>
  <c r="BR98" i="29"/>
  <c r="BQ49" i="29"/>
  <c r="AG29" i="29"/>
  <c r="CH96" i="29"/>
  <c r="CY48" i="29"/>
  <c r="AT81" i="29"/>
  <c r="U57" i="29"/>
  <c r="CF26" i="29"/>
  <c r="Z34" i="29"/>
  <c r="L9" i="29"/>
  <c r="AT30" i="29"/>
  <c r="AP9" i="29"/>
  <c r="CX58" i="29"/>
  <c r="DE37" i="29"/>
  <c r="BE12" i="29"/>
  <c r="DD12" i="29"/>
  <c r="BV49" i="29"/>
  <c r="CD34" i="29"/>
  <c r="CG98" i="29"/>
  <c r="AA18" i="29"/>
  <c r="T24" i="29"/>
  <c r="S10" i="29"/>
  <c r="O96" i="29"/>
  <c r="CG102" i="29"/>
  <c r="BH25" i="29"/>
  <c r="BA53" i="29"/>
  <c r="CZ65" i="29"/>
  <c r="CW59" i="29"/>
  <c r="AU71" i="29"/>
  <c r="AZ67" i="29"/>
  <c r="CO59" i="29"/>
  <c r="AC48" i="29"/>
  <c r="AG81" i="29"/>
  <c r="DC65" i="29"/>
  <c r="AJ79" i="29"/>
  <c r="AD53" i="29"/>
  <c r="AT10" i="29"/>
  <c r="AO25" i="29"/>
  <c r="CR18" i="29"/>
  <c r="AE67" i="29"/>
  <c r="BT65" i="29"/>
  <c r="CI57" i="29"/>
  <c r="L71" i="29"/>
  <c r="BD75" i="29"/>
  <c r="AC89" i="29"/>
  <c r="CX61" i="29"/>
  <c r="BC10" i="29"/>
  <c r="BA61" i="29"/>
  <c r="T62" i="29"/>
  <c r="CI66" i="29"/>
  <c r="BW60" i="29"/>
  <c r="CG49" i="29"/>
  <c r="AU30" i="29"/>
  <c r="CO13" i="29"/>
  <c r="AS66" i="29"/>
  <c r="BZ49" i="29"/>
  <c r="AD29" i="29"/>
  <c r="L96" i="29"/>
  <c r="BO102" i="29"/>
  <c r="DB50" i="29"/>
  <c r="Y59" i="29"/>
  <c r="CL48" i="29"/>
  <c r="P71" i="29"/>
  <c r="BQ13" i="29"/>
  <c r="BE81" i="29"/>
  <c r="X29" i="29"/>
  <c r="CF48" i="29"/>
  <c r="CM34" i="29"/>
  <c r="BO91" i="29"/>
  <c r="BQ37" i="29"/>
  <c r="CL89" i="29"/>
  <c r="DB49" i="29"/>
  <c r="M71" i="29"/>
  <c r="CS65" i="29"/>
  <c r="CJ49" i="29"/>
  <c r="I60" i="29"/>
  <c r="AR89" i="29"/>
  <c r="AE58" i="29"/>
  <c r="AY53" i="29"/>
  <c r="DE81" i="29"/>
  <c r="S30" i="29"/>
  <c r="CB26" i="29"/>
  <c r="Y65" i="29"/>
  <c r="O58" i="29"/>
  <c r="AX10" i="29"/>
  <c r="CY54" i="29"/>
  <c r="AU9" i="29"/>
  <c r="K30" i="29"/>
  <c r="DD18" i="29"/>
  <c r="AU34" i="29"/>
  <c r="O66" i="29"/>
  <c r="CQ50" i="29"/>
  <c r="AP18" i="29"/>
  <c r="CM98" i="29"/>
  <c r="AW30" i="29"/>
  <c r="CK10" i="29"/>
  <c r="CT18" i="29"/>
  <c r="BP29" i="29"/>
  <c r="CZ62" i="29"/>
  <c r="AX59" i="29"/>
  <c r="O61" i="29"/>
  <c r="DE60" i="29"/>
  <c r="AG67" i="29"/>
  <c r="BH26" i="29"/>
  <c r="CU65" i="29"/>
  <c r="AW34" i="29"/>
  <c r="CX9" i="29"/>
  <c r="CR21" i="29"/>
  <c r="DF98" i="29"/>
  <c r="AA48" i="29"/>
  <c r="DD67" i="29"/>
  <c r="AP29" i="29"/>
  <c r="U79" i="29"/>
  <c r="J57" i="29"/>
  <c r="CJ54" i="29"/>
  <c r="AE65" i="29"/>
  <c r="CL13" i="29"/>
  <c r="AC62" i="29"/>
  <c r="L65" i="29"/>
  <c r="CU17" i="29"/>
  <c r="CT81" i="29"/>
  <c r="AY25" i="29"/>
  <c r="Y30" i="29"/>
  <c r="G24" i="29"/>
  <c r="AA10" i="29"/>
  <c r="CD26" i="29"/>
  <c r="DB79" i="29"/>
  <c r="P29" i="29"/>
  <c r="DC58" i="29"/>
  <c r="BH29" i="29"/>
  <c r="AU27" i="29"/>
  <c r="DF27" i="29"/>
  <c r="AE18" i="29"/>
  <c r="BR67" i="29"/>
  <c r="CC54" i="29"/>
  <c r="CE27" i="29"/>
  <c r="G81" i="29"/>
  <c r="L25" i="29"/>
  <c r="BA71" i="29"/>
  <c r="BU89" i="29"/>
  <c r="AZ96" i="29"/>
  <c r="Z27" i="29"/>
  <c r="BV98" i="29"/>
  <c r="M58" i="29"/>
  <c r="BS27" i="29"/>
  <c r="AS9" i="29"/>
  <c r="AS58" i="29"/>
  <c r="AG12" i="29"/>
  <c r="CN75" i="29"/>
  <c r="AN21" i="29"/>
  <c r="BA59" i="29"/>
  <c r="BR96" i="29"/>
  <c r="CK50" i="29"/>
  <c r="DC60" i="29"/>
  <c r="AS18" i="29"/>
  <c r="AS10" i="29"/>
  <c r="BZ29" i="29"/>
  <c r="AC60" i="29"/>
  <c r="BR13" i="29"/>
  <c r="BY103" i="29"/>
  <c r="AB89" i="29"/>
  <c r="BB98" i="29"/>
  <c r="AB67" i="29"/>
  <c r="AQ59" i="29"/>
  <c r="BB17" i="29"/>
  <c r="BS9" i="29"/>
  <c r="DE89" i="29"/>
  <c r="N54" i="29"/>
  <c r="BR34" i="29"/>
  <c r="BB24" i="29"/>
  <c r="AX49" i="29"/>
  <c r="CS103" i="29"/>
  <c r="BD21" i="29"/>
  <c r="Z37" i="29"/>
  <c r="N59" i="29"/>
  <c r="S17" i="29"/>
  <c r="CD21" i="29"/>
  <c r="CX91" i="29"/>
  <c r="BV30" i="29"/>
  <c r="AD18" i="29"/>
  <c r="BB71" i="29"/>
  <c r="AM60" i="29"/>
  <c r="CX96" i="29"/>
  <c r="BY102" i="29"/>
  <c r="CL71" i="29"/>
  <c r="DD29" i="29"/>
  <c r="CE66" i="29"/>
  <c r="AJ29" i="29"/>
  <c r="P62" i="29"/>
  <c r="AM18" i="29"/>
  <c r="BA13" i="29"/>
  <c r="AC92" i="29"/>
  <c r="O49" i="29"/>
  <c r="AH66" i="29"/>
  <c r="BT17" i="29"/>
  <c r="CJ59" i="29"/>
  <c r="DD26" i="29"/>
  <c r="BB21" i="29"/>
  <c r="CJ13" i="29"/>
  <c r="CS71" i="29"/>
  <c r="CZ54" i="29"/>
  <c r="BU37" i="29"/>
  <c r="BB66" i="29"/>
  <c r="AR9" i="29"/>
  <c r="CR26" i="29"/>
  <c r="AS91" i="29"/>
  <c r="CL17" i="29"/>
  <c r="DA60" i="29"/>
  <c r="DA26" i="29"/>
  <c r="N29" i="29"/>
  <c r="AR30" i="29"/>
  <c r="H62" i="29"/>
  <c r="DC103" i="29"/>
  <c r="AJ48" i="29"/>
  <c r="O91" i="29"/>
  <c r="BW21" i="29"/>
  <c r="BD13" i="29"/>
  <c r="AX30" i="29"/>
  <c r="CM24" i="29"/>
  <c r="CD57" i="29"/>
  <c r="BU61" i="29"/>
  <c r="CK29" i="29"/>
  <c r="DF91" i="29"/>
  <c r="BV24" i="29"/>
  <c r="AS27" i="29"/>
  <c r="X53" i="29"/>
  <c r="BC81" i="29"/>
  <c r="CT17" i="29"/>
  <c r="AT26" i="29"/>
  <c r="T27" i="29"/>
  <c r="CD10" i="29"/>
  <c r="AN102" i="29"/>
  <c r="AO37" i="29"/>
  <c r="AI37" i="29"/>
  <c r="U59" i="29"/>
  <c r="DC62" i="29"/>
  <c r="CR103" i="29"/>
  <c r="AT21" i="29"/>
  <c r="N96" i="29"/>
  <c r="AT45" i="29"/>
  <c r="O17" i="29"/>
  <c r="BC92" i="29"/>
  <c r="BE34" i="29"/>
  <c r="BT53" i="29"/>
  <c r="CJ102" i="29"/>
  <c r="CX29" i="29"/>
  <c r="S92" i="29"/>
  <c r="AO53" i="29"/>
  <c r="BS24" i="29"/>
  <c r="W13" i="29"/>
  <c r="AX13" i="29"/>
  <c r="CS61" i="29"/>
  <c r="J29" i="29"/>
  <c r="CG67" i="29"/>
  <c r="DE30" i="29"/>
  <c r="BZ48" i="29"/>
  <c r="CZ50" i="29"/>
  <c r="CD53" i="29"/>
  <c r="AM17" i="29"/>
  <c r="G91" i="29"/>
  <c r="N91" i="29"/>
  <c r="AH34" i="29"/>
  <c r="AZ30" i="29"/>
  <c r="CF98" i="29"/>
  <c r="W79" i="29"/>
  <c r="AW58" i="29"/>
  <c r="CR48" i="29"/>
  <c r="P45" i="29"/>
  <c r="CF92" i="29"/>
  <c r="BE30" i="29"/>
  <c r="CB25" i="29"/>
  <c r="DE45" i="29"/>
  <c r="CO66" i="29"/>
  <c r="CP21" i="29"/>
  <c r="CN71" i="29"/>
  <c r="Y13" i="29"/>
  <c r="AA89" i="29"/>
  <c r="CM75" i="29"/>
  <c r="V61" i="29"/>
  <c r="AR81" i="29"/>
  <c r="AT65" i="29"/>
  <c r="AQ71" i="29"/>
  <c r="AI91" i="29"/>
  <c r="H79" i="29"/>
  <c r="CK27" i="29"/>
  <c r="AR53" i="29"/>
  <c r="DA98" i="29"/>
  <c r="AD67" i="29"/>
  <c r="BR50" i="29"/>
  <c r="CH92" i="29"/>
  <c r="AG54" i="29"/>
  <c r="CQ58" i="29"/>
  <c r="CM89" i="29"/>
  <c r="CJ45" i="29"/>
  <c r="T25" i="29"/>
  <c r="BP96" i="29"/>
  <c r="AS53" i="29"/>
  <c r="AE91" i="29"/>
  <c r="P98" i="29"/>
  <c r="DA66" i="29"/>
  <c r="CM57" i="29"/>
  <c r="AY71" i="29"/>
  <c r="L10" i="29"/>
  <c r="AH13" i="29"/>
  <c r="BU53" i="29"/>
  <c r="BQ62" i="29"/>
  <c r="DC17" i="29"/>
  <c r="DE49" i="29"/>
  <c r="AA37" i="29"/>
  <c r="AZ34" i="29"/>
  <c r="DA67" i="29"/>
  <c r="BD96" i="29"/>
  <c r="L37" i="29"/>
  <c r="AQ25" i="29"/>
  <c r="BD98" i="29"/>
  <c r="O98" i="29"/>
  <c r="BE27" i="29"/>
  <c r="CH60" i="29"/>
  <c r="AZ26" i="29"/>
  <c r="CE102" i="29"/>
  <c r="BY81" i="29"/>
  <c r="AQ13" i="29"/>
  <c r="X66" i="29"/>
  <c r="BB75" i="29"/>
  <c r="AP54" i="29"/>
  <c r="AZ37" i="29"/>
  <c r="BW54" i="29"/>
  <c r="AM71" i="29"/>
  <c r="AF75" i="29"/>
  <c r="BT18" i="29"/>
  <c r="DC29" i="29"/>
  <c r="DA29" i="29"/>
  <c r="AD61" i="29"/>
  <c r="CN26" i="29"/>
  <c r="CI61" i="29"/>
  <c r="CC13" i="29"/>
  <c r="CA81" i="29"/>
  <c r="CT103" i="29"/>
  <c r="BY27" i="29"/>
  <c r="L48" i="29"/>
  <c r="CR9" i="29"/>
  <c r="DE34" i="29"/>
  <c r="CV54" i="29"/>
  <c r="BD57" i="29"/>
  <c r="Z81" i="29"/>
  <c r="AT57" i="29"/>
  <c r="AP62" i="29"/>
  <c r="AH53" i="29"/>
  <c r="AI53" i="29"/>
  <c r="CE9" i="29"/>
  <c r="CK54" i="29"/>
  <c r="AP49" i="29"/>
  <c r="CY103" i="29"/>
  <c r="L29" i="29"/>
  <c r="X91" i="29"/>
  <c r="CO58" i="29"/>
  <c r="CH29" i="29"/>
  <c r="AH81" i="29"/>
  <c r="BI30" i="29"/>
  <c r="AV53" i="29"/>
  <c r="DA18" i="29"/>
  <c r="DD98" i="29"/>
  <c r="DF10" i="29"/>
  <c r="AP13" i="29"/>
  <c r="Z65" i="29"/>
  <c r="M65" i="29"/>
  <c r="BZ9" i="29"/>
  <c r="J79" i="29"/>
  <c r="AE48" i="29"/>
  <c r="CC34" i="29"/>
  <c r="BV12" i="29"/>
  <c r="CY50" i="29"/>
  <c r="DB9" i="29"/>
  <c r="X27" i="29"/>
  <c r="CC25" i="29"/>
  <c r="DD37" i="29"/>
  <c r="G10" i="29"/>
  <c r="AN34" i="29"/>
  <c r="CN50" i="29"/>
  <c r="H12" i="29"/>
  <c r="M21" i="29"/>
  <c r="AW53" i="29"/>
  <c r="AE21" i="29"/>
  <c r="AJ30" i="29"/>
  <c r="CU24" i="29"/>
  <c r="BB67" i="29"/>
  <c r="AT60" i="29"/>
  <c r="M89" i="29"/>
  <c r="CN10" i="29"/>
  <c r="N71" i="29"/>
  <c r="CJ37" i="29"/>
  <c r="H57" i="29"/>
  <c r="U17" i="29"/>
  <c r="AS54" i="29"/>
  <c r="DC92" i="29"/>
  <c r="BW103" i="29"/>
  <c r="AS26" i="29"/>
  <c r="AH24" i="29"/>
  <c r="Y60" i="29"/>
  <c r="I50" i="29"/>
  <c r="BT26" i="29"/>
  <c r="BU81" i="29"/>
  <c r="CE91" i="29"/>
  <c r="AA45" i="29"/>
  <c r="BA10" i="29"/>
  <c r="I13" i="29"/>
  <c r="CX57" i="29"/>
  <c r="CZ26" i="29"/>
  <c r="CN13" i="29"/>
  <c r="DC37" i="29"/>
  <c r="AV9" i="29"/>
  <c r="CP9" i="29"/>
  <c r="CP45" i="29"/>
  <c r="AV25" i="29"/>
  <c r="M75" i="29"/>
  <c r="CC89" i="29"/>
  <c r="Y45" i="29"/>
  <c r="CM103" i="29"/>
  <c r="O10" i="29"/>
  <c r="AV81" i="29"/>
  <c r="CT50" i="29"/>
  <c r="CZ57" i="29"/>
  <c r="BP30" i="29"/>
  <c r="DA10" i="29"/>
  <c r="AJ58" i="29"/>
  <c r="T17" i="29"/>
  <c r="U58" i="29"/>
  <c r="BC67" i="29"/>
  <c r="M49" i="29"/>
  <c r="CZ103" i="29"/>
  <c r="DE24" i="29"/>
  <c r="AO89" i="29"/>
  <c r="AO12" i="29"/>
  <c r="BW37" i="29"/>
  <c r="CW96" i="29"/>
  <c r="N92" i="29"/>
  <c r="P18" i="29"/>
  <c r="AF59" i="29"/>
  <c r="J54" i="29"/>
  <c r="CT49" i="29"/>
  <c r="AQ54" i="29"/>
  <c r="BY34" i="29"/>
  <c r="AQ17" i="29"/>
  <c r="BW34" i="29"/>
  <c r="CJ12" i="29"/>
  <c r="AY75" i="29"/>
  <c r="CI67" i="29"/>
  <c r="CL18" i="29"/>
  <c r="AB54" i="29"/>
  <c r="AN81" i="29"/>
  <c r="H60" i="29"/>
  <c r="AR24" i="29"/>
  <c r="CW89" i="29"/>
  <c r="CR53" i="29"/>
  <c r="CE53" i="29"/>
  <c r="CZ66" i="29"/>
  <c r="AT79" i="29"/>
  <c r="CA21" i="29"/>
  <c r="AQ50" i="29"/>
  <c r="Y48" i="29"/>
  <c r="CB92" i="29"/>
  <c r="DA103" i="29"/>
  <c r="CN17" i="29"/>
  <c r="CF62" i="29"/>
  <c r="BR75" i="29"/>
  <c r="CL103" i="29"/>
  <c r="BD58" i="29"/>
  <c r="CT37" i="29"/>
  <c r="AY21" i="29"/>
  <c r="CI89" i="29"/>
  <c r="AO71" i="29"/>
  <c r="CC65" i="29"/>
  <c r="AM25" i="29"/>
  <c r="DC12" i="29"/>
  <c r="AG89" i="29"/>
  <c r="AJ60" i="29"/>
  <c r="CV57" i="29"/>
  <c r="AC25" i="29"/>
  <c r="AS65" i="29"/>
  <c r="BA60" i="29"/>
  <c r="AE89" i="29"/>
  <c r="P91" i="29"/>
  <c r="BY91" i="29"/>
  <c r="CZ49" i="29"/>
  <c r="CQ79" i="29"/>
  <c r="CH81" i="29"/>
  <c r="U37" i="29"/>
  <c r="AE102" i="29"/>
  <c r="AI65" i="29"/>
  <c r="DA12" i="29"/>
  <c r="CW45" i="29"/>
  <c r="AA24" i="29"/>
  <c r="CO61" i="29"/>
  <c r="CX27" i="29"/>
  <c r="BS75" i="29"/>
  <c r="DC18" i="29"/>
  <c r="AY89" i="29"/>
  <c r="BB54" i="29"/>
  <c r="AA57" i="29"/>
  <c r="CS34" i="29"/>
  <c r="CF102" i="29"/>
  <c r="CH45" i="29"/>
  <c r="AN26" i="29"/>
  <c r="CB103" i="29"/>
  <c r="CO103" i="29"/>
  <c r="AY60" i="29"/>
  <c r="AM75" i="29"/>
  <c r="CP96" i="29"/>
  <c r="CH34" i="29"/>
  <c r="BE59" i="29"/>
  <c r="CS27" i="29"/>
  <c r="CM71" i="29"/>
  <c r="AY65" i="29"/>
  <c r="DC34" i="29"/>
  <c r="BD30" i="29"/>
  <c r="BU48" i="29"/>
  <c r="G98" i="29"/>
  <c r="I25" i="29"/>
  <c r="CF45" i="29"/>
  <c r="K71" i="29"/>
  <c r="J67" i="29"/>
  <c r="CM48" i="29"/>
  <c r="AJ17" i="29"/>
  <c r="CE71" i="29"/>
  <c r="M96" i="29"/>
  <c r="BS66" i="29"/>
  <c r="AS59" i="29"/>
  <c r="V89" i="29"/>
  <c r="AE60" i="29"/>
  <c r="AN9" i="29"/>
  <c r="AN89" i="29"/>
  <c r="DE75" i="29"/>
  <c r="CZ58" i="29"/>
  <c r="W71" i="29"/>
  <c r="BV60" i="29"/>
  <c r="CI53" i="29"/>
  <c r="AU59" i="29"/>
  <c r="CM79" i="29"/>
  <c r="BH67" i="29"/>
  <c r="AX9" i="29"/>
  <c r="AX65" i="29"/>
  <c r="CT66" i="29"/>
  <c r="AT62" i="29"/>
  <c r="G59" i="29"/>
  <c r="BT48" i="29"/>
  <c r="CV62" i="29"/>
  <c r="O25" i="29"/>
  <c r="CA49" i="29"/>
  <c r="BQ34" i="29"/>
  <c r="AH49" i="29"/>
  <c r="CK18" i="29"/>
  <c r="CQ66" i="29"/>
  <c r="CX30" i="29"/>
  <c r="CI45" i="29"/>
  <c r="BT96" i="29"/>
  <c r="AA67" i="29"/>
  <c r="BS12" i="29"/>
  <c r="AO9" i="29"/>
  <c r="BS50" i="29"/>
  <c r="S61" i="29"/>
  <c r="CQ10" i="29"/>
  <c r="CW17" i="29"/>
  <c r="CS58" i="29"/>
  <c r="AV12" i="29"/>
  <c r="G34" i="29"/>
  <c r="BY66" i="29"/>
  <c r="CW34" i="29"/>
  <c r="CW67" i="29"/>
  <c r="DA81" i="29"/>
  <c r="CX50" i="29"/>
  <c r="AH89" i="29"/>
  <c r="AR29" i="29"/>
  <c r="BR54" i="29"/>
  <c r="CD67" i="29"/>
  <c r="CA12" i="29"/>
  <c r="DE9" i="29"/>
  <c r="Z59" i="29"/>
  <c r="AQ26" i="29"/>
  <c r="CU96" i="29"/>
  <c r="J10" i="29"/>
  <c r="CJ65" i="29"/>
  <c r="G92" i="29"/>
  <c r="AZ54" i="29"/>
  <c r="CD18" i="29"/>
  <c r="CT27" i="29"/>
  <c r="AX102" i="29"/>
  <c r="CD58" i="29"/>
  <c r="AD79" i="29"/>
  <c r="BY54" i="29"/>
  <c r="CQ89" i="29"/>
  <c r="AV61" i="29"/>
  <c r="AH26" i="29"/>
  <c r="BQ96" i="29"/>
  <c r="CJ81" i="29"/>
  <c r="CA67" i="29"/>
  <c r="DB48" i="29"/>
  <c r="BB48" i="29"/>
  <c r="O65" i="29"/>
  <c r="CX81" i="29"/>
  <c r="S27" i="29"/>
  <c r="BD26" i="29"/>
  <c r="CZ102" i="29"/>
  <c r="BV45" i="29"/>
  <c r="BW89" i="29"/>
  <c r="AP17" i="29"/>
  <c r="H61" i="29"/>
  <c r="AT27" i="29"/>
  <c r="CQ25" i="29"/>
  <c r="CC62" i="29"/>
  <c r="CO91" i="29"/>
  <c r="DD13" i="29"/>
  <c r="J49" i="29"/>
  <c r="AY58" i="29"/>
  <c r="CQ75" i="29"/>
  <c r="BZ75" i="29"/>
  <c r="M48" i="29"/>
  <c r="O26" i="29"/>
  <c r="U30" i="29"/>
  <c r="K62" i="29"/>
  <c r="BQ57" i="29"/>
  <c r="BQ60" i="29"/>
  <c r="K18" i="29"/>
  <c r="BH49" i="29"/>
  <c r="AH50" i="29"/>
  <c r="CQ57" i="29"/>
  <c r="CX89" i="29"/>
  <c r="AZ58" i="29"/>
  <c r="CF81" i="29"/>
  <c r="CL91" i="29"/>
  <c r="AF89" i="29"/>
  <c r="AZ17" i="29"/>
  <c r="J45" i="29"/>
  <c r="DB98" i="29"/>
  <c r="AG34" i="29"/>
  <c r="CW71" i="29"/>
  <c r="DB59" i="29"/>
  <c r="CW13" i="29"/>
  <c r="DF26" i="29"/>
  <c r="BV67" i="29"/>
  <c r="S65" i="29"/>
  <c r="AF48" i="29"/>
  <c r="AJ18" i="29"/>
  <c r="CG79" i="29"/>
  <c r="BQ59" i="29"/>
  <c r="DF37" i="29"/>
  <c r="CU12" i="29"/>
  <c r="AJ50" i="29"/>
  <c r="BI10" i="29"/>
  <c r="AZ62" i="29"/>
  <c r="AN92" i="29"/>
  <c r="DA50" i="29"/>
  <c r="CR54" i="29"/>
  <c r="BX21" i="29"/>
  <c r="V10" i="29"/>
  <c r="AN29" i="29"/>
  <c r="DB67" i="29"/>
  <c r="BC75" i="29"/>
  <c r="BT27" i="29"/>
  <c r="CH67" i="29"/>
  <c r="AS98" i="29"/>
  <c r="CA91" i="29"/>
  <c r="Z10" i="29"/>
  <c r="BX92" i="29"/>
  <c r="AT34" i="29"/>
  <c r="BU98" i="29"/>
  <c r="BH12" i="29"/>
  <c r="J13" i="29"/>
  <c r="BT57" i="29"/>
  <c r="AD45" i="29"/>
  <c r="AB48" i="29"/>
  <c r="BP13" i="29"/>
  <c r="BH50" i="29"/>
  <c r="AM65" i="29"/>
  <c r="CP49" i="29"/>
  <c r="CJ91" i="29"/>
  <c r="Y62" i="29"/>
  <c r="BX67" i="29"/>
  <c r="BX53" i="29"/>
  <c r="AQ53" i="29"/>
  <c r="AI61" i="29"/>
  <c r="CG26" i="29"/>
  <c r="CU26" i="29"/>
  <c r="Z53" i="29"/>
  <c r="AF79" i="29"/>
  <c r="CC49" i="29"/>
  <c r="BE79" i="29"/>
  <c r="CC45" i="29"/>
  <c r="CK75" i="29"/>
  <c r="AO62" i="29"/>
  <c r="CL9" i="29"/>
  <c r="V60" i="29"/>
  <c r="CR27" i="29"/>
  <c r="BY48" i="29"/>
  <c r="CX62" i="29"/>
  <c r="DD57" i="29"/>
  <c r="BX25" i="29"/>
  <c r="Z9" i="29"/>
  <c r="Y61" i="29"/>
  <c r="CD27" i="29"/>
  <c r="CW37" i="29"/>
  <c r="BZ10" i="29"/>
  <c r="AF81" i="29"/>
  <c r="CK30" i="29"/>
  <c r="N17" i="29"/>
  <c r="AB102" i="29"/>
  <c r="BV27" i="29"/>
  <c r="N60" i="29"/>
  <c r="AN57" i="29"/>
  <c r="AO81" i="29"/>
  <c r="DE58" i="29"/>
  <c r="AD12" i="29"/>
  <c r="AH9" i="29"/>
  <c r="V34" i="29"/>
  <c r="J96" i="29"/>
  <c r="CB66" i="29"/>
  <c r="CK58" i="29"/>
  <c r="AC21" i="29"/>
  <c r="G21" i="29"/>
  <c r="AF21" i="29"/>
  <c r="P81" i="29"/>
  <c r="BR9" i="29"/>
  <c r="CB37" i="29"/>
  <c r="BW58" i="29"/>
  <c r="CL24" i="29"/>
  <c r="CT89" i="29"/>
  <c r="BW96" i="29"/>
  <c r="AR91" i="29"/>
  <c r="CD29" i="29"/>
  <c r="X59" i="29"/>
  <c r="AC49" i="29"/>
  <c r="AD62" i="29"/>
  <c r="P67" i="29"/>
  <c r="BY57" i="29"/>
  <c r="Z24" i="29"/>
  <c r="CJ21" i="29"/>
  <c r="AB37" i="29"/>
  <c r="J59" i="29"/>
  <c r="G53" i="29"/>
  <c r="DA57" i="29"/>
  <c r="DA49" i="29"/>
  <c r="CU57" i="29"/>
  <c r="BI50" i="29"/>
  <c r="AN10" i="29"/>
  <c r="CE13" i="29"/>
  <c r="BR49" i="29"/>
  <c r="AY96" i="29"/>
  <c r="AY50" i="29"/>
  <c r="L34" i="29"/>
  <c r="CP91" i="29"/>
  <c r="BC98" i="29"/>
  <c r="AY54" i="29"/>
  <c r="AY98" i="29"/>
  <c r="AN65" i="29"/>
  <c r="BC60" i="29"/>
  <c r="CI21" i="29"/>
  <c r="CM91" i="29"/>
  <c r="CP103" i="29"/>
  <c r="H26" i="29"/>
  <c r="L79" i="29"/>
  <c r="BH18" i="29"/>
  <c r="AE13" i="29"/>
  <c r="BZ24" i="29"/>
  <c r="BI9" i="29"/>
  <c r="BY45" i="29"/>
  <c r="G57" i="29"/>
  <c r="AR79" i="29"/>
  <c r="AJ54" i="29"/>
  <c r="AI66" i="29"/>
  <c r="M81" i="29"/>
  <c r="BA48" i="29"/>
  <c r="AO13" i="29"/>
  <c r="CA53" i="29"/>
  <c r="M54" i="29"/>
  <c r="CP30" i="29"/>
  <c r="BH59" i="29"/>
  <c r="AG30" i="29"/>
  <c r="DD24" i="29"/>
  <c r="K31" i="109"/>
  <c r="AM48" i="29"/>
  <c r="DE65" i="29"/>
  <c r="CS37" i="29"/>
  <c r="BW18" i="29"/>
  <c r="CP71" i="29"/>
  <c r="AD58" i="29"/>
  <c r="H9" i="29"/>
  <c r="BY24" i="29"/>
  <c r="H81" i="29"/>
  <c r="CF27" i="29"/>
  <c r="I65" i="29"/>
  <c r="AC29" i="29"/>
  <c r="CA96" i="29"/>
  <c r="AE61" i="29"/>
  <c r="CI24" i="29"/>
  <c r="G60" i="29"/>
  <c r="CR34" i="29"/>
  <c r="BS21" i="29"/>
  <c r="CL60" i="29"/>
  <c r="BC89" i="29"/>
  <c r="BP37" i="29"/>
  <c r="H17" i="29"/>
  <c r="BV59" i="29"/>
  <c r="CL21" i="29"/>
  <c r="AT71" i="29"/>
  <c r="BH9" i="29"/>
  <c r="AY12" i="29"/>
  <c r="CM13" i="29"/>
  <c r="DD75" i="29"/>
  <c r="CE96" i="29"/>
  <c r="BT12" i="29"/>
  <c r="N57" i="29"/>
  <c r="CH103" i="29"/>
  <c r="BW45" i="29"/>
  <c r="AQ61" i="29"/>
  <c r="CB18" i="29"/>
  <c r="BW62" i="29"/>
  <c r="N58" i="29"/>
  <c r="AJ67" i="29"/>
  <c r="M91" i="29"/>
  <c r="CP65" i="29"/>
  <c r="W18" i="29"/>
  <c r="AR65" i="29"/>
  <c r="T10" i="29"/>
  <c r="CG60" i="29"/>
  <c r="DF102" i="29"/>
  <c r="AW89" i="29"/>
  <c r="AI48" i="29"/>
  <c r="AQ91" i="29"/>
  <c r="AP10" i="29"/>
  <c r="AA71" i="29"/>
  <c r="AI57" i="29"/>
  <c r="AV58" i="29"/>
  <c r="CN65" i="29"/>
  <c r="CW25" i="29"/>
  <c r="AZ75" i="29"/>
  <c r="CF17" i="29"/>
  <c r="N89" i="29"/>
  <c r="W89" i="29"/>
  <c r="AW102" i="29"/>
  <c r="CG21" i="29"/>
  <c r="J61" i="29"/>
  <c r="X18" i="29"/>
  <c r="AH48" i="29"/>
  <c r="AB27" i="29"/>
  <c r="AM81" i="29"/>
  <c r="AQ12" i="29"/>
  <c r="AN59" i="29"/>
  <c r="BI71" i="29"/>
  <c r="CT45" i="29"/>
  <c r="CS48" i="29"/>
  <c r="AV37" i="29"/>
  <c r="CE25" i="29"/>
  <c r="CC59" i="29"/>
  <c r="CQ37" i="29"/>
  <c r="Y50" i="29"/>
  <c r="BB10" i="29"/>
  <c r="CC92" i="29"/>
  <c r="DE29" i="29"/>
  <c r="X21" i="29"/>
  <c r="Y98" i="29"/>
  <c r="AY49" i="29"/>
  <c r="W58" i="29"/>
  <c r="BS49" i="29"/>
  <c r="H24" i="29"/>
  <c r="CX24" i="29"/>
  <c r="Z48" i="29"/>
  <c r="T49" i="29"/>
  <c r="BV66" i="29"/>
  <c r="CY21" i="29"/>
  <c r="AC66" i="29"/>
  <c r="G102" i="29"/>
  <c r="CF9" i="29"/>
  <c r="CZ48" i="29"/>
  <c r="S58" i="29"/>
  <c r="CD81" i="29"/>
  <c r="CL37" i="29"/>
  <c r="CV34" i="29"/>
  <c r="DB26" i="29"/>
  <c r="DA30" i="29"/>
  <c r="CM62" i="29"/>
  <c r="CH62" i="29"/>
  <c r="BV91" i="29"/>
  <c r="CR57" i="29"/>
  <c r="CX103" i="29"/>
  <c r="CW21" i="29"/>
  <c r="AH75" i="29"/>
  <c r="DC98" i="29"/>
  <c r="BO34" i="29"/>
  <c r="CU67" i="29"/>
  <c r="BU12" i="29"/>
  <c r="AV24" i="29"/>
  <c r="J58" i="29"/>
  <c r="CQ59" i="29"/>
  <c r="CC67" i="29"/>
  <c r="CZ61" i="29"/>
  <c r="BI57" i="29"/>
  <c r="BX12" i="29"/>
  <c r="CP12" i="29"/>
  <c r="BY12" i="29"/>
  <c r="CE98" i="29"/>
  <c r="CC66" i="29"/>
  <c r="BV21" i="29"/>
  <c r="BS29" i="29"/>
  <c r="CY24" i="29"/>
  <c r="BS102" i="29"/>
  <c r="CG53" i="29"/>
  <c r="AH92" i="29"/>
  <c r="AU65" i="29"/>
  <c r="BC96" i="29"/>
  <c r="CJ24" i="29"/>
  <c r="S13" i="29"/>
  <c r="CO54" i="29"/>
  <c r="BU96" i="29"/>
  <c r="N62" i="29"/>
  <c r="V67" i="29"/>
  <c r="CI27" i="29"/>
  <c r="CU59" i="29"/>
  <c r="CU9" i="29"/>
  <c r="BZ45" i="29"/>
  <c r="J37" i="29"/>
  <c r="CI34" i="29"/>
  <c r="AS34" i="29"/>
  <c r="G65" i="29"/>
  <c r="AS49" i="29"/>
  <c r="CA9" i="29"/>
  <c r="K60" i="29"/>
  <c r="CW66" i="29"/>
  <c r="O57" i="29"/>
  <c r="BW25" i="29"/>
  <c r="AD91" i="29"/>
  <c r="AX53" i="29"/>
  <c r="V66" i="29"/>
  <c r="BD27" i="29"/>
  <c r="AP25" i="29"/>
  <c r="AA59" i="29"/>
  <c r="BO62" i="29"/>
  <c r="N102" i="29"/>
  <c r="CB60" i="29"/>
  <c r="G31" i="109"/>
  <c r="DB29" i="29"/>
  <c r="CV21" i="29"/>
  <c r="AB62" i="29"/>
  <c r="BE25" i="29"/>
  <c r="CN49" i="29"/>
  <c r="AZ10" i="29"/>
  <c r="CN29" i="29"/>
  <c r="AV10" i="29"/>
  <c r="U34" i="29"/>
  <c r="Z89" i="29"/>
  <c r="CI30" i="29"/>
  <c r="X57" i="29"/>
  <c r="CD25" i="29"/>
  <c r="BO96" i="29"/>
  <c r="BE9" i="29"/>
  <c r="AJ81" i="29"/>
  <c r="BV79" i="29"/>
  <c r="CS18" i="29"/>
  <c r="CF71" i="29"/>
  <c r="CY71" i="29"/>
  <c r="Y25" i="29"/>
  <c r="BW53" i="29"/>
  <c r="BW49" i="29"/>
  <c r="AH58" i="29"/>
  <c r="W30" i="29"/>
  <c r="G66" i="29"/>
  <c r="BI45" i="29"/>
  <c r="CM25" i="29"/>
  <c r="DB25" i="29"/>
  <c r="DB17" i="29"/>
  <c r="DE71" i="29"/>
  <c r="AU29" i="29"/>
  <c r="CK62" i="29"/>
  <c r="AA54" i="29"/>
  <c r="BS98" i="29"/>
  <c r="I67" i="29"/>
  <c r="AI67" i="29"/>
  <c r="AU50" i="29"/>
  <c r="AN53" i="29"/>
  <c r="CX34" i="29"/>
  <c r="BE45" i="29"/>
  <c r="AC81" i="29"/>
  <c r="BV50" i="29"/>
  <c r="CZ17" i="29"/>
  <c r="CH61" i="29"/>
  <c r="AY17" i="29"/>
  <c r="DC91" i="29"/>
  <c r="P17" i="29"/>
  <c r="DE27" i="29"/>
  <c r="BU26" i="29"/>
  <c r="CI81" i="29"/>
  <c r="Z21" i="29"/>
  <c r="Y21" i="29"/>
  <c r="AC13" i="29"/>
  <c r="DE10" i="29"/>
  <c r="CZ53" i="29"/>
  <c r="DB102" i="29"/>
  <c r="X25" i="29"/>
  <c r="AD48" i="29"/>
  <c r="G49" i="29"/>
  <c r="AA58" i="29"/>
  <c r="CR29" i="29"/>
  <c r="AP30" i="29"/>
  <c r="AN60" i="29"/>
  <c r="CC29" i="29"/>
  <c r="CF21" i="29"/>
  <c r="CB34" i="29"/>
  <c r="CG45" i="29"/>
  <c r="CJ61" i="29"/>
  <c r="AQ66" i="29"/>
  <c r="AJ59" i="29"/>
  <c r="AZ57" i="29"/>
  <c r="CV48" i="29"/>
  <c r="BA18" i="29"/>
  <c r="CY18" i="29"/>
  <c r="AE45" i="29"/>
  <c r="CX13" i="29"/>
  <c r="BE58" i="29"/>
  <c r="CJ58" i="29"/>
  <c r="CP98" i="29"/>
  <c r="BA89" i="29"/>
  <c r="CD103" i="29"/>
  <c r="AR21" i="29"/>
  <c r="BB96" i="29"/>
  <c r="BZ26" i="29"/>
  <c r="BI62" i="29"/>
  <c r="G67" i="29"/>
  <c r="BW10" i="29"/>
  <c r="X62" i="29"/>
  <c r="AG24" i="29"/>
  <c r="AN13" i="29"/>
  <c r="BW91" i="29"/>
  <c r="DB81" i="29"/>
  <c r="CZ81" i="29"/>
  <c r="W91" i="29"/>
  <c r="G37" i="29"/>
  <c r="CD66" i="29"/>
  <c r="BZ61" i="29"/>
  <c r="CP17" i="29"/>
  <c r="CW65" i="29"/>
  <c r="CE54" i="29"/>
  <c r="CU103" i="29"/>
  <c r="AP67" i="29"/>
  <c r="BY75" i="29"/>
  <c r="CE12" i="29"/>
  <c r="CO57" i="29"/>
  <c r="L81" i="29"/>
  <c r="AT18" i="29"/>
  <c r="BY62" i="29"/>
  <c r="I71" i="29"/>
  <c r="Z13" i="29"/>
  <c r="BA50" i="29"/>
  <c r="Z12" i="29"/>
  <c r="BV26" i="29"/>
  <c r="T50" i="29"/>
  <c r="I96" i="29"/>
  <c r="CV30" i="29"/>
  <c r="DF62" i="29"/>
  <c r="AQ10" i="29"/>
  <c r="X50" i="29"/>
  <c r="N49" i="29"/>
  <c r="O50" i="29"/>
  <c r="CT65" i="29"/>
  <c r="BB65" i="29"/>
  <c r="CM45" i="29"/>
  <c r="K75" i="29"/>
  <c r="AM91" i="29"/>
  <c r="BI60" i="29"/>
  <c r="W26" i="29"/>
  <c r="CA103" i="29"/>
  <c r="CK49" i="29"/>
  <c r="AF18" i="29"/>
  <c r="O21" i="29"/>
  <c r="BU25" i="29"/>
  <c r="AA50" i="29"/>
  <c r="BI58" i="29"/>
  <c r="W61" i="29"/>
  <c r="CG103" i="29"/>
  <c r="CE45" i="29"/>
  <c r="CH12" i="29"/>
  <c r="BR25" i="29"/>
  <c r="BD24" i="29"/>
  <c r="V30" i="29"/>
  <c r="AI24" i="29"/>
  <c r="DD91" i="29"/>
  <c r="CC27" i="29"/>
  <c r="BB18" i="29"/>
  <c r="BT59" i="29"/>
  <c r="CX71" i="29"/>
  <c r="BV48" i="29"/>
  <c r="BU91" i="29"/>
  <c r="CN48" i="29"/>
  <c r="AA60" i="29"/>
  <c r="AI98" i="29"/>
  <c r="AE24" i="29"/>
  <c r="CJ25" i="29"/>
  <c r="CT71" i="29"/>
  <c r="AC17" i="29"/>
  <c r="BV10" i="29"/>
  <c r="CM96" i="29"/>
  <c r="K53" i="29"/>
  <c r="CN9" i="29"/>
  <c r="X13" i="29"/>
  <c r="AV66" i="29"/>
  <c r="AW48" i="29"/>
  <c r="CM49" i="29"/>
  <c r="BS58" i="29"/>
  <c r="BP59" i="29"/>
  <c r="J60" i="29"/>
  <c r="CX67" i="29"/>
  <c r="BQ45" i="29"/>
  <c r="BU58" i="29"/>
  <c r="BB57" i="29"/>
  <c r="CG66" i="29"/>
  <c r="M24" i="29"/>
  <c r="DE13" i="29"/>
  <c r="AZ61" i="29"/>
  <c r="BS30" i="29"/>
  <c r="DB58" i="29"/>
  <c r="L61" i="29"/>
  <c r="CE21" i="29"/>
  <c r="Y96" i="29"/>
  <c r="AJ34" i="29"/>
  <c r="BO65" i="29"/>
  <c r="CP102" i="29"/>
  <c r="AJ53" i="29"/>
  <c r="BT98" i="29"/>
  <c r="I98" i="29"/>
  <c r="U13" i="29"/>
  <c r="T61" i="29"/>
  <c r="M62" i="29"/>
  <c r="P57" i="29"/>
  <c r="AY24" i="29"/>
  <c r="S89" i="29"/>
  <c r="DF92" i="29"/>
  <c r="AQ79" i="29"/>
  <c r="DF57" i="29"/>
  <c r="BQ75" i="29"/>
  <c r="P60" i="29"/>
  <c r="CA45" i="29"/>
  <c r="AG60" i="29"/>
  <c r="U62" i="29"/>
  <c r="CI91" i="29"/>
  <c r="H37" i="29"/>
  <c r="CU54" i="29"/>
  <c r="AT29" i="29"/>
  <c r="CR37" i="29"/>
  <c r="BH34" i="29"/>
  <c r="BP45" i="29"/>
  <c r="CE103" i="29"/>
  <c r="AW27" i="29"/>
  <c r="O34" i="29"/>
  <c r="AX34" i="29"/>
  <c r="AG18" i="29"/>
  <c r="CO18" i="29"/>
  <c r="CX25" i="29"/>
  <c r="BT50" i="29"/>
  <c r="Y91" i="29"/>
  <c r="AZ45" i="29"/>
  <c r="BB62" i="29"/>
  <c r="BZ81" i="29"/>
  <c r="BW48" i="29"/>
  <c r="CT48" i="29"/>
  <c r="CF24" i="29"/>
  <c r="CV91" i="29"/>
  <c r="CU21" i="29"/>
  <c r="N21" i="29"/>
  <c r="AD89" i="29"/>
  <c r="N66" i="29"/>
  <c r="DC13" i="29"/>
  <c r="T67" i="29"/>
  <c r="AG57" i="29"/>
  <c r="BI59" i="29"/>
  <c r="AS13" i="29"/>
  <c r="CT75" i="29"/>
  <c r="AZ65" i="29"/>
  <c r="J50" i="29"/>
  <c r="CO48" i="29"/>
  <c r="DA61" i="29"/>
  <c r="BU92" i="29"/>
  <c r="DF59" i="29"/>
  <c r="BY89" i="29"/>
  <c r="AV79" i="29"/>
  <c r="AH79" i="29"/>
  <c r="J81" i="29"/>
  <c r="CQ18" i="29"/>
  <c r="BR24" i="29"/>
  <c r="AS96" i="29"/>
  <c r="X48" i="29"/>
  <c r="AU57" i="29"/>
  <c r="CO102" i="29"/>
  <c r="BE48" i="29"/>
  <c r="AE34" i="29"/>
  <c r="BZ92" i="29"/>
  <c r="AB24" i="29"/>
  <c r="P34" i="29"/>
  <c r="U27" i="29"/>
  <c r="U29" i="29"/>
  <c r="AW60" i="29"/>
  <c r="BT79" i="29"/>
  <c r="L12" i="29"/>
  <c r="CW75" i="29"/>
  <c r="CD30" i="29"/>
  <c r="AR37" i="29"/>
  <c r="AG79" i="29"/>
  <c r="CI9" i="29"/>
  <c r="CO49" i="29"/>
  <c r="BD25" i="29"/>
  <c r="DE98" i="29"/>
  <c r="AM58" i="29"/>
  <c r="AX96" i="29"/>
  <c r="BY60" i="29"/>
  <c r="BZ89" i="29"/>
  <c r="BY98" i="29"/>
  <c r="CK12" i="29"/>
  <c r="U18" i="29"/>
  <c r="CB79" i="29"/>
  <c r="CK103" i="29"/>
  <c r="CQ96" i="29"/>
  <c r="K61" i="29"/>
  <c r="BB27" i="29"/>
  <c r="AH59" i="29"/>
  <c r="CX45" i="29"/>
  <c r="AO58" i="29"/>
  <c r="CN34" i="29"/>
  <c r="AP57" i="29"/>
  <c r="AT92" i="29"/>
  <c r="AO48" i="29"/>
  <c r="AY18" i="29"/>
  <c r="CD49" i="29"/>
  <c r="AH18" i="29"/>
  <c r="AW9" i="29"/>
  <c r="M13" i="29"/>
  <c r="AM96" i="29"/>
  <c r="AT91" i="29"/>
  <c r="BI29" i="29"/>
  <c r="CV81" i="29"/>
  <c r="BT30" i="29"/>
  <c r="X12" i="29"/>
  <c r="AF67" i="29"/>
  <c r="CY25" i="29"/>
  <c r="CH91" i="29"/>
  <c r="CU91" i="29"/>
  <c r="CI75" i="29"/>
  <c r="CK66" i="29"/>
  <c r="CV17" i="29"/>
  <c r="AX37" i="29"/>
  <c r="BD9" i="29"/>
  <c r="CE89" i="29"/>
  <c r="BA62" i="29"/>
  <c r="U66" i="29"/>
  <c r="Z60" i="29"/>
  <c r="CK79" i="29"/>
  <c r="J65" i="29"/>
  <c r="BA92" i="29"/>
  <c r="CR12" i="29"/>
  <c r="CN45" i="29"/>
  <c r="G58" i="29"/>
  <c r="H102" i="29"/>
  <c r="AE17" i="29"/>
  <c r="CK53" i="29"/>
  <c r="CF65" i="29"/>
  <c r="BZ18" i="29"/>
  <c r="CA54" i="29"/>
  <c r="AB60" i="29"/>
  <c r="BW71" i="29"/>
  <c r="Y29" i="29"/>
  <c r="CK25" i="29"/>
  <c r="CC60" i="29"/>
  <c r="AG13" i="29"/>
  <c r="DD81" i="29"/>
  <c r="BT34" i="29"/>
  <c r="BA17" i="29"/>
  <c r="X30" i="29"/>
  <c r="CQ61" i="29"/>
  <c r="BI12" i="29"/>
  <c r="AN18" i="29"/>
  <c r="S81" i="29"/>
  <c r="AO18" i="29"/>
  <c r="CA48" i="29"/>
  <c r="AV102" i="29"/>
  <c r="CL25" i="29"/>
  <c r="M37" i="29"/>
  <c r="CH53" i="29"/>
  <c r="G13" i="29"/>
  <c r="AQ57" i="29"/>
  <c r="X58" i="29"/>
  <c r="AR12" i="29"/>
  <c r="AN17" i="29"/>
  <c r="CX65" i="29"/>
  <c r="N25" i="29"/>
  <c r="AD26" i="29"/>
  <c r="CT24" i="29"/>
  <c r="AJ89" i="29"/>
  <c r="CJ92" i="29"/>
  <c r="CL45" i="29"/>
  <c r="AC53" i="29"/>
  <c r="Y12" i="29"/>
  <c r="BR103" i="29"/>
  <c r="DC61" i="29"/>
  <c r="O71" i="29"/>
  <c r="H75" i="29"/>
  <c r="BI49" i="29"/>
  <c r="AH45" i="29"/>
  <c r="AQ98" i="29"/>
  <c r="CZ30" i="29"/>
  <c r="BX65" i="29"/>
  <c r="BY96" i="29"/>
  <c r="AT98" i="29"/>
  <c r="AQ9" i="29"/>
  <c r="BY65" i="29"/>
  <c r="CP61" i="29"/>
  <c r="BD37" i="29"/>
  <c r="Y71" i="29"/>
  <c r="CJ18" i="29"/>
  <c r="CX79" i="29"/>
  <c r="AY57" i="29"/>
  <c r="CH9" i="29"/>
  <c r="AW21" i="29"/>
  <c r="AV27" i="29"/>
  <c r="CE57" i="29"/>
  <c r="BI66" i="29"/>
  <c r="BD65" i="29"/>
  <c r="AO102" i="29"/>
  <c r="P79" i="29"/>
  <c r="AV49" i="29"/>
  <c r="DD9" i="29"/>
  <c r="CT59" i="29"/>
  <c r="BU10" i="29"/>
  <c r="BO37" i="29"/>
  <c r="CV45" i="29"/>
  <c r="AO34" i="29"/>
  <c r="M26" i="29"/>
  <c r="AR67" i="29"/>
  <c r="AY45" i="29"/>
  <c r="BV13" i="29"/>
  <c r="BA9" i="29"/>
  <c r="J89" i="29"/>
  <c r="V54" i="29"/>
  <c r="CK61" i="29"/>
  <c r="AW61" i="29"/>
  <c r="CA59" i="29"/>
  <c r="H34" i="29"/>
  <c r="AE37" i="29"/>
  <c r="AF92" i="29"/>
  <c r="CA98" i="29"/>
  <c r="BU59" i="29"/>
  <c r="BS57" i="29"/>
  <c r="BB92" i="29"/>
  <c r="DA102" i="29"/>
  <c r="AT75" i="29"/>
  <c r="AS24" i="29"/>
  <c r="AD37" i="29"/>
  <c r="BX102" i="29"/>
  <c r="BW102" i="29"/>
  <c r="G26" i="29"/>
  <c r="BE60" i="29"/>
  <c r="AG66" i="29"/>
  <c r="CU61" i="29"/>
  <c r="H89" i="29"/>
  <c r="CE17" i="29"/>
  <c r="AQ65" i="29"/>
  <c r="AU25" i="29"/>
  <c r="I12" i="29"/>
  <c r="CX48" i="29"/>
  <c r="I61" i="29"/>
  <c r="CL34" i="29"/>
  <c r="AE79" i="29"/>
  <c r="DD50" i="29"/>
  <c r="P12" i="29"/>
  <c r="AO91" i="29"/>
  <c r="CS89" i="29"/>
  <c r="S48" i="29"/>
  <c r="BS48" i="29"/>
  <c r="AN96" i="29"/>
  <c r="AM13" i="29"/>
  <c r="AQ18" i="29"/>
  <c r="DE18" i="29"/>
  <c r="DF18" i="29"/>
  <c r="BW50" i="29"/>
  <c r="AM89" i="29"/>
  <c r="U71" i="29"/>
  <c r="BS91" i="29"/>
  <c r="CA61" i="29"/>
  <c r="BO48" i="29"/>
  <c r="CK59" i="29"/>
  <c r="P53" i="29"/>
  <c r="CU89" i="29"/>
  <c r="CG30" i="29"/>
  <c r="AI75" i="29"/>
  <c r="CA57" i="29"/>
  <c r="CS62" i="29"/>
  <c r="AD66" i="29"/>
  <c r="AR34" i="29"/>
  <c r="DB71" i="29"/>
  <c r="AZ49" i="29"/>
  <c r="CL26" i="29"/>
  <c r="AO57" i="29"/>
  <c r="CS57" i="29"/>
  <c r="CL81" i="29"/>
  <c r="CR50" i="29"/>
  <c r="CV96" i="29"/>
  <c r="AX18" i="29"/>
  <c r="BH54" i="29"/>
  <c r="CK37" i="29"/>
  <c r="BR61" i="29"/>
  <c r="N81" i="29"/>
  <c r="BP65" i="29"/>
  <c r="DE57" i="29"/>
  <c r="BZ60" i="29"/>
  <c r="Y17" i="29"/>
  <c r="BA34" i="29"/>
  <c r="CX10" i="29"/>
  <c r="AQ37" i="29"/>
  <c r="CY37" i="29"/>
  <c r="BS79" i="29"/>
  <c r="X26" i="29"/>
  <c r="AI102" i="29"/>
  <c r="CF54" i="29"/>
  <c r="AM21" i="29"/>
  <c r="CT61" i="29"/>
  <c r="AD10" i="29"/>
  <c r="CY17" i="29"/>
  <c r="DB61" i="29"/>
  <c r="BT62" i="29"/>
  <c r="AC79" i="29"/>
  <c r="DB66" i="29"/>
  <c r="AQ75" i="29"/>
  <c r="G17" i="29"/>
  <c r="AP34" i="29"/>
  <c r="AU54" i="29"/>
  <c r="AM45" i="29"/>
  <c r="CK96" i="29"/>
  <c r="CS49" i="29"/>
  <c r="CP60" i="29"/>
  <c r="AS81" i="29"/>
  <c r="AZ13" i="29"/>
  <c r="CI62" i="29"/>
  <c r="CP58" i="29"/>
  <c r="CH57" i="29"/>
  <c r="CC18" i="29"/>
  <c r="CM92" i="29"/>
  <c r="BY53" i="29"/>
  <c r="CO96" i="29"/>
  <c r="G27" i="29"/>
  <c r="AW45" i="29"/>
  <c r="CB62" i="29"/>
  <c r="BT45" i="29"/>
  <c r="CR62" i="29"/>
  <c r="CN81" i="29"/>
  <c r="M92" i="29"/>
  <c r="V92" i="29"/>
  <c r="CV49" i="29"/>
  <c r="AG61" i="29"/>
  <c r="CV103" i="29"/>
  <c r="CK67" i="29"/>
  <c r="AN75" i="29"/>
  <c r="H92" i="29"/>
  <c r="BE13" i="29"/>
  <c r="AD25" i="29"/>
  <c r="AS17" i="29"/>
  <c r="U48" i="29"/>
  <c r="CU81" i="29"/>
  <c r="AH98" i="29"/>
  <c r="N67" i="29"/>
  <c r="CV9" i="29"/>
  <c r="CQ21" i="29"/>
  <c r="AA34" i="29"/>
  <c r="AN71" i="29"/>
  <c r="AV71" i="29"/>
  <c r="AY9" i="29"/>
  <c r="AD9" i="29"/>
  <c r="DD54" i="29"/>
  <c r="BB60" i="29"/>
  <c r="AH60" i="29"/>
  <c r="CY57" i="29"/>
  <c r="W48" i="29"/>
  <c r="CU53" i="29"/>
  <c r="BT92" i="29"/>
  <c r="BZ58" i="29"/>
  <c r="CO60" i="29"/>
  <c r="BZ96" i="29"/>
  <c r="CR30" i="29"/>
  <c r="CE34" i="29"/>
  <c r="CP89" i="29"/>
  <c r="BT71" i="29"/>
  <c r="CP81" i="29"/>
  <c r="CN96" i="29"/>
  <c r="AW98" i="29"/>
  <c r="CN79" i="29"/>
  <c r="BE98" i="29"/>
  <c r="AV21" i="29"/>
  <c r="AJ12" i="29"/>
  <c r="AZ9" i="29"/>
  <c r="CL27" i="29"/>
  <c r="AC57" i="29"/>
  <c r="S57" i="29"/>
  <c r="CW30" i="29"/>
  <c r="Z49" i="29"/>
  <c r="CG9" i="29"/>
  <c r="Y24" i="29"/>
  <c r="DF21" i="29"/>
  <c r="N30" i="29"/>
  <c r="CU98" i="29"/>
  <c r="BH17" i="29"/>
  <c r="DD58" i="29"/>
  <c r="CV13" i="29"/>
  <c r="BB25" i="29"/>
  <c r="CW27" i="29"/>
  <c r="CO50" i="29"/>
  <c r="BA102" i="29"/>
  <c r="DA96" i="29"/>
  <c r="CT30" i="29"/>
  <c r="AP75" i="29"/>
  <c r="BV102" i="29"/>
  <c r="BE29" i="29"/>
  <c r="BS103" i="29"/>
  <c r="CR13" i="29"/>
  <c r="AU48" i="29"/>
  <c r="CL61" i="29"/>
  <c r="BC49" i="29"/>
  <c r="CN58" i="29"/>
  <c r="X71" i="29"/>
  <c r="AO27" i="29"/>
  <c r="BQ30" i="29"/>
  <c r="CO24" i="29"/>
  <c r="Y37" i="29"/>
  <c r="BP60" i="29"/>
  <c r="BW57" i="29"/>
  <c r="CQ12" i="29"/>
  <c r="CL10" i="29"/>
  <c r="CA65" i="29"/>
  <c r="CV102" i="29"/>
  <c r="CV24" i="29"/>
  <c r="CF75" i="29"/>
  <c r="CK17" i="29"/>
  <c r="AA25" i="29"/>
  <c r="X10" i="29"/>
  <c r="BZ102" i="29"/>
  <c r="AB79" i="29"/>
  <c r="S75" i="29"/>
  <c r="AT13" i="29"/>
  <c r="DF75" i="29"/>
  <c r="CR59" i="29"/>
  <c r="I37" i="29"/>
  <c r="AB81" i="29"/>
  <c r="AR45" i="29"/>
  <c r="CB58" i="29"/>
  <c r="BV89" i="29"/>
  <c r="W25" i="29"/>
  <c r="DB92" i="29"/>
  <c r="CO30" i="29"/>
  <c r="M17" i="29"/>
  <c r="BH21" i="29"/>
  <c r="CR58" i="29"/>
  <c r="CZ75" i="29"/>
  <c r="DE62" i="29"/>
  <c r="AX17" i="29"/>
  <c r="BE10" i="29"/>
  <c r="CO29" i="29"/>
  <c r="AC10" i="29"/>
  <c r="AE54" i="29"/>
  <c r="BQ91" i="29"/>
  <c r="CH71" i="29"/>
  <c r="AW10" i="29"/>
  <c r="BC34" i="29"/>
  <c r="P25" i="29"/>
  <c r="CY67" i="29"/>
  <c r="AE10" i="29"/>
  <c r="CA50" i="29"/>
  <c r="CC61" i="29"/>
  <c r="AC91" i="29"/>
  <c r="CC30" i="29"/>
  <c r="BD91" i="29"/>
  <c r="AU18" i="29"/>
  <c r="AM61" i="29"/>
  <c r="DD34" i="29"/>
  <c r="CL30" i="29"/>
  <c r="BT10" i="29"/>
  <c r="AS71" i="29"/>
  <c r="BX34" i="29"/>
  <c r="CY9" i="29"/>
  <c r="O59" i="29"/>
  <c r="AN48" i="29"/>
  <c r="BY92" i="29"/>
  <c r="CO25" i="29"/>
  <c r="CE26" i="29"/>
  <c r="BD10" i="29"/>
  <c r="CG17" i="29"/>
  <c r="Y66" i="29"/>
  <c r="CI17" i="29"/>
  <c r="BU62" i="29"/>
  <c r="AI59" i="29"/>
  <c r="AV62" i="29"/>
  <c r="DF13" i="29"/>
  <c r="BU54" i="29"/>
  <c r="X92" i="29"/>
  <c r="CA25" i="29"/>
  <c r="BC54" i="29"/>
  <c r="AV50" i="29"/>
  <c r="DC53" i="29"/>
  <c r="AI89" i="29"/>
  <c r="V75" i="29"/>
  <c r="CR60" i="29"/>
  <c r="CF12" i="29"/>
  <c r="AZ48" i="29"/>
  <c r="AP65" i="29"/>
  <c r="AU49" i="29"/>
  <c r="CZ18" i="29"/>
  <c r="DA9" i="29"/>
  <c r="CJ62" i="29"/>
  <c r="W62" i="29"/>
  <c r="BB37" i="29"/>
  <c r="CL58" i="29"/>
  <c r="CE61" i="29"/>
  <c r="AA13" i="29"/>
  <c r="AA65" i="29"/>
  <c r="K54" i="29"/>
  <c r="M79" i="29"/>
  <c r="BZ54" i="29"/>
  <c r="DD60" i="29"/>
  <c r="CM67" i="29"/>
  <c r="W37" i="29"/>
  <c r="AG45" i="29"/>
  <c r="CH49" i="29"/>
  <c r="CQ102" i="29"/>
  <c r="CB24" i="29"/>
  <c r="AG21" i="29"/>
  <c r="AF58" i="29"/>
  <c r="BA12" i="29"/>
  <c r="BT58" i="29"/>
  <c r="O89" i="29"/>
  <c r="AS79" i="29"/>
  <c r="BS17" i="29"/>
  <c r="CU50" i="29"/>
  <c r="BU18" i="29"/>
  <c r="DA59" i="29"/>
  <c r="AJ102" i="29"/>
  <c r="AX50" i="29"/>
  <c r="CD75" i="29"/>
  <c r="AE81" i="29"/>
  <c r="CB17" i="29"/>
  <c r="CD59" i="29"/>
  <c r="BQ10" i="29"/>
  <c r="CM21" i="29"/>
  <c r="CI26" i="29"/>
  <c r="CJ57" i="29"/>
  <c r="AT58" i="29"/>
  <c r="CU34" i="29"/>
  <c r="J12" i="29"/>
  <c r="CK45" i="29"/>
  <c r="AY29" i="29"/>
  <c r="P21" i="29"/>
  <c r="V48" i="29"/>
  <c r="DC49" i="29"/>
  <c r="CT91" i="29"/>
  <c r="AC27" i="29"/>
  <c r="CN12" i="29"/>
  <c r="CO71" i="29"/>
  <c r="CD37" i="29"/>
  <c r="BX26" i="29"/>
  <c r="CT10" i="29"/>
  <c r="CV65" i="29"/>
  <c r="BD62" i="29"/>
  <c r="CK71" i="29"/>
  <c r="CQ34" i="29"/>
  <c r="BI96" i="29"/>
  <c r="L67" i="29"/>
  <c r="I75" i="29"/>
  <c r="AA49" i="29"/>
  <c r="AI60" i="29"/>
  <c r="P26" i="29"/>
  <c r="N61" i="29"/>
  <c r="AD24" i="29"/>
  <c r="BE26" i="29"/>
  <c r="CZ10" i="29"/>
  <c r="BC25" i="29"/>
  <c r="AY48" i="29"/>
  <c r="DD61" i="29"/>
  <c r="AH29" i="29"/>
  <c r="AD27" i="29"/>
  <c r="BS10" i="29"/>
  <c r="M30" i="29"/>
  <c r="CH18" i="29"/>
  <c r="O54" i="29"/>
  <c r="CN62" i="29"/>
  <c r="I79" i="29"/>
  <c r="CK60" i="29"/>
  <c r="Y92" i="29"/>
  <c r="Z18" i="29"/>
  <c r="CQ9" i="29"/>
  <c r="AH17" i="29"/>
  <c r="CI10" i="29"/>
  <c r="AB96" i="29"/>
  <c r="CP10" i="29"/>
  <c r="BC79" i="29"/>
  <c r="CD45" i="29"/>
  <c r="AR50" i="29"/>
  <c r="S79" i="29"/>
  <c r="AA79" i="29"/>
  <c r="N50" i="29"/>
  <c r="AB18" i="29"/>
  <c r="CF29" i="29"/>
  <c r="CB65" i="29"/>
  <c r="X81" i="29"/>
  <c r="AF53" i="29"/>
  <c r="CZ71" i="29"/>
  <c r="CD79" i="29"/>
  <c r="CU66" i="29"/>
  <c r="CQ13" i="29"/>
  <c r="S62" i="29"/>
  <c r="I89" i="29"/>
  <c r="CW61" i="29"/>
  <c r="CM65" i="29"/>
  <c r="BX37" i="29"/>
  <c r="BI37" i="29"/>
  <c r="AO79" i="29"/>
  <c r="BH91" i="29"/>
  <c r="BZ21" i="29"/>
  <c r="CB54" i="29"/>
  <c r="AH12" i="29"/>
  <c r="CV26" i="29"/>
  <c r="H45" i="29"/>
  <c r="CE24" i="29"/>
  <c r="AW49" i="29"/>
  <c r="CH89" i="29"/>
  <c r="DA34" i="29"/>
  <c r="CH58" i="29"/>
  <c r="AV67" i="29"/>
  <c r="P96" i="29"/>
  <c r="AG92" i="29"/>
  <c r="AA66" i="29"/>
  <c r="BH45" i="29"/>
  <c r="CV37" i="29"/>
  <c r="BU102" i="29"/>
  <c r="BX79" i="29"/>
  <c r="K13" i="29"/>
  <c r="CW18" i="29"/>
  <c r="AI92" i="29"/>
  <c r="AD13" i="29"/>
  <c r="AZ98" i="29"/>
  <c r="BT67" i="29"/>
  <c r="AJ75" i="29"/>
  <c r="CP79" i="29"/>
  <c r="AS92" i="29"/>
  <c r="DB91" i="29"/>
  <c r="BH60" i="29"/>
  <c r="N53" i="29"/>
  <c r="P13" i="29"/>
  <c r="DA92" i="29"/>
  <c r="DF103" i="29"/>
  <c r="BO75" i="29"/>
  <c r="BZ103" i="29"/>
  <c r="O9" i="29"/>
  <c r="AR59" i="29"/>
  <c r="CS25" i="29"/>
  <c r="DB57" i="29"/>
  <c r="AQ81" i="29"/>
  <c r="BY30" i="29"/>
  <c r="H25" i="29"/>
  <c r="DD53" i="29"/>
  <c r="CU45" i="29"/>
  <c r="DF24" i="29"/>
  <c r="CV53" i="29"/>
  <c r="BV96" i="29"/>
  <c r="BV25" i="29"/>
  <c r="V18" i="29"/>
  <c r="L66" i="29"/>
  <c r="H91" i="29"/>
  <c r="CI65" i="29"/>
  <c r="Y58" i="29"/>
  <c r="N10" i="29"/>
  <c r="BW81" i="29"/>
  <c r="BV18" i="29"/>
  <c r="P59" i="29"/>
  <c r="Y10" i="29"/>
  <c r="BB79" i="29"/>
  <c r="CS75" i="29"/>
  <c r="BY67" i="29"/>
  <c r="AJ71" i="29"/>
  <c r="CP75" i="29"/>
  <c r="U92" i="29"/>
  <c r="AW26" i="29"/>
  <c r="DC81" i="29"/>
  <c r="AZ102" i="29"/>
  <c r="AB98" i="29"/>
  <c r="AJ26" i="29"/>
  <c r="J48" i="29"/>
  <c r="AW54" i="29"/>
  <c r="CM59" i="29"/>
  <c r="AN45" i="29"/>
  <c r="BW75" i="29"/>
  <c r="AI13" i="29"/>
  <c r="U49" i="29"/>
  <c r="O45" i="29"/>
  <c r="V58" i="29"/>
  <c r="CP13" i="29"/>
  <c r="AA26" i="29"/>
  <c r="I10" i="29"/>
  <c r="I66" i="29"/>
  <c r="CG13" i="29"/>
  <c r="AO49" i="29"/>
  <c r="AG98" i="29"/>
  <c r="U25" i="29"/>
  <c r="BQ27" i="29"/>
  <c r="BT81" i="29"/>
  <c r="AJ21" i="29"/>
  <c r="DD89" i="29"/>
  <c r="CD92" i="29"/>
  <c r="BX45" i="29"/>
  <c r="AY67" i="29"/>
  <c r="BA30" i="29"/>
  <c r="AY34" i="29"/>
  <c r="DA79" i="29"/>
  <c r="BV75" i="29"/>
  <c r="BS65" i="29"/>
  <c r="CR91" i="29"/>
  <c r="L21" i="29"/>
  <c r="DF29" i="29"/>
  <c r="V26" i="29"/>
  <c r="BW12" i="29"/>
  <c r="BO60" i="29"/>
  <c r="CN103" i="29"/>
  <c r="CJ9" i="29"/>
  <c r="CG25" i="29"/>
  <c r="L49" i="29"/>
  <c r="G89" i="29"/>
  <c r="AS102" i="29"/>
  <c r="BZ65" i="29"/>
  <c r="AC75" i="29"/>
  <c r="CA30" i="29"/>
  <c r="AF24" i="29"/>
  <c r="AB49" i="29"/>
  <c r="BI65" i="29"/>
  <c r="CI48" i="29"/>
  <c r="DB45" i="29"/>
  <c r="AA92" i="29"/>
  <c r="AI12" i="29"/>
  <c r="CF49" i="29"/>
  <c r="AR66" i="29"/>
  <c r="CE75" i="29"/>
  <c r="CW54" i="29"/>
  <c r="AB57" i="29"/>
  <c r="AP27" i="29"/>
  <c r="S91" i="29"/>
  <c r="DF12" i="29"/>
  <c r="AS50" i="29"/>
  <c r="BZ37" i="29"/>
  <c r="AS45" i="29"/>
  <c r="DB54" i="29"/>
  <c r="P66" i="29"/>
  <c r="CN91" i="29"/>
  <c r="AE49" i="29"/>
  <c r="Y81" i="29"/>
  <c r="CT34" i="29"/>
  <c r="CQ53" i="29"/>
  <c r="U91" i="29"/>
  <c r="AD65" i="29"/>
  <c r="BO49" i="29"/>
  <c r="AG27" i="29"/>
  <c r="AF60" i="29"/>
  <c r="CP18" i="29"/>
  <c r="AQ45" i="29"/>
  <c r="BI18" i="29"/>
  <c r="BV92" i="29"/>
  <c r="J26" i="29"/>
  <c r="AV26" i="29"/>
  <c r="T45" i="29"/>
  <c r="H29" i="29"/>
  <c r="CU13" i="29"/>
  <c r="CW9" i="29"/>
  <c r="BY25" i="29"/>
  <c r="AU102" i="29"/>
  <c r="BT75" i="29"/>
  <c r="AU89" i="29"/>
  <c r="N98" i="29"/>
  <c r="CI54" i="29"/>
  <c r="DC57" i="29"/>
  <c r="CC17" i="29"/>
  <c r="AX62" i="29"/>
  <c r="Y34" i="29"/>
  <c r="CO79" i="29"/>
  <c r="BS92" i="29"/>
  <c r="DA62" i="29"/>
  <c r="H10" i="29"/>
  <c r="AZ92" i="29"/>
  <c r="AO50" i="29"/>
  <c r="CY60" i="29"/>
  <c r="M34" i="29"/>
  <c r="AV17" i="29"/>
  <c r="AB75" i="29"/>
  <c r="BR62" i="29"/>
  <c r="M98" i="29"/>
  <c r="CD102" i="29"/>
  <c r="BP98" i="29"/>
  <c r="BY18" i="29"/>
  <c r="H49" i="29"/>
  <c r="CZ9" i="29"/>
  <c r="K48" i="29"/>
  <c r="CY10" i="29"/>
  <c r="BA24" i="29"/>
  <c r="BB34" i="29"/>
  <c r="AC54" i="29"/>
  <c r="CR49" i="29"/>
  <c r="BR89" i="29"/>
  <c r="S49" i="29"/>
  <c r="CB67" i="29"/>
  <c r="DE67" i="29"/>
  <c r="BO98" i="29"/>
  <c r="CO92" i="29"/>
  <c r="CH24" i="29"/>
  <c r="CV67" i="29"/>
  <c r="H50" i="29"/>
  <c r="AV91" i="29"/>
  <c r="CQ60" i="29"/>
  <c r="BR71" i="29"/>
  <c r="AJ9" i="29"/>
  <c r="BU103" i="29"/>
  <c r="BB61" i="29"/>
  <c r="CV50" i="29"/>
  <c r="M50" i="29"/>
  <c r="BR91" i="29"/>
  <c r="AE25" i="29"/>
  <c r="AR26" i="29"/>
  <c r="AQ49" i="29"/>
  <c r="CB89" i="29"/>
  <c r="G71" i="29"/>
  <c r="I34" i="29"/>
  <c r="CP57" i="29"/>
  <c r="CF103" i="29"/>
  <c r="CR92" i="29"/>
  <c r="DF9" i="29"/>
  <c r="CZ59" i="29"/>
  <c r="CY62" i="29"/>
  <c r="AU17" i="29"/>
  <c r="BW61" i="29"/>
  <c r="CM53" i="29"/>
  <c r="AI26" i="29"/>
  <c r="CY27" i="29"/>
  <c r="CH50" i="29"/>
  <c r="BC24" i="29"/>
  <c r="AP71" i="29"/>
  <c r="CG29" i="29"/>
  <c r="T13" i="29"/>
  <c r="BX50" i="29"/>
  <c r="CH48" i="29"/>
  <c r="AE27" i="29"/>
  <c r="AT61" i="29"/>
  <c r="CO53" i="29"/>
  <c r="CS79" i="29"/>
  <c r="CS10" i="29"/>
  <c r="BR12" i="29"/>
  <c r="CQ65" i="29"/>
  <c r="BO10" i="29"/>
  <c r="AM34" i="29"/>
  <c r="J62" i="29"/>
  <c r="BC17" i="29"/>
  <c r="N9" i="29"/>
  <c r="DF17" i="29"/>
  <c r="CB48" i="29"/>
  <c r="CT57" i="29"/>
  <c r="BD102" i="29"/>
  <c r="Y79" i="29"/>
  <c r="CI96" i="29"/>
  <c r="DA75" i="29"/>
  <c r="BY10" i="29"/>
  <c r="H54" i="29"/>
  <c r="CV60" i="29"/>
  <c r="AX75" i="29"/>
  <c r="O62" i="29"/>
  <c r="AU10" i="29"/>
  <c r="AE53" i="29"/>
  <c r="BC26" i="29"/>
  <c r="U65" i="29"/>
  <c r="AF91" i="29"/>
  <c r="L17" i="29"/>
  <c r="BC62" i="29"/>
  <c r="X79" i="29"/>
  <c r="M45" i="29"/>
  <c r="BU13" i="29"/>
  <c r="AY30" i="29"/>
  <c r="CJ26" i="29"/>
  <c r="CX18" i="29"/>
  <c r="AA12" i="29"/>
  <c r="DB30" i="29"/>
  <c r="CU25" i="29"/>
  <c r="DD25" i="29"/>
  <c r="CY75" i="29"/>
  <c r="CB10" i="29"/>
  <c r="CS54" i="29"/>
  <c r="AI27" i="29"/>
  <c r="CN66" i="29"/>
  <c r="AG37" i="29"/>
  <c r="CR89" i="29"/>
  <c r="CN30" i="29"/>
  <c r="DE103" i="29"/>
  <c r="CN54" i="29"/>
  <c r="BV103" i="29"/>
  <c r="DC50" i="29"/>
  <c r="BX60" i="29"/>
  <c r="AX91" i="29"/>
  <c r="CC91" i="29"/>
  <c r="CF58" i="29"/>
  <c r="CN102" i="29"/>
  <c r="CD62" i="29"/>
  <c r="BX48" i="29"/>
  <c r="BP10" i="29"/>
  <c r="AS12" i="29"/>
  <c r="CP48" i="29"/>
  <c r="I24" i="29"/>
  <c r="CR67" i="29"/>
  <c r="AE9" i="29"/>
  <c r="U45" i="29"/>
  <c r="DF49" i="29"/>
  <c r="BR92" i="29"/>
  <c r="AZ66" i="29"/>
  <c r="CB27" i="29"/>
  <c r="BQ67" i="29"/>
  <c r="Z67" i="29"/>
  <c r="AC12" i="29"/>
  <c r="CI71" i="29"/>
  <c r="AD49" i="29"/>
  <c r="AN27" i="29"/>
  <c r="CA58" i="29"/>
  <c r="CG48" i="29"/>
  <c r="BD79" i="29"/>
  <c r="AF54" i="29"/>
  <c r="AI96" i="29"/>
  <c r="DA21" i="29"/>
  <c r="M102" i="29"/>
  <c r="AA21" i="29"/>
  <c r="Z50" i="29"/>
  <c r="DB75" i="29"/>
  <c r="CD98" i="29"/>
  <c r="AO98" i="29"/>
  <c r="AV18" i="29"/>
  <c r="CZ91" i="29"/>
  <c r="BR45" i="29"/>
  <c r="CW48" i="29"/>
  <c r="T53" i="29"/>
  <c r="AG26" i="29"/>
  <c r="CA71" i="29"/>
  <c r="AM57" i="29"/>
  <c r="CL53" i="29"/>
  <c r="CT62" i="29"/>
  <c r="T66" i="29"/>
  <c r="AA17" i="29"/>
  <c r="CB29" i="29"/>
  <c r="AX71" i="29"/>
  <c r="I9" i="29"/>
  <c r="CY58" i="29"/>
  <c r="S45" i="29"/>
  <c r="AW24" i="29"/>
  <c r="BW27" i="29"/>
  <c r="J53" i="29"/>
  <c r="S60" i="29"/>
  <c r="AX79" i="29"/>
  <c r="CG91" i="29"/>
  <c r="CP67" i="29"/>
  <c r="AQ27" i="29"/>
  <c r="DF79" i="29"/>
  <c r="CP53" i="29"/>
  <c r="CW98" i="29"/>
  <c r="BU24" i="29"/>
  <c r="V65" i="29"/>
  <c r="AT66" i="29"/>
  <c r="CU71" i="29"/>
  <c r="I30" i="29"/>
  <c r="AN25" i="29"/>
  <c r="AR60" i="29"/>
  <c r="DC30" i="29"/>
  <c r="CC9" i="29"/>
  <c r="BP48" i="29"/>
  <c r="AG71" i="29"/>
  <c r="M10" i="29"/>
  <c r="AA53" i="29"/>
  <c r="AF37" i="29"/>
  <c r="CO21" i="29"/>
  <c r="K37" i="29"/>
  <c r="AQ60" i="29"/>
  <c r="V45" i="29"/>
  <c r="BX62" i="29"/>
  <c r="X37" i="29"/>
  <c r="CJ103" i="29"/>
  <c r="AH54" i="29"/>
  <c r="DA58" i="29"/>
  <c r="V57" i="29"/>
  <c r="CK91" i="29"/>
  <c r="N13" i="29"/>
  <c r="DD21" i="29"/>
  <c r="BO58" i="29"/>
  <c r="CM66" i="29"/>
  <c r="CG75" i="29"/>
  <c r="CC71" i="29"/>
  <c r="AR102" i="29"/>
  <c r="AH91" i="29"/>
  <c r="CU92" i="29"/>
  <c r="BC50" i="29"/>
  <c r="CN57" i="29"/>
  <c r="CX53" i="29"/>
  <c r="CO12" i="29"/>
  <c r="BV81" i="29"/>
  <c r="BO27" i="29"/>
  <c r="CA26" i="29"/>
  <c r="AU24" i="29"/>
  <c r="AX24" i="29"/>
  <c r="CP27" i="29"/>
  <c r="AO60" i="29"/>
  <c r="BA96" i="29"/>
  <c r="CP54" i="29"/>
  <c r="AD57" i="29"/>
  <c r="BR10" i="29"/>
  <c r="BC66" i="29"/>
  <c r="CT26" i="29"/>
  <c r="V62" i="29"/>
  <c r="K29" i="29"/>
  <c r="CG24" i="29"/>
  <c r="CX54" i="29"/>
  <c r="T26" i="29"/>
  <c r="BB50" i="29"/>
  <c r="AG10" i="29"/>
  <c r="CD13" i="29"/>
  <c r="BW29" i="29"/>
  <c r="CS21" i="29"/>
  <c r="AD71" i="29"/>
  <c r="AS57" i="29"/>
  <c r="CT102" i="29"/>
  <c r="DE96" i="29"/>
  <c r="CB59" i="29"/>
  <c r="CF61" i="29"/>
  <c r="CI92" i="29"/>
  <c r="AD54" i="29"/>
  <c r="CW50" i="29"/>
  <c r="AS67" i="29"/>
  <c r="H48" i="29"/>
  <c r="DA25" i="29"/>
  <c r="AS30" i="29"/>
  <c r="M12" i="29"/>
  <c r="CC98" i="29"/>
  <c r="BZ91" i="29"/>
  <c r="AP50" i="29"/>
  <c r="BX103" i="29"/>
  <c r="AW37" i="29"/>
  <c r="CQ30" i="29"/>
  <c r="DC45" i="29"/>
  <c r="AW79" i="29"/>
  <c r="CR65" i="29"/>
  <c r="U89" i="29"/>
  <c r="AC34" i="29"/>
  <c r="CZ29" i="29"/>
  <c r="CB91" i="29"/>
  <c r="DD49" i="29"/>
  <c r="AO17" i="29"/>
  <c r="CV10" i="29"/>
  <c r="CF37" i="29"/>
  <c r="S26" i="29"/>
  <c r="BS18" i="29"/>
  <c r="AO92" i="29"/>
  <c r="I29" i="29"/>
  <c r="M27" i="29"/>
  <c r="BT37" i="29"/>
  <c r="Z17" i="29"/>
  <c r="CW24" i="29"/>
  <c r="K65" i="29"/>
  <c r="AB58" i="29"/>
  <c r="CZ98" i="29"/>
  <c r="AY79" i="29"/>
  <c r="AC9" i="29"/>
  <c r="CV58" i="29"/>
  <c r="BX30" i="29"/>
  <c r="BZ50" i="29"/>
  <c r="G30" i="29"/>
  <c r="CI98" i="29"/>
  <c r="DD96" i="29"/>
  <c r="AA98" i="29"/>
  <c r="BU45" i="29"/>
  <c r="AQ102" i="29"/>
  <c r="CR24" i="29"/>
  <c r="CT13" i="29"/>
  <c r="CT21" i="29"/>
  <c r="BA45" i="29"/>
  <c r="BZ71" i="29"/>
  <c r="AP102" i="29"/>
  <c r="CC75" i="29"/>
  <c r="CM18" i="29"/>
  <c r="CQ103" i="29"/>
  <c r="AZ27" i="29"/>
  <c r="CY79" i="29"/>
  <c r="AY10" i="29"/>
  <c r="G61" i="29"/>
  <c r="W67" i="29"/>
  <c r="CO62" i="29"/>
  <c r="DC54" i="29"/>
  <c r="CM17" i="29"/>
  <c r="DB96" i="29"/>
  <c r="DA91" i="29"/>
  <c r="BI21" i="29"/>
  <c r="CC53" i="29"/>
  <c r="L30" i="29"/>
  <c r="AX45" i="29"/>
  <c r="BU66" i="29"/>
  <c r="CR102" i="29"/>
  <c r="I48" i="29"/>
  <c r="BE24" i="29"/>
  <c r="DE59" i="29"/>
  <c r="DF66" i="29"/>
  <c r="AI62" i="29"/>
  <c r="BD66" i="29"/>
  <c r="BU71" i="29"/>
  <c r="BV34" i="29"/>
  <c r="K17" i="29"/>
  <c r="CD24" i="29"/>
  <c r="CA92" i="29"/>
  <c r="DC10" i="29"/>
  <c r="K27" i="29"/>
  <c r="AM98" i="29"/>
  <c r="BS45" i="29"/>
  <c r="BZ66" i="29"/>
  <c r="BS59" i="29"/>
  <c r="CS50" i="29"/>
  <c r="AD98" i="29"/>
  <c r="AT59" i="29"/>
  <c r="CL75" i="29"/>
  <c r="I57" i="29"/>
  <c r="CS24" i="29"/>
  <c r="BE18" i="29"/>
  <c r="BS71" i="29"/>
  <c r="BU9" i="29"/>
  <c r="H13" i="29"/>
  <c r="AP24" i="29"/>
  <c r="AM50" i="29"/>
  <c r="T96" i="29"/>
  <c r="CB61" i="29"/>
  <c r="AR62" i="29"/>
  <c r="BW67" i="29"/>
  <c r="AH25" i="29"/>
  <c r="CC37" i="29"/>
  <c r="AU61" i="29"/>
  <c r="AA61" i="29"/>
  <c r="AW71" i="29"/>
  <c r="AM24" i="29"/>
  <c r="CH37" i="29"/>
  <c r="AI21" i="29"/>
  <c r="AO59" i="29"/>
  <c r="AA9" i="29"/>
  <c r="CE65" i="29"/>
  <c r="CL29" i="29"/>
  <c r="AQ30" i="29"/>
  <c r="Y75" i="29"/>
  <c r="BR65" i="29"/>
  <c r="DA13" i="29"/>
  <c r="AB91" i="29"/>
  <c r="BO59" i="29"/>
  <c r="I31" i="109"/>
  <c r="BP67" i="29"/>
  <c r="CD65" i="29"/>
  <c r="K98" i="29"/>
  <c r="CM12" i="29"/>
  <c r="CG61" i="29"/>
  <c r="Z98" i="29"/>
  <c r="BS37" i="29"/>
  <c r="BR27" i="29"/>
  <c r="CE62" i="29"/>
  <c r="CG57" i="29"/>
  <c r="DC75" i="29"/>
  <c r="K45" i="29"/>
  <c r="M29" i="29"/>
  <c r="BB49" i="29"/>
  <c r="H21" i="29"/>
  <c r="BV17" i="29"/>
  <c r="CC103" i="29"/>
  <c r="CS45" i="29"/>
  <c r="CB30" i="29"/>
  <c r="O12" i="29"/>
  <c r="G96" i="29"/>
  <c r="DF30" i="29"/>
  <c r="CN24" i="29"/>
  <c r="CI25" i="29"/>
  <c r="AP45" i="29"/>
  <c r="BC71" i="29"/>
  <c r="AM49" i="29"/>
  <c r="AU98" i="29"/>
  <c r="BX18" i="29"/>
  <c r="BY29" i="29"/>
  <c r="AV48" i="29"/>
  <c r="CS29" i="29"/>
  <c r="AH21" i="29"/>
  <c r="CY34" i="29"/>
  <c r="Y26" i="29"/>
  <c r="CM26" i="29"/>
  <c r="BZ34" i="29"/>
  <c r="CF79" i="29"/>
  <c r="W66" i="29"/>
  <c r="AO66" i="29"/>
  <c r="CA13" i="29"/>
  <c r="BH102" i="29"/>
  <c r="I53" i="29"/>
  <c r="AS25" i="29"/>
  <c r="BB91" i="29"/>
  <c r="T30" i="29"/>
  <c r="BH48" i="29"/>
  <c r="BB102" i="29"/>
  <c r="CX66" i="29"/>
  <c r="AZ89" i="29"/>
  <c r="Z92" i="29"/>
  <c r="S34" i="29"/>
  <c r="BQ66" i="29"/>
  <c r="BP61" i="29"/>
  <c r="CX17" i="29"/>
  <c r="L60" i="29"/>
  <c r="AG75" i="29"/>
  <c r="CE79" i="29"/>
  <c r="V27" i="29"/>
  <c r="P54" i="29"/>
  <c r="CS13" i="29"/>
  <c r="AT50" i="29"/>
  <c r="AY61" i="29"/>
  <c r="BY61" i="29"/>
  <c r="AX60" i="29"/>
  <c r="AJ65" i="29"/>
  <c r="CQ26" i="29"/>
  <c r="BE71" i="29"/>
  <c r="BC102" i="29"/>
  <c r="Z66" i="29"/>
  <c r="G48" i="29"/>
  <c r="CT60" i="29"/>
  <c r="AO67" i="29"/>
  <c r="AY59" i="29"/>
  <c r="AN30" i="29"/>
  <c r="AW59" i="29"/>
  <c r="CU30" i="29"/>
  <c r="AX21" i="29"/>
  <c r="CK102" i="29"/>
  <c r="Z75" i="29"/>
  <c r="CF53" i="29"/>
  <c r="DE54" i="29"/>
  <c r="AY81" i="29"/>
  <c r="AG59" i="29"/>
  <c r="DD48" i="29"/>
  <c r="CA18" i="29"/>
  <c r="I91" i="29"/>
  <c r="BR59" i="29"/>
  <c r="DC26" i="29"/>
  <c r="AM9" i="29"/>
  <c r="CZ24" i="29"/>
  <c r="CH26" i="29"/>
  <c r="AF13" i="29"/>
  <c r="CI18" i="29"/>
  <c r="DE91" i="29"/>
  <c r="Y57" i="29"/>
  <c r="BB29" i="29"/>
  <c r="AR96" i="29"/>
  <c r="W57" i="29"/>
  <c r="BC37" i="29"/>
  <c r="AH71" i="29"/>
  <c r="AF61" i="29"/>
  <c r="BY49" i="29"/>
  <c r="AW57" i="29"/>
  <c r="AX98" i="29"/>
  <c r="AF30" i="29"/>
  <c r="CN89" i="29"/>
  <c r="BS96" i="29"/>
  <c r="CR61" i="29"/>
  <c r="BY13" i="29"/>
  <c r="DD45" i="29"/>
  <c r="W27" i="29"/>
  <c r="CI58" i="29"/>
  <c r="J71" i="29"/>
  <c r="BY50" i="29"/>
  <c r="CF96" i="29"/>
  <c r="BW79" i="29"/>
  <c r="BX96" i="29"/>
  <c r="BH57" i="29"/>
  <c r="AW81" i="29"/>
  <c r="W65" i="29"/>
  <c r="AM12" i="29"/>
  <c r="CI13" i="29"/>
  <c r="BP103" i="29"/>
  <c r="DB37" i="29"/>
  <c r="O102" i="29"/>
  <c r="AT48" i="29"/>
  <c r="W24" i="29"/>
  <c r="CU58" i="29"/>
  <c r="T98" i="29"/>
  <c r="H58" i="29"/>
  <c r="AP58" i="29"/>
  <c r="G29" i="29"/>
  <c r="DA71" i="29"/>
  <c r="AG25" i="29"/>
  <c r="P48" i="29"/>
  <c r="AA29" i="29"/>
  <c r="CE60" i="29"/>
  <c r="CP29" i="29"/>
  <c r="CM10" i="29"/>
  <c r="CA79" i="29"/>
  <c r="AS37" i="29"/>
  <c r="CZ27" i="29"/>
  <c r="AN91" i="29"/>
  <c r="CJ29" i="29"/>
  <c r="P102" i="29"/>
  <c r="CG27" i="29"/>
  <c r="M61" i="29"/>
  <c r="AF9" i="29"/>
  <c r="AD34" i="29"/>
  <c r="L27" i="29"/>
  <c r="AE62" i="29"/>
  <c r="AH102" i="29"/>
  <c r="W45" i="29"/>
  <c r="H96" i="29"/>
  <c r="M18" i="29"/>
  <c r="AP60" i="29"/>
  <c r="AM62" i="29"/>
  <c r="BI61" i="29"/>
  <c r="BI27" i="29"/>
  <c r="CW92" i="29"/>
  <c r="AE26" i="29"/>
  <c r="CH59" i="29"/>
  <c r="AJ10" i="29"/>
  <c r="AP61" i="29"/>
  <c r="G75" i="29"/>
  <c r="H65" i="29"/>
  <c r="AE30" i="29"/>
  <c r="DF45" i="29"/>
  <c r="CK26" i="29"/>
  <c r="BV54" i="29"/>
  <c r="CQ29" i="29"/>
  <c r="AW50" i="29"/>
  <c r="DA37" i="29"/>
  <c r="K12" i="29"/>
  <c r="BW13" i="29"/>
  <c r="AC102" i="29"/>
  <c r="CK92" i="29"/>
  <c r="CI37" i="29"/>
  <c r="AC24" i="29"/>
  <c r="AC18" i="29"/>
  <c r="AB25" i="29"/>
  <c r="BH10" i="29"/>
  <c r="CW81" i="29"/>
  <c r="CE18" i="29"/>
  <c r="CQ62" i="29"/>
  <c r="BC45" i="29"/>
  <c r="CA89" i="29"/>
  <c r="X98" i="29"/>
  <c r="BE66" i="29"/>
  <c r="AZ71" i="29"/>
  <c r="CO98" i="29"/>
  <c r="CY89" i="29"/>
  <c r="AB66" i="29"/>
  <c r="CH98" i="29"/>
  <c r="AO65" i="29"/>
  <c r="BO61" i="29"/>
  <c r="CP34" i="29"/>
  <c r="AC58" i="29"/>
  <c r="CJ67" i="29"/>
  <c r="AX66" i="29"/>
  <c r="K57" i="29"/>
  <c r="DF81" i="29"/>
  <c r="AW12" i="29"/>
  <c r="AI81" i="29"/>
  <c r="AW67" i="29"/>
  <c r="BX66" i="29"/>
  <c r="BI17" i="29"/>
  <c r="AF26" i="29"/>
  <c r="AJ98" i="29"/>
  <c r="CN67" i="29"/>
  <c r="BY59" i="29"/>
  <c r="CL98" i="29"/>
  <c r="DC48" i="29"/>
  <c r="AT37" i="29"/>
  <c r="AV34" i="29"/>
  <c r="CS9" i="29"/>
  <c r="AZ25" i="29"/>
  <c r="AB61" i="29"/>
  <c r="DB62" i="29"/>
  <c r="CE37" i="29"/>
  <c r="AU21" i="29"/>
  <c r="G45" i="29"/>
  <c r="AI54" i="29"/>
  <c r="AT17" i="29"/>
  <c r="AX89" i="29"/>
  <c r="CP62" i="29"/>
  <c r="DC102" i="29"/>
  <c r="N34" i="29"/>
  <c r="CV12" i="29"/>
  <c r="CY59" i="29"/>
  <c r="BT66" i="29"/>
  <c r="BD12" i="29"/>
  <c r="AU67" i="29"/>
  <c r="BY79" i="29"/>
  <c r="I18" i="29"/>
  <c r="CG59" i="29"/>
  <c r="CT25" i="29"/>
  <c r="P49" i="29"/>
  <c r="BE37" i="29"/>
  <c r="CB98" i="29"/>
  <c r="CP50" i="29"/>
  <c r="BW24" i="29"/>
  <c r="AO26" i="29"/>
  <c r="CY65" i="29"/>
  <c r="S25" i="29"/>
  <c r="AP12" i="29"/>
  <c r="AI71" i="29"/>
  <c r="AB26" i="29"/>
  <c r="CP92" i="29"/>
  <c r="AD75" i="29"/>
  <c r="X17" i="29"/>
  <c r="DE12" i="29"/>
  <c r="K58" i="29"/>
  <c r="BZ62" i="29"/>
  <c r="CU37" i="29"/>
  <c r="CD50" i="29"/>
  <c r="AP81" i="29"/>
  <c r="DF34" i="29"/>
  <c r="BB45" i="29"/>
  <c r="V21" i="29"/>
  <c r="BB12" i="29"/>
  <c r="I59" i="29"/>
  <c r="L89" i="29"/>
  <c r="AF34" i="29"/>
  <c r="BD81" i="29"/>
  <c r="AH62" i="29"/>
  <c r="CP59" i="29"/>
  <c r="CW79" i="29"/>
  <c r="L50" i="29"/>
  <c r="CM61" i="29"/>
  <c r="CC12" i="29"/>
  <c r="DC96" i="29"/>
  <c r="BI34" i="29"/>
  <c r="CE29" i="29"/>
  <c r="CJ98" i="29"/>
  <c r="BR48" i="29"/>
  <c r="N27" i="29"/>
  <c r="CT54" i="29"/>
  <c r="L53" i="29"/>
  <c r="CQ67" i="29"/>
  <c r="AM67" i="29"/>
  <c r="CS91" i="29"/>
  <c r="BQ26" i="29"/>
  <c r="BX49" i="29"/>
  <c r="BH98" i="29"/>
  <c r="AY37" i="29"/>
  <c r="CS17" i="29"/>
  <c r="Z79" i="29"/>
  <c r="Z61" i="29"/>
  <c r="AX92" i="29"/>
  <c r="AX67" i="29"/>
  <c r="BO71" i="29"/>
  <c r="CS67" i="29"/>
  <c r="AX25" i="29"/>
  <c r="AU66" i="29"/>
  <c r="L45" i="29"/>
  <c r="AS75" i="29"/>
  <c r="V37" i="29"/>
  <c r="CJ53" i="29"/>
  <c r="G62" i="29"/>
  <c r="U61" i="29"/>
  <c r="BH58" i="29"/>
  <c r="W49" i="29"/>
  <c r="CK81" i="29"/>
  <c r="AV45" i="29"/>
  <c r="O30" i="29"/>
  <c r="CY45" i="29"/>
  <c r="CF13" i="29"/>
  <c r="BD54" i="29"/>
  <c r="BC48" i="29"/>
  <c r="BB13" i="29"/>
  <c r="K92" i="29"/>
  <c r="AR25" i="29"/>
  <c r="CG12" i="29"/>
  <c r="AU62" i="29"/>
  <c r="AX61" i="29"/>
  <c r="DA65" i="29"/>
  <c r="CK21" i="29"/>
  <c r="BW30" i="29"/>
  <c r="AP48" i="29"/>
  <c r="BP91" i="29"/>
  <c r="K34" i="29"/>
  <c r="CC21" i="29"/>
  <c r="CT58" i="29"/>
  <c r="U10" i="29"/>
  <c r="AO96" i="29"/>
  <c r="BW65" i="29"/>
  <c r="CG50" i="29"/>
  <c r="CY92" i="29"/>
  <c r="BX27" i="29"/>
  <c r="DE26" i="29"/>
  <c r="DF58" i="29"/>
  <c r="AI79" i="29"/>
  <c r="CE58" i="29"/>
  <c r="CS30" i="29"/>
  <c r="DF67" i="29"/>
  <c r="CD9" i="29"/>
  <c r="V91" i="29"/>
  <c r="CB45" i="29"/>
  <c r="CQ17" i="29"/>
  <c r="AI50" i="29"/>
  <c r="CN53" i="29"/>
  <c r="AV98" i="29"/>
  <c r="CI59" i="29"/>
  <c r="K89" i="29"/>
  <c r="BI48" i="29"/>
  <c r="CO10" i="29"/>
  <c r="AC61" i="29"/>
  <c r="CY26" i="29"/>
  <c r="BE102" i="29"/>
  <c r="AF12" i="29"/>
  <c r="AH65" i="29"/>
  <c r="CA34" i="29"/>
  <c r="AD30" i="29"/>
  <c r="CC57" i="29"/>
  <c r="BX81" i="29"/>
  <c r="I17" i="29"/>
  <c r="DC25" i="29"/>
  <c r="J21" i="29"/>
  <c r="AZ91" i="29"/>
  <c r="CA102" i="29"/>
  <c r="CB57" i="29"/>
  <c r="AB17" i="29"/>
  <c r="BS26" i="29"/>
  <c r="L57" i="29"/>
  <c r="CR98" i="29"/>
  <c r="BA58" i="29"/>
  <c r="P37" i="29"/>
  <c r="AQ34" i="29"/>
  <c r="AU96" i="29"/>
  <c r="CS102" i="29"/>
  <c r="AU60" i="29"/>
  <c r="DF50" i="29"/>
  <c r="BB9" i="29"/>
  <c r="CI79" i="29"/>
  <c r="CO17" i="29"/>
  <c r="M57" i="29"/>
  <c r="BX91" i="29"/>
  <c r="CC79" i="29"/>
  <c r="AN79" i="29"/>
  <c r="AG53" i="29"/>
  <c r="O67" i="29"/>
  <c r="AP91" i="29"/>
  <c r="DB60" i="29"/>
  <c r="AR92" i="29"/>
  <c r="CC81" i="29"/>
  <c r="CX59" i="29"/>
  <c r="K26" i="29"/>
  <c r="CA66" i="29"/>
  <c r="AI25" i="29"/>
  <c r="CJ66" i="29"/>
  <c r="AV13" i="29"/>
  <c r="BR60" i="29"/>
  <c r="AF62" i="29"/>
  <c r="BD45" i="29"/>
  <c r="Z30" i="29"/>
  <c r="AD21" i="29"/>
  <c r="BT13" i="29"/>
  <c r="I26" i="29"/>
  <c r="G54" i="29"/>
  <c r="CE48" i="29"/>
  <c r="AW13" i="29"/>
  <c r="CQ24" i="29"/>
  <c r="CD60" i="29"/>
  <c r="O29" i="29"/>
  <c r="BD18" i="29"/>
  <c r="AD92" i="29"/>
  <c r="AW18" i="29"/>
  <c r="BX24" i="29"/>
  <c r="CV18" i="29"/>
  <c r="CH79" i="29"/>
  <c r="BT49" i="29"/>
  <c r="BR18" i="29"/>
  <c r="K59" i="29"/>
  <c r="CB71" i="29"/>
  <c r="DE50" i="29"/>
  <c r="AA30" i="29"/>
  <c r="AF45" i="29"/>
  <c r="AV92" i="29"/>
  <c r="AR17" i="29"/>
  <c r="CH25" i="29"/>
  <c r="CF67" i="29"/>
  <c r="Y54" i="29"/>
  <c r="S66" i="29"/>
  <c r="CV29" i="29"/>
  <c r="AD59" i="29"/>
  <c r="W75" i="29"/>
  <c r="CZ79" i="29"/>
  <c r="CL102" i="29"/>
  <c r="CY53" i="29"/>
  <c r="AE59" i="29"/>
  <c r="CO34" i="29"/>
  <c r="BH89" i="29"/>
  <c r="BC57" i="29"/>
  <c r="CA37" i="29"/>
  <c r="K50" i="29"/>
  <c r="CG81" i="29"/>
  <c r="BW59" i="29"/>
  <c r="AW29" i="29"/>
  <c r="AW66" i="29"/>
  <c r="CQ98" i="29"/>
  <c r="BD53" i="29"/>
  <c r="BR81" i="29"/>
  <c r="L54" i="29"/>
  <c r="BV37" i="29"/>
  <c r="O79" i="29"/>
  <c r="L59" i="29"/>
  <c r="BC12" i="29"/>
  <c r="BU34" i="29"/>
  <c r="CG10" i="29"/>
  <c r="AU92" i="29"/>
  <c r="CU29" i="29"/>
  <c r="AU58" i="29"/>
  <c r="CS26" i="29"/>
  <c r="CE67" i="29"/>
  <c r="AY27" i="29"/>
  <c r="BT102" i="29"/>
  <c r="AX48" i="29"/>
  <c r="DD65" i="29"/>
  <c r="CI103" i="29"/>
  <c r="AP26" i="29"/>
  <c r="CX102" i="29"/>
  <c r="CO89" i="29"/>
  <c r="CD12" i="29"/>
  <c r="N79" i="29"/>
  <c r="DF89" i="29"/>
  <c r="AG91" i="29"/>
  <c r="AR58" i="29"/>
  <c r="AN62" i="29"/>
  <c r="G50" i="29"/>
  <c r="CO81" i="29"/>
  <c r="CB53" i="29"/>
  <c r="L18" i="29"/>
  <c r="H67" i="29"/>
  <c r="CG54" i="29"/>
  <c r="CJ60" i="29"/>
  <c r="CW53" i="29"/>
  <c r="AV57" i="29"/>
  <c r="V13" i="29"/>
  <c r="M60" i="29"/>
  <c r="AV89" i="29"/>
  <c r="CX12" i="29"/>
  <c r="V81" i="29"/>
  <c r="H66" i="29"/>
  <c r="Z54" i="29"/>
  <c r="BE49" i="29"/>
  <c r="S18" i="29"/>
  <c r="S21" i="29"/>
  <c r="CP24" i="29"/>
  <c r="CJ89" i="29"/>
  <c r="CV75" i="29"/>
  <c r="O92" i="29"/>
  <c r="BE62" i="29"/>
  <c r="CL66" i="29"/>
  <c r="S29" i="29"/>
  <c r="AX26" i="29"/>
  <c r="AW25" i="29"/>
  <c r="CW26" i="29"/>
  <c r="AI29" i="29"/>
  <c r="AI17" i="29"/>
  <c r="CC50" i="29"/>
  <c r="O60" i="29"/>
  <c r="BE89" i="29"/>
  <c r="CM37" i="29"/>
  <c r="CZ21" i="29"/>
  <c r="CV27" i="29"/>
  <c r="BV71" i="29"/>
  <c r="AX12" i="29"/>
  <c r="I45" i="29"/>
  <c r="CL65" i="29"/>
  <c r="AZ81" i="29"/>
  <c r="BA57" i="29"/>
  <c r="CD54" i="29"/>
  <c r="DA53" i="29"/>
  <c r="AT24" i="29"/>
  <c r="AT49" i="29"/>
  <c r="BO29" i="29"/>
  <c r="T92" i="29"/>
  <c r="AF10" i="29"/>
  <c r="AQ89" i="29"/>
  <c r="CZ67" i="29"/>
  <c r="BP102" i="29"/>
  <c r="AA102" i="29"/>
  <c r="X61" i="29"/>
  <c r="CX26" i="29"/>
  <c r="CB49" i="29"/>
  <c r="BD92" i="29"/>
  <c r="BS62" i="29"/>
  <c r="BR102" i="29"/>
  <c r="AP96" i="29"/>
  <c r="DB18" i="29"/>
  <c r="BS34" i="29"/>
  <c r="CB96" i="29"/>
  <c r="AQ67" i="29"/>
  <c r="BH13" i="29"/>
  <c r="BB26" i="29"/>
  <c r="X49" i="29"/>
  <c r="AN54" i="29"/>
  <c r="AO54" i="29"/>
  <c r="AB21" i="29"/>
  <c r="H18" i="29"/>
  <c r="DA24" i="29"/>
  <c r="DE21" i="29"/>
  <c r="CT12" i="29"/>
  <c r="BU65" i="29"/>
  <c r="AJ96" i="29"/>
  <c r="DE48" i="29"/>
  <c r="N24" i="29"/>
  <c r="AY66" i="29"/>
  <c r="AE98" i="29"/>
  <c r="AI49" i="29"/>
  <c r="AN61" i="29"/>
  <c r="K21" i="29"/>
  <c r="CN27" i="29"/>
  <c r="T60" i="29"/>
  <c r="AG49" i="29"/>
  <c r="V29" i="29"/>
  <c r="DF48" i="29"/>
  <c r="CA24" i="29"/>
  <c r="DE102" i="29"/>
  <c r="DF71" i="29"/>
  <c r="AI34" i="29"/>
  <c r="BO30" i="29"/>
  <c r="CJ34" i="29"/>
  <c r="AZ59" i="29"/>
  <c r="BZ59" i="29"/>
  <c r="BP57" i="29"/>
  <c r="AZ60" i="29"/>
  <c r="N37" i="29"/>
  <c r="L75" i="29"/>
  <c r="BI24" i="29"/>
  <c r="DD92" i="29"/>
  <c r="K9" i="29"/>
  <c r="CH65" i="29"/>
  <c r="S102" i="29"/>
  <c r="AA91" i="29"/>
  <c r="BP49" i="29"/>
  <c r="L102" i="29"/>
  <c r="AY26" i="29"/>
  <c r="L91" i="29"/>
  <c r="F31" i="109"/>
  <c r="O13" i="29"/>
  <c r="AW17" i="29"/>
  <c r="CY30" i="29"/>
  <c r="J9" i="29"/>
  <c r="AZ79" i="29"/>
  <c r="BZ13" i="29"/>
  <c r="AM10" i="29"/>
  <c r="V49" i="29"/>
  <c r="CH102" i="29"/>
  <c r="P75" i="29"/>
  <c r="T89" i="29"/>
  <c r="BS54" i="29"/>
  <c r="CW29" i="29"/>
  <c r="AF49" i="29"/>
  <c r="J25" i="29"/>
  <c r="X54" i="29"/>
  <c r="I54" i="29"/>
  <c r="T79" i="29"/>
  <c r="W54" i="29"/>
  <c r="AM54" i="29"/>
  <c r="W21" i="29"/>
  <c r="L31" i="109"/>
  <c r="BH37" i="29"/>
  <c r="U54" i="29"/>
  <c r="BO54" i="29"/>
  <c r="BT54" i="29"/>
  <c r="S54" i="29"/>
  <c r="S37" i="29"/>
  <c r="U21" i="29"/>
  <c r="CW31" i="29"/>
  <c r="P76" i="29"/>
  <c r="CH104" i="29"/>
  <c r="BF10" i="29"/>
  <c r="AZ82" i="29"/>
  <c r="J11" i="29"/>
  <c r="AW19" i="29"/>
  <c r="F756" i="109"/>
  <c r="AY28" i="29"/>
  <c r="L104" i="29"/>
  <c r="S104" i="29"/>
  <c r="CH68" i="29"/>
  <c r="K11" i="29"/>
  <c r="L76" i="29"/>
  <c r="N38" i="29"/>
  <c r="BP63" i="29"/>
  <c r="CJ35" i="29"/>
  <c r="DH30" i="29"/>
  <c r="AI35" i="29"/>
  <c r="DF72" i="29"/>
  <c r="DE104" i="29"/>
  <c r="DF51" i="29"/>
  <c r="V31" i="29"/>
  <c r="K22" i="29"/>
  <c r="DE51" i="29"/>
  <c r="AJ99" i="29"/>
  <c r="BU68" i="29"/>
  <c r="CT14" i="29"/>
  <c r="DE22" i="29"/>
  <c r="AB22" i="29"/>
  <c r="BB28" i="29"/>
  <c r="BJ13" i="29"/>
  <c r="CB99" i="29"/>
  <c r="BS35" i="29"/>
  <c r="BR104" i="29"/>
  <c r="CX28" i="29"/>
  <c r="AA104" i="29"/>
  <c r="BP104" i="29"/>
  <c r="AQ93" i="29"/>
  <c r="BO31" i="29"/>
  <c r="DH29" i="29"/>
  <c r="DA55" i="29"/>
  <c r="BA63" i="29"/>
  <c r="CL68" i="29"/>
  <c r="I46" i="29"/>
  <c r="AX14" i="29"/>
  <c r="BV72" i="29"/>
  <c r="CZ22" i="29"/>
  <c r="CM38" i="29"/>
  <c r="BE93" i="29"/>
  <c r="AI19" i="29"/>
  <c r="AI31" i="29"/>
  <c r="CW28" i="29"/>
  <c r="AX28" i="29"/>
  <c r="AK29" i="29"/>
  <c r="S31" i="29"/>
  <c r="CV76" i="29"/>
  <c r="CJ93" i="29"/>
  <c r="S22" i="29"/>
  <c r="AK18" i="29"/>
  <c r="BE97" i="29"/>
  <c r="BF97" i="29"/>
  <c r="CX14" i="29"/>
  <c r="AV93" i="29"/>
  <c r="AV63" i="29"/>
  <c r="CW55" i="29"/>
  <c r="CB55" i="29"/>
  <c r="Q50" i="29"/>
  <c r="DF93" i="29"/>
  <c r="N82" i="29"/>
  <c r="CD14" i="29"/>
  <c r="CO93" i="29"/>
  <c r="CX104" i="29"/>
  <c r="AP28" i="29"/>
  <c r="DD68" i="29"/>
  <c r="AX51" i="29"/>
  <c r="BT104" i="29"/>
  <c r="CS28" i="29"/>
  <c r="CU31" i="29"/>
  <c r="BU35" i="29"/>
  <c r="BC14" i="29"/>
  <c r="O82" i="29"/>
  <c r="BV38" i="29"/>
  <c r="BD55" i="29"/>
  <c r="AW31" i="29"/>
  <c r="CA38" i="29"/>
  <c r="BC63" i="29"/>
  <c r="BJ89" i="29"/>
  <c r="CO35" i="29"/>
  <c r="CY55" i="29"/>
  <c r="CL104" i="29"/>
  <c r="CZ82" i="29"/>
  <c r="W76" i="29"/>
  <c r="CV31" i="29"/>
  <c r="AK66" i="29"/>
  <c r="AR19" i="29"/>
  <c r="AF46" i="29"/>
  <c r="CB72" i="29"/>
  <c r="CH82" i="29"/>
  <c r="O31" i="29"/>
  <c r="CE51" i="29"/>
  <c r="I28" i="29"/>
  <c r="AD22" i="29"/>
  <c r="BD46" i="29"/>
  <c r="K28" i="29"/>
  <c r="AG55" i="29"/>
  <c r="AN82" i="29"/>
  <c r="CC82" i="29"/>
  <c r="M63" i="29"/>
  <c r="CO19" i="29"/>
  <c r="CI82" i="29"/>
  <c r="BB11" i="29"/>
  <c r="CS104" i="29"/>
  <c r="AU99" i="29"/>
  <c r="AQ35" i="29"/>
  <c r="P38" i="29"/>
  <c r="L63" i="29"/>
  <c r="BS28" i="29"/>
  <c r="AB19" i="29"/>
  <c r="CB63" i="29"/>
  <c r="CA104" i="29"/>
  <c r="J22" i="29"/>
  <c r="I19" i="29"/>
  <c r="CC63" i="29"/>
  <c r="CA35" i="29"/>
  <c r="AH68" i="29"/>
  <c r="AF14" i="29"/>
  <c r="BE104" i="29"/>
  <c r="CY28" i="29"/>
  <c r="BI51" i="29"/>
  <c r="K93" i="29"/>
  <c r="CN55" i="29"/>
  <c r="CQ19" i="29"/>
  <c r="CB46" i="29"/>
  <c r="CD11" i="29"/>
  <c r="CD15" i="29"/>
  <c r="AI82" i="29"/>
  <c r="DE28" i="29"/>
  <c r="BW68" i="29"/>
  <c r="AO99" i="29"/>
  <c r="CC22" i="29"/>
  <c r="K35" i="29"/>
  <c r="AP51" i="29"/>
  <c r="CK22" i="29"/>
  <c r="DA68" i="29"/>
  <c r="CG14" i="29"/>
  <c r="BC51" i="29"/>
  <c r="CY46" i="29"/>
  <c r="AV46" i="29"/>
  <c r="BJ58" i="29"/>
  <c r="Q62" i="29"/>
  <c r="CJ55" i="29"/>
  <c r="V38" i="29"/>
  <c r="AS76" i="29"/>
  <c r="L46" i="29"/>
  <c r="BO72" i="29"/>
  <c r="DH71" i="29"/>
  <c r="Z82" i="29"/>
  <c r="CS19" i="29"/>
  <c r="AY38" i="29"/>
  <c r="BJ98" i="29"/>
  <c r="BQ28" i="29"/>
  <c r="BF67" i="29"/>
  <c r="L55" i="29"/>
  <c r="BR51" i="29"/>
  <c r="CE31" i="29"/>
  <c r="BI35" i="29"/>
  <c r="DC99" i="29"/>
  <c r="CC14" i="29"/>
  <c r="CW82" i="29"/>
  <c r="AF35" i="29"/>
  <c r="L93" i="29"/>
  <c r="BB14" i="29"/>
  <c r="BB15" i="29"/>
  <c r="V22" i="29"/>
  <c r="BB46" i="29"/>
  <c r="DF35" i="29"/>
  <c r="CU38" i="29"/>
  <c r="DE14" i="29"/>
  <c r="X19" i="29"/>
  <c r="AD76" i="29"/>
  <c r="AB28" i="29"/>
  <c r="AI72" i="29"/>
  <c r="AP14" i="29"/>
  <c r="CY68" i="29"/>
  <c r="AO28" i="29"/>
  <c r="BE38" i="29"/>
  <c r="BY82" i="29"/>
  <c r="BD14" i="29"/>
  <c r="CV14" i="29"/>
  <c r="N35" i="29"/>
  <c r="DC104" i="29"/>
  <c r="AX93" i="29"/>
  <c r="AT19" i="29"/>
  <c r="G46" i="29"/>
  <c r="Q45" i="29"/>
  <c r="AU22" i="29"/>
  <c r="CE38" i="29"/>
  <c r="CS11" i="29"/>
  <c r="AV35" i="29"/>
  <c r="AT38" i="29"/>
  <c r="DC51" i="29"/>
  <c r="AF28" i="29"/>
  <c r="BI19" i="29"/>
  <c r="AW14" i="29"/>
  <c r="K63" i="29"/>
  <c r="CP35" i="29"/>
  <c r="DH61" i="29"/>
  <c r="AO68" i="29"/>
  <c r="CY93" i="29"/>
  <c r="AZ72" i="29"/>
  <c r="CA93" i="29"/>
  <c r="BC46" i="29"/>
  <c r="BJ10" i="29"/>
  <c r="CI38" i="29"/>
  <c r="AC104" i="29"/>
  <c r="K14" i="29"/>
  <c r="K15" i="29"/>
  <c r="DA38" i="29"/>
  <c r="CQ31" i="29"/>
  <c r="CK28" i="29"/>
  <c r="DF46" i="29"/>
  <c r="H68" i="29"/>
  <c r="G76" i="29"/>
  <c r="Q75" i="29"/>
  <c r="AE28" i="29"/>
  <c r="BF62" i="29"/>
  <c r="H99" i="29"/>
  <c r="W46" i="29"/>
  <c r="AH104" i="29"/>
  <c r="AD35" i="29"/>
  <c r="AF11" i="29"/>
  <c r="P104" i="29"/>
  <c r="CJ31" i="29"/>
  <c r="AS38" i="29"/>
  <c r="CA82" i="29"/>
  <c r="CP31" i="29"/>
  <c r="AA31" i="29"/>
  <c r="P51" i="29"/>
  <c r="DA72" i="29"/>
  <c r="G31" i="29"/>
  <c r="Q29" i="29"/>
  <c r="AT51" i="29"/>
  <c r="O104" i="29"/>
  <c r="DB38" i="29"/>
  <c r="AM14" i="29"/>
  <c r="BF12" i="29"/>
  <c r="W68" i="29"/>
  <c r="BH63" i="29"/>
  <c r="BJ57" i="29"/>
  <c r="BX99" i="29"/>
  <c r="BW82" i="29"/>
  <c r="CF99" i="29"/>
  <c r="J72" i="29"/>
  <c r="DD46" i="29"/>
  <c r="BS99" i="29"/>
  <c r="CN93" i="29"/>
  <c r="AW63" i="29"/>
  <c r="AH72" i="29"/>
  <c r="BC38" i="29"/>
  <c r="W63" i="29"/>
  <c r="AR99" i="29"/>
  <c r="BB31" i="29"/>
  <c r="Y63" i="29"/>
  <c r="CH28" i="29"/>
  <c r="AM11" i="29"/>
  <c r="DC28" i="29"/>
  <c r="DD51" i="29"/>
  <c r="CF55" i="29"/>
  <c r="Z76" i="29"/>
  <c r="CK104" i="29"/>
  <c r="AX22" i="29"/>
  <c r="Q48" i="29"/>
  <c r="G51" i="29"/>
  <c r="BC104" i="29"/>
  <c r="BE72" i="29"/>
  <c r="CQ28" i="29"/>
  <c r="CQ32" i="29"/>
  <c r="AJ68" i="29"/>
  <c r="CE82" i="29"/>
  <c r="AG76" i="29"/>
  <c r="CX19" i="29"/>
  <c r="AK34" i="29"/>
  <c r="S35" i="29"/>
  <c r="AZ93" i="29"/>
  <c r="BB104" i="29"/>
  <c r="BH51" i="29"/>
  <c r="BJ48" i="29"/>
  <c r="BH104" i="29"/>
  <c r="CF82" i="29"/>
  <c r="BZ35" i="29"/>
  <c r="CM28" i="29"/>
  <c r="Y28" i="29"/>
  <c r="CY35" i="29"/>
  <c r="AH22" i="29"/>
  <c r="CS31" i="29"/>
  <c r="CS32" i="29"/>
  <c r="AV51" i="29"/>
  <c r="BY31" i="29"/>
  <c r="BF49" i="29"/>
  <c r="BC72" i="29"/>
  <c r="AP46" i="29"/>
  <c r="G99" i="29"/>
  <c r="Q96" i="29"/>
  <c r="O14" i="29"/>
  <c r="CS46" i="29"/>
  <c r="BV19" i="29"/>
  <c r="H22" i="29"/>
  <c r="M31" i="29"/>
  <c r="K46" i="29"/>
  <c r="DC76" i="29"/>
  <c r="CG63" i="29"/>
  <c r="BS38" i="29"/>
  <c r="CM14" i="29"/>
  <c r="CD68" i="29"/>
  <c r="I756" i="109"/>
  <c r="I1194" i="109"/>
  <c r="DH59" i="29"/>
  <c r="BR68" i="29"/>
  <c r="Y76" i="29"/>
  <c r="CL31" i="29"/>
  <c r="CE68" i="29"/>
  <c r="AA11" i="29"/>
  <c r="AI22" i="29"/>
  <c r="CH38" i="29"/>
  <c r="BF24" i="29"/>
  <c r="AW72" i="29"/>
  <c r="CC38" i="29"/>
  <c r="T99" i="29"/>
  <c r="BU11" i="29"/>
  <c r="BS72" i="29"/>
  <c r="I63" i="29"/>
  <c r="CL76" i="29"/>
  <c r="BS46" i="29"/>
  <c r="K19" i="29"/>
  <c r="BV35" i="29"/>
  <c r="BU72" i="29"/>
  <c r="I51" i="29"/>
  <c r="CR104" i="29"/>
  <c r="AX46" i="29"/>
  <c r="CC55" i="29"/>
  <c r="BI22" i="29"/>
  <c r="DB99" i="29"/>
  <c r="CM19" i="29"/>
  <c r="Q61" i="29"/>
  <c r="CY82" i="29"/>
  <c r="CC76" i="29"/>
  <c r="AP104" i="29"/>
  <c r="BZ72" i="29"/>
  <c r="BA46" i="29"/>
  <c r="CT22" i="29"/>
  <c r="BU46" i="29"/>
  <c r="DD99" i="29"/>
  <c r="Q30" i="29"/>
  <c r="AC11" i="29"/>
  <c r="AY82" i="29"/>
  <c r="K68" i="29"/>
  <c r="Z19" i="29"/>
  <c r="BT38" i="29"/>
  <c r="I31" i="29"/>
  <c r="AK26" i="29"/>
  <c r="S28" i="29"/>
  <c r="CF38" i="29"/>
  <c r="AO19" i="29"/>
  <c r="CZ31" i="29"/>
  <c r="AC35" i="29"/>
  <c r="U93" i="29"/>
  <c r="CR68" i="29"/>
  <c r="AW82" i="29"/>
  <c r="DC46" i="29"/>
  <c r="AW38" i="29"/>
  <c r="M14" i="29"/>
  <c r="H51" i="29"/>
  <c r="DE99" i="29"/>
  <c r="CT104" i="29"/>
  <c r="AS63" i="29"/>
  <c r="AD72" i="29"/>
  <c r="CS22" i="29"/>
  <c r="BW31" i="29"/>
  <c r="T28" i="29"/>
  <c r="K31" i="29"/>
  <c r="CT28" i="29"/>
  <c r="AD63" i="29"/>
  <c r="BA99" i="29"/>
  <c r="CA28" i="29"/>
  <c r="DH27" i="29"/>
  <c r="CO14" i="29"/>
  <c r="CX55" i="29"/>
  <c r="CN63" i="29"/>
  <c r="AR104" i="29"/>
  <c r="CC72" i="29"/>
  <c r="CG76" i="29"/>
  <c r="DH58" i="29"/>
  <c r="DD22" i="29"/>
  <c r="V63" i="29"/>
  <c r="X38" i="29"/>
  <c r="V46" i="29"/>
  <c r="K38" i="29"/>
  <c r="CO22" i="29"/>
  <c r="AF38" i="29"/>
  <c r="AA55" i="29"/>
  <c r="AG72" i="29"/>
  <c r="CC11" i="29"/>
  <c r="CU72" i="29"/>
  <c r="V68" i="29"/>
  <c r="CP55" i="29"/>
  <c r="DF82" i="29"/>
  <c r="AX82" i="29"/>
  <c r="AK60" i="29"/>
  <c r="J55" i="29"/>
  <c r="S46" i="29"/>
  <c r="I11" i="29"/>
  <c r="AX72" i="29"/>
  <c r="CB31" i="29"/>
  <c r="AA19" i="29"/>
  <c r="CL55" i="29"/>
  <c r="AM63" i="29"/>
  <c r="CA72" i="29"/>
  <c r="AG28" i="29"/>
  <c r="T55" i="29"/>
  <c r="CW51" i="29"/>
  <c r="BR46" i="29"/>
  <c r="DB76" i="29"/>
  <c r="AA22" i="29"/>
  <c r="M104" i="29"/>
  <c r="DA22" i="29"/>
  <c r="AI99" i="29"/>
  <c r="BD82" i="29"/>
  <c r="CG51" i="29"/>
  <c r="CI72" i="29"/>
  <c r="AC14" i="29"/>
  <c r="U46" i="29"/>
  <c r="AE11" i="29"/>
  <c r="CP51" i="29"/>
  <c r="AS14" i="29"/>
  <c r="BX51" i="29"/>
  <c r="CN104" i="29"/>
  <c r="CR93" i="29"/>
  <c r="AG38" i="29"/>
  <c r="CY76" i="29"/>
  <c r="AA14" i="29"/>
  <c r="CJ28" i="29"/>
  <c r="CJ32" i="29"/>
  <c r="M46" i="29"/>
  <c r="X82" i="29"/>
  <c r="L19" i="29"/>
  <c r="U68" i="29"/>
  <c r="BC28" i="29"/>
  <c r="AE55" i="29"/>
  <c r="AX76" i="29"/>
  <c r="DA76" i="29"/>
  <c r="CI99" i="29"/>
  <c r="Y82" i="29"/>
  <c r="BD104" i="29"/>
  <c r="CT63" i="29"/>
  <c r="CB51" i="29"/>
  <c r="DF19" i="29"/>
  <c r="N11" i="29"/>
  <c r="BC19" i="29"/>
  <c r="BF34" i="29"/>
  <c r="AM35" i="29"/>
  <c r="CQ68" i="29"/>
  <c r="BR14" i="29"/>
  <c r="CS82" i="29"/>
  <c r="CO55" i="29"/>
  <c r="CH51" i="29"/>
  <c r="CG31" i="29"/>
  <c r="AP72" i="29"/>
  <c r="AI28" i="29"/>
  <c r="AI32" i="29"/>
  <c r="CM55" i="29"/>
  <c r="AU19" i="29"/>
  <c r="DF11" i="29"/>
  <c r="CP63" i="29"/>
  <c r="I35" i="29"/>
  <c r="Q71" i="29"/>
  <c r="G72" i="29"/>
  <c r="CB93" i="29"/>
  <c r="AR28" i="29"/>
  <c r="AJ11" i="29"/>
  <c r="BR72" i="29"/>
  <c r="AK49" i="29"/>
  <c r="BR93" i="29"/>
  <c r="BB35" i="29"/>
  <c r="K51" i="29"/>
  <c r="CZ11" i="29"/>
  <c r="CD104" i="29"/>
  <c r="AB76" i="29"/>
  <c r="AV19" i="29"/>
  <c r="M35" i="29"/>
  <c r="CO82" i="29"/>
  <c r="Y35" i="29"/>
  <c r="CC19" i="29"/>
  <c r="DC63" i="29"/>
  <c r="AU93" i="29"/>
  <c r="BT76" i="29"/>
  <c r="CW11" i="29"/>
  <c r="H31" i="29"/>
  <c r="T46" i="29"/>
  <c r="AV28" i="29"/>
  <c r="J28" i="29"/>
  <c r="AQ46" i="29"/>
  <c r="DH49" i="29"/>
  <c r="AD68" i="29"/>
  <c r="CQ55" i="29"/>
  <c r="CT35" i="29"/>
  <c r="AS46" i="29"/>
  <c r="BZ38" i="29"/>
  <c r="DF14" i="29"/>
  <c r="DF15" i="29"/>
  <c r="AB63" i="29"/>
  <c r="CE76" i="29"/>
  <c r="AI14" i="29"/>
  <c r="DB46" i="29"/>
  <c r="BI68" i="29"/>
  <c r="AC76" i="29"/>
  <c r="BZ68" i="29"/>
  <c r="G93" i="29"/>
  <c r="Q89" i="29"/>
  <c r="CJ11" i="29"/>
  <c r="DH60" i="29"/>
  <c r="BW14" i="29"/>
  <c r="V28" i="29"/>
  <c r="DF31" i="29"/>
  <c r="L22" i="29"/>
  <c r="BS68" i="29"/>
  <c r="BV76" i="29"/>
  <c r="DA82" i="29"/>
  <c r="AY35" i="29"/>
  <c r="BX46" i="29"/>
  <c r="DD93" i="29"/>
  <c r="AJ22" i="29"/>
  <c r="AA28" i="29"/>
  <c r="AA32" i="29"/>
  <c r="O46" i="29"/>
  <c r="BW76" i="29"/>
  <c r="AN46" i="29"/>
  <c r="J51" i="29"/>
  <c r="AJ28" i="29"/>
  <c r="AZ104" i="29"/>
  <c r="AW28" i="29"/>
  <c r="AW32" i="29"/>
  <c r="CP76" i="29"/>
  <c r="AJ72" i="29"/>
  <c r="CS76" i="29"/>
  <c r="BB82" i="29"/>
  <c r="CI68" i="29"/>
  <c r="BV99" i="29"/>
  <c r="CV55" i="29"/>
  <c r="CU46" i="29"/>
  <c r="DD55" i="29"/>
  <c r="DB63" i="29"/>
  <c r="O11" i="29"/>
  <c r="DH75" i="29"/>
  <c r="BO76" i="29"/>
  <c r="N55" i="29"/>
  <c r="BJ60" i="29"/>
  <c r="CP82" i="29"/>
  <c r="AJ76" i="29"/>
  <c r="BX82" i="29"/>
  <c r="BU104" i="29"/>
  <c r="CV38" i="29"/>
  <c r="BH46" i="29"/>
  <c r="BJ45" i="29"/>
  <c r="P99" i="29"/>
  <c r="DA35" i="29"/>
  <c r="CH93" i="29"/>
  <c r="H46" i="29"/>
  <c r="CV28" i="29"/>
  <c r="AH14" i="29"/>
  <c r="BZ22" i="29"/>
  <c r="AO82" i="29"/>
  <c r="BI38" i="29"/>
  <c r="BX38" i="29"/>
  <c r="CM68" i="29"/>
  <c r="I93" i="29"/>
  <c r="AK62" i="29"/>
  <c r="CD82" i="29"/>
  <c r="CZ72" i="29"/>
  <c r="AF55" i="29"/>
  <c r="CB68" i="29"/>
  <c r="CF31" i="29"/>
  <c r="AA82" i="29"/>
  <c r="S82" i="29"/>
  <c r="CD46" i="29"/>
  <c r="BC82" i="29"/>
  <c r="AB99" i="29"/>
  <c r="AH19" i="29"/>
  <c r="CQ11" i="29"/>
  <c r="I82" i="29"/>
  <c r="AH31" i="29"/>
  <c r="AY51" i="29"/>
  <c r="BE28" i="29"/>
  <c r="P28" i="29"/>
  <c r="I76" i="29"/>
  <c r="BI99" i="29"/>
  <c r="CQ35" i="29"/>
  <c r="CK72" i="29"/>
  <c r="CV68" i="29"/>
  <c r="BX28" i="29"/>
  <c r="CD38" i="29"/>
  <c r="CO72" i="29"/>
  <c r="CN14" i="29"/>
  <c r="P22" i="29"/>
  <c r="AY31" i="29"/>
  <c r="CK46" i="29"/>
  <c r="J14" i="29"/>
  <c r="J15" i="29"/>
  <c r="CU35" i="29"/>
  <c r="CJ63" i="29"/>
  <c r="CI28" i="29"/>
  <c r="CM22" i="29"/>
  <c r="CB19" i="29"/>
  <c r="CD76" i="29"/>
  <c r="AJ104" i="29"/>
  <c r="BS19" i="29"/>
  <c r="AS82" i="29"/>
  <c r="O93" i="29"/>
  <c r="BA14" i="29"/>
  <c r="AG22" i="29"/>
  <c r="CQ104" i="29"/>
  <c r="AG46" i="29"/>
  <c r="W38" i="29"/>
  <c r="M82" i="29"/>
  <c r="AA68" i="29"/>
  <c r="BB38" i="29"/>
  <c r="DA11" i="29"/>
  <c r="AP68" i="29"/>
  <c r="AZ51" i="29"/>
  <c r="CF14" i="29"/>
  <c r="V76" i="29"/>
  <c r="AI93" i="29"/>
  <c r="DC55" i="29"/>
  <c r="CI19" i="29"/>
  <c r="CG19" i="29"/>
  <c r="CE28" i="29"/>
  <c r="CE32" i="29"/>
  <c r="AN51" i="29"/>
  <c r="CY11" i="29"/>
  <c r="BX35" i="29"/>
  <c r="AS72" i="29"/>
  <c r="DD35" i="29"/>
  <c r="BF61" i="29"/>
  <c r="BC35" i="29"/>
  <c r="CH72" i="29"/>
  <c r="CO31" i="29"/>
  <c r="AX19" i="29"/>
  <c r="CZ76" i="29"/>
  <c r="BJ21" i="29"/>
  <c r="BH22" i="29"/>
  <c r="BJ22" i="29"/>
  <c r="M19" i="29"/>
  <c r="BV93" i="29"/>
  <c r="AR46" i="29"/>
  <c r="I38" i="29"/>
  <c r="DF76" i="29"/>
  <c r="S76" i="29"/>
  <c r="AB82" i="29"/>
  <c r="BZ104" i="29"/>
  <c r="CK19" i="29"/>
  <c r="CF76" i="29"/>
  <c r="CV104" i="29"/>
  <c r="CA68" i="29"/>
  <c r="CQ14" i="29"/>
  <c r="BW63" i="29"/>
  <c r="Y38" i="29"/>
  <c r="X72" i="29"/>
  <c r="AU51" i="29"/>
  <c r="BE31" i="29"/>
  <c r="BV104" i="29"/>
  <c r="AP76" i="29"/>
  <c r="DA99" i="29"/>
  <c r="BA104" i="29"/>
  <c r="BH19" i="29"/>
  <c r="BJ19" i="29"/>
  <c r="BJ17" i="29"/>
  <c r="DF22" i="29"/>
  <c r="CG11" i="29"/>
  <c r="S63" i="29"/>
  <c r="AC63" i="29"/>
  <c r="AZ11" i="29"/>
  <c r="AJ14" i="29"/>
  <c r="AJ15" i="29"/>
  <c r="AV22" i="29"/>
  <c r="CN82" i="29"/>
  <c r="CN99" i="29"/>
  <c r="CN106" i="29"/>
  <c r="BT72" i="29"/>
  <c r="CP93" i="29"/>
  <c r="CE35" i="29"/>
  <c r="BZ99" i="29"/>
  <c r="CU55" i="29"/>
  <c r="CY63" i="29"/>
  <c r="AD11" i="29"/>
  <c r="AY11" i="29"/>
  <c r="AV72" i="29"/>
  <c r="AN72" i="29"/>
  <c r="AA35" i="29"/>
  <c r="CQ22" i="29"/>
  <c r="CV11" i="29"/>
  <c r="AS19" i="29"/>
  <c r="AN76" i="29"/>
  <c r="BT46" i="29"/>
  <c r="AW46" i="29"/>
  <c r="Q27" i="29"/>
  <c r="CO99" i="29"/>
  <c r="BY55" i="29"/>
  <c r="CH63" i="29"/>
  <c r="CK99" i="29"/>
  <c r="BF45" i="29"/>
  <c r="AM46" i="29"/>
  <c r="AP35" i="29"/>
  <c r="Q17" i="29"/>
  <c r="G19" i="29"/>
  <c r="AQ76" i="29"/>
  <c r="AC82" i="29"/>
  <c r="CY19" i="29"/>
  <c r="AM22" i="29"/>
  <c r="BF21" i="29"/>
  <c r="AI104" i="29"/>
  <c r="X28" i="29"/>
  <c r="BS82" i="29"/>
  <c r="CY38" i="29"/>
  <c r="AQ38" i="29"/>
  <c r="BA35" i="29"/>
  <c r="Y19" i="29"/>
  <c r="DE63" i="29"/>
  <c r="BP68" i="29"/>
  <c r="CK38" i="29"/>
  <c r="BJ54" i="29"/>
  <c r="CV99" i="29"/>
  <c r="CS63" i="29"/>
  <c r="AO63" i="29"/>
  <c r="CL28" i="29"/>
  <c r="CL32" i="29"/>
  <c r="DB72" i="29"/>
  <c r="AR35" i="29"/>
  <c r="CA63" i="29"/>
  <c r="AI76" i="29"/>
  <c r="CU93" i="29"/>
  <c r="P55" i="29"/>
  <c r="DH48" i="29"/>
  <c r="U72" i="29"/>
  <c r="AM93" i="29"/>
  <c r="BF89" i="29"/>
  <c r="BF13" i="29"/>
  <c r="AN99" i="29"/>
  <c r="BS51" i="29"/>
  <c r="S51" i="29"/>
  <c r="CS93" i="29"/>
  <c r="P14" i="29"/>
  <c r="AE82" i="29"/>
  <c r="CL35" i="29"/>
  <c r="CX51" i="29"/>
  <c r="I14" i="29"/>
  <c r="I15" i="29"/>
  <c r="AQ68" i="29"/>
  <c r="CE19" i="29"/>
  <c r="H93" i="29"/>
  <c r="Q26" i="29"/>
  <c r="G28" i="29"/>
  <c r="BW104" i="29"/>
  <c r="BX104" i="29"/>
  <c r="AD38" i="29"/>
  <c r="AT76" i="29"/>
  <c r="DA104" i="29"/>
  <c r="BS63" i="29"/>
  <c r="AE38" i="29"/>
  <c r="H35" i="29"/>
  <c r="J93" i="29"/>
  <c r="BA11" i="29"/>
  <c r="AY46" i="29"/>
  <c r="M28" i="29"/>
  <c r="AO35" i="29"/>
  <c r="CV46" i="29"/>
  <c r="DH37" i="29"/>
  <c r="BO38" i="29"/>
  <c r="DD11" i="29"/>
  <c r="P82" i="29"/>
  <c r="AO104" i="29"/>
  <c r="BD68" i="29"/>
  <c r="CE63" i="29"/>
  <c r="AW22" i="29"/>
  <c r="CH11" i="29"/>
  <c r="AY63" i="29"/>
  <c r="CX82" i="29"/>
  <c r="Y72" i="29"/>
  <c r="BD38" i="29"/>
  <c r="BY68" i="29"/>
  <c r="AQ11" i="29"/>
  <c r="BY99" i="29"/>
  <c r="BX68" i="29"/>
  <c r="AH46" i="29"/>
  <c r="H76" i="29"/>
  <c r="O72" i="29"/>
  <c r="Y14" i="29"/>
  <c r="AC55" i="29"/>
  <c r="CL46" i="29"/>
  <c r="AJ93" i="29"/>
  <c r="AJ106" i="29"/>
  <c r="AD28" i="29"/>
  <c r="CX68" i="29"/>
  <c r="AN19" i="29"/>
  <c r="AR14" i="29"/>
  <c r="AQ63" i="29"/>
  <c r="Q13" i="29"/>
  <c r="CH55" i="29"/>
  <c r="M38" i="29"/>
  <c r="AV104" i="29"/>
  <c r="CA51" i="29"/>
  <c r="BI14" i="29"/>
  <c r="BA19" i="29"/>
  <c r="BT35" i="29"/>
  <c r="Y31" i="29"/>
  <c r="Y32" i="29"/>
  <c r="BW72" i="29"/>
  <c r="CF68" i="29"/>
  <c r="CK55" i="29"/>
  <c r="AE19" i="29"/>
  <c r="H104" i="29"/>
  <c r="Q58" i="29"/>
  <c r="CN46" i="29"/>
  <c r="CR14" i="29"/>
  <c r="J68" i="29"/>
  <c r="CK82" i="29"/>
  <c r="CE93" i="29"/>
  <c r="BD11" i="29"/>
  <c r="BD15" i="29"/>
  <c r="AX38" i="29"/>
  <c r="CV19" i="29"/>
  <c r="CI76" i="29"/>
  <c r="X14" i="29"/>
  <c r="BI31" i="29"/>
  <c r="BF96" i="29"/>
  <c r="AM99" i="29"/>
  <c r="AW11" i="29"/>
  <c r="AO51" i="29"/>
  <c r="AP63" i="29"/>
  <c r="CN35" i="29"/>
  <c r="CX46" i="29"/>
  <c r="CQ99" i="29"/>
  <c r="CB82" i="29"/>
  <c r="CK14" i="29"/>
  <c r="BZ93" i="29"/>
  <c r="BZ106" i="29"/>
  <c r="AX99" i="29"/>
  <c r="CI11" i="29"/>
  <c r="AG82" i="29"/>
  <c r="AR38" i="29"/>
  <c r="CW76" i="29"/>
  <c r="L14" i="29"/>
  <c r="BT82" i="29"/>
  <c r="U31" i="29"/>
  <c r="P35" i="29"/>
  <c r="AE35" i="29"/>
  <c r="CO104" i="29"/>
  <c r="AU63" i="29"/>
  <c r="X51" i="29"/>
  <c r="AS99" i="29"/>
  <c r="AH82" i="29"/>
  <c r="AV82" i="29"/>
  <c r="BY93" i="29"/>
  <c r="CO51" i="29"/>
  <c r="AZ68" i="29"/>
  <c r="CT76" i="29"/>
  <c r="AG63" i="29"/>
  <c r="AD93" i="29"/>
  <c r="N22" i="29"/>
  <c r="CU22" i="29"/>
  <c r="CT51" i="29"/>
  <c r="BW51" i="29"/>
  <c r="AZ46" i="29"/>
  <c r="AX35" i="29"/>
  <c r="O35" i="29"/>
  <c r="BP46" i="29"/>
  <c r="BJ34" i="29"/>
  <c r="BH35" i="29"/>
  <c r="CR38" i="29"/>
  <c r="AT31" i="29"/>
  <c r="H38" i="29"/>
  <c r="CA46" i="29"/>
  <c r="BQ76" i="29"/>
  <c r="DF63" i="29"/>
  <c r="AQ82" i="29"/>
  <c r="S93" i="29"/>
  <c r="AK89" i="29"/>
  <c r="AY32" i="29"/>
  <c r="P63" i="29"/>
  <c r="AJ55" i="29"/>
  <c r="CP104" i="29"/>
  <c r="DH65" i="29"/>
  <c r="BO68" i="29"/>
  <c r="AJ35" i="29"/>
  <c r="Y99" i="29"/>
  <c r="CE22" i="29"/>
  <c r="M32" i="29"/>
  <c r="BQ46" i="29"/>
  <c r="AW51" i="29"/>
  <c r="CN11" i="29"/>
  <c r="K55" i="29"/>
  <c r="CM99" i="29"/>
  <c r="AC19" i="29"/>
  <c r="CT72" i="29"/>
  <c r="CN51" i="29"/>
  <c r="BV51" i="29"/>
  <c r="CX72" i="29"/>
  <c r="CH14" i="29"/>
  <c r="CH15" i="29"/>
  <c r="CE46" i="29"/>
  <c r="O22" i="29"/>
  <c r="W28" i="29"/>
  <c r="BF91" i="29"/>
  <c r="K76" i="29"/>
  <c r="CM46" i="29"/>
  <c r="BB68" i="29"/>
  <c r="CT68" i="29"/>
  <c r="I99" i="29"/>
  <c r="BV28" i="29"/>
  <c r="Z14" i="29"/>
  <c r="I72" i="29"/>
  <c r="CO63" i="29"/>
  <c r="CE14" i="29"/>
  <c r="BY76" i="29"/>
  <c r="CW68" i="29"/>
  <c r="CP19" i="29"/>
  <c r="G38" i="29"/>
  <c r="Q37" i="29"/>
  <c r="Q67" i="29"/>
  <c r="BZ28" i="29"/>
  <c r="BB99" i="29"/>
  <c r="AR22" i="29"/>
  <c r="BA93" i="29"/>
  <c r="BA106" i="29"/>
  <c r="AE46" i="29"/>
  <c r="CV51" i="29"/>
  <c r="AZ63" i="29"/>
  <c r="CG46" i="29"/>
  <c r="CB35" i="29"/>
  <c r="CF22" i="29"/>
  <c r="CC31" i="29"/>
  <c r="CR31" i="29"/>
  <c r="Q49" i="29"/>
  <c r="DB104" i="29"/>
  <c r="CZ55" i="29"/>
  <c r="Y22" i="29"/>
  <c r="Z22" i="29"/>
  <c r="BU28" i="29"/>
  <c r="P19" i="29"/>
  <c r="AY19" i="29"/>
  <c r="CZ19" i="29"/>
  <c r="BE46" i="29"/>
  <c r="CX35" i="29"/>
  <c r="AN55" i="29"/>
  <c r="AU31" i="29"/>
  <c r="DE72" i="29"/>
  <c r="DB19" i="29"/>
  <c r="BI46" i="29"/>
  <c r="Q66" i="29"/>
  <c r="BW55" i="29"/>
  <c r="CY72" i="29"/>
  <c r="CF72" i="29"/>
  <c r="BV82" i="29"/>
  <c r="BE11" i="29"/>
  <c r="BO99" i="29"/>
  <c r="X63" i="29"/>
  <c r="Z93" i="29"/>
  <c r="U35" i="29"/>
  <c r="CN31" i="29"/>
  <c r="CV22" i="29"/>
  <c r="DB31" i="29"/>
  <c r="G756" i="109"/>
  <c r="N104" i="29"/>
  <c r="DH62" i="29"/>
  <c r="AX55" i="29"/>
  <c r="O63" i="29"/>
  <c r="CA11" i="29"/>
  <c r="G68" i="29"/>
  <c r="Q65" i="29"/>
  <c r="AS35" i="29"/>
  <c r="CI35" i="29"/>
  <c r="J38" i="29"/>
  <c r="BZ46" i="29"/>
  <c r="CU11" i="29"/>
  <c r="BU99" i="29"/>
  <c r="AK13" i="29"/>
  <c r="BC99" i="29"/>
  <c r="AU68" i="29"/>
  <c r="CG55" i="29"/>
  <c r="BS104" i="29"/>
  <c r="BS31" i="29"/>
  <c r="BV22" i="29"/>
  <c r="BY14" i="29"/>
  <c r="CP14" i="29"/>
  <c r="BX14" i="29"/>
  <c r="BI63" i="29"/>
  <c r="BU14" i="29"/>
  <c r="BU15" i="29"/>
  <c r="DH34" i="29"/>
  <c r="BO35" i="29"/>
  <c r="AH76" i="29"/>
  <c r="CW22" i="29"/>
  <c r="CR63" i="29"/>
  <c r="DB28" i="29"/>
  <c r="CV35" i="29"/>
  <c r="CL38" i="29"/>
  <c r="CZ51" i="29"/>
  <c r="CF11" i="29"/>
  <c r="Q102" i="29"/>
  <c r="G104" i="29"/>
  <c r="CY22" i="29"/>
  <c r="Z51" i="29"/>
  <c r="X22" i="29"/>
  <c r="DE31" i="29"/>
  <c r="CQ38" i="29"/>
  <c r="AV38" i="29"/>
  <c r="CS51" i="29"/>
  <c r="CT46" i="29"/>
  <c r="BI72" i="29"/>
  <c r="AQ14" i="29"/>
  <c r="AQ15" i="29"/>
  <c r="BF81" i="29"/>
  <c r="AH51" i="29"/>
  <c r="CG22" i="29"/>
  <c r="AW104" i="29"/>
  <c r="N93" i="29"/>
  <c r="CF19" i="29"/>
  <c r="AZ76" i="29"/>
  <c r="CN68" i="29"/>
  <c r="AI63" i="29"/>
  <c r="AA72" i="29"/>
  <c r="AI51" i="29"/>
  <c r="AW93" i="29"/>
  <c r="DF104" i="29"/>
  <c r="AR68" i="29"/>
  <c r="CP68" i="29"/>
  <c r="BW46" i="29"/>
  <c r="N63" i="29"/>
  <c r="BT14" i="29"/>
  <c r="CE99" i="29"/>
  <c r="DD76" i="29"/>
  <c r="AY14" i="29"/>
  <c r="AY15" i="29"/>
  <c r="BJ9" i="29"/>
  <c r="BH11" i="29"/>
  <c r="AT72" i="29"/>
  <c r="CL22" i="29"/>
  <c r="H19" i="29"/>
  <c r="BP38" i="29"/>
  <c r="BC93" i="29"/>
  <c r="BC106" i="29"/>
  <c r="BS22" i="29"/>
  <c r="CR35" i="29"/>
  <c r="Q60" i="29"/>
  <c r="CA99" i="29"/>
  <c r="AC31" i="29"/>
  <c r="I68" i="29"/>
  <c r="H11" i="29"/>
  <c r="CP72" i="29"/>
  <c r="CS38" i="29"/>
  <c r="DE68" i="29"/>
  <c r="AM51" i="29"/>
  <c r="K756" i="109"/>
  <c r="BJ59" i="29"/>
  <c r="CA55" i="29"/>
  <c r="BA51" i="29"/>
  <c r="AR82" i="29"/>
  <c r="Q57" i="29"/>
  <c r="G63" i="29"/>
  <c r="BY46" i="29"/>
  <c r="BI11" i="29"/>
  <c r="BJ18" i="29"/>
  <c r="L82" i="29"/>
  <c r="H28" i="29"/>
  <c r="H32" i="29"/>
  <c r="CI22" i="29"/>
  <c r="AN68" i="29"/>
  <c r="L35" i="29"/>
  <c r="AY99" i="29"/>
  <c r="CU63" i="29"/>
  <c r="DA63" i="29"/>
  <c r="G55" i="29"/>
  <c r="Q53" i="29"/>
  <c r="AB38" i="29"/>
  <c r="CJ22" i="29"/>
  <c r="BY63" i="29"/>
  <c r="CD31" i="29"/>
  <c r="BW99" i="29"/>
  <c r="CT93" i="29"/>
  <c r="CB38" i="29"/>
  <c r="BR11" i="29"/>
  <c r="AF22" i="29"/>
  <c r="G22" i="29"/>
  <c r="Q21" i="29"/>
  <c r="AC22" i="29"/>
  <c r="J99" i="29"/>
  <c r="V35" i="29"/>
  <c r="AH11" i="29"/>
  <c r="AD14" i="29"/>
  <c r="AD15" i="29"/>
  <c r="AN63" i="29"/>
  <c r="AB104" i="29"/>
  <c r="N19" i="29"/>
  <c r="CW38" i="29"/>
  <c r="Z11" i="29"/>
  <c r="DD63" i="29"/>
  <c r="BY51" i="29"/>
  <c r="CL11" i="29"/>
  <c r="CK76" i="29"/>
  <c r="CC46" i="29"/>
  <c r="BE82" i="29"/>
  <c r="AF82" i="29"/>
  <c r="Z55" i="29"/>
  <c r="CU28" i="29"/>
  <c r="CG28" i="29"/>
  <c r="CG32" i="29"/>
  <c r="AQ55" i="29"/>
  <c r="BX55" i="29"/>
  <c r="AM68" i="29"/>
  <c r="BJ50" i="29"/>
  <c r="AB51" i="29"/>
  <c r="AD46" i="29"/>
  <c r="BT63" i="29"/>
  <c r="BJ12" i="29"/>
  <c r="BH14" i="29"/>
  <c r="AT35" i="29"/>
  <c r="BC76" i="29"/>
  <c r="AN31" i="29"/>
  <c r="BX22" i="29"/>
  <c r="CU14" i="29"/>
  <c r="DF38" i="29"/>
  <c r="CG82" i="29"/>
  <c r="S68" i="29"/>
  <c r="DF28" i="29"/>
  <c r="DF32" i="29"/>
  <c r="DF40" i="29"/>
  <c r="CW72" i="29"/>
  <c r="AG35" i="29"/>
  <c r="J46" i="29"/>
  <c r="AZ19" i="29"/>
  <c r="AF93" i="29"/>
  <c r="CX93" i="29"/>
  <c r="CQ63" i="29"/>
  <c r="BJ49" i="29"/>
  <c r="BQ63" i="29"/>
  <c r="O28" i="29"/>
  <c r="M51" i="29"/>
  <c r="BZ76" i="29"/>
  <c r="CQ76" i="29"/>
  <c r="AP19" i="29"/>
  <c r="BW93" i="29"/>
  <c r="BW106" i="29"/>
  <c r="BV46" i="29"/>
  <c r="CZ104" i="29"/>
  <c r="BD28" i="29"/>
  <c r="AK27" i="29"/>
  <c r="O68" i="29"/>
  <c r="BB51" i="29"/>
  <c r="DB51" i="29"/>
  <c r="BQ99" i="29"/>
  <c r="AH28" i="29"/>
  <c r="CQ93" i="29"/>
  <c r="CQ106" i="29"/>
  <c r="AD82" i="29"/>
  <c r="AX104" i="29"/>
  <c r="Q92" i="29"/>
  <c r="CJ68" i="29"/>
  <c r="CU99" i="29"/>
  <c r="AQ28" i="29"/>
  <c r="DE11" i="29"/>
  <c r="CA14" i="29"/>
  <c r="CA15" i="29"/>
  <c r="AR31" i="29"/>
  <c r="AR32" i="29"/>
  <c r="AH93" i="29"/>
  <c r="CW35" i="29"/>
  <c r="Q34" i="29"/>
  <c r="BL34" i="29"/>
  <c r="G35" i="29"/>
  <c r="AV14" i="29"/>
  <c r="CW19" i="29"/>
  <c r="AK61" i="29"/>
  <c r="AO11" i="29"/>
  <c r="BS14" i="29"/>
  <c r="BT99" i="29"/>
  <c r="CI46" i="29"/>
  <c r="BQ35" i="29"/>
  <c r="BT51" i="29"/>
  <c r="Q59" i="29"/>
  <c r="AX68" i="29"/>
  <c r="AX11" i="29"/>
  <c r="BJ67" i="29"/>
  <c r="CM82" i="29"/>
  <c r="CI55" i="29"/>
  <c r="W72" i="29"/>
  <c r="DE76" i="29"/>
  <c r="AN93" i="29"/>
  <c r="AN11" i="29"/>
  <c r="V93" i="29"/>
  <c r="M99" i="29"/>
  <c r="CE72" i="29"/>
  <c r="AJ19" i="29"/>
  <c r="CM51" i="29"/>
  <c r="K72" i="29"/>
  <c r="CF46" i="29"/>
  <c r="Q98" i="29"/>
  <c r="BU51" i="29"/>
  <c r="DC35" i="29"/>
  <c r="AY68" i="29"/>
  <c r="CM72" i="29"/>
  <c r="CH35" i="29"/>
  <c r="CP99" i="29"/>
  <c r="AM76" i="29"/>
  <c r="AN28" i="29"/>
  <c r="CH46" i="29"/>
  <c r="CF104" i="29"/>
  <c r="CS35" i="29"/>
  <c r="AA63" i="29"/>
  <c r="AY93" i="29"/>
  <c r="BS76" i="29"/>
  <c r="CW46" i="29"/>
  <c r="DA14" i="29"/>
  <c r="AI68" i="29"/>
  <c r="AE104" i="29"/>
  <c r="U38" i="29"/>
  <c r="CQ82" i="29"/>
  <c r="AE93" i="29"/>
  <c r="AS68" i="29"/>
  <c r="CV63" i="29"/>
  <c r="AG93" i="29"/>
  <c r="DC14" i="29"/>
  <c r="BF25" i="29"/>
  <c r="CC68" i="29"/>
  <c r="AO72" i="29"/>
  <c r="CI93" i="29"/>
  <c r="AY22" i="29"/>
  <c r="CT38" i="29"/>
  <c r="BR76" i="29"/>
  <c r="CN19" i="29"/>
  <c r="Y51" i="29"/>
  <c r="CA22" i="29"/>
  <c r="AT82" i="29"/>
  <c r="CE55" i="29"/>
  <c r="CR55" i="29"/>
  <c r="CW93" i="29"/>
  <c r="AY76" i="29"/>
  <c r="CJ14" i="29"/>
  <c r="CJ15" i="29"/>
  <c r="BW35" i="29"/>
  <c r="AQ19" i="29"/>
  <c r="BY35" i="29"/>
  <c r="CW99" i="29"/>
  <c r="BW38" i="29"/>
  <c r="AO14" i="29"/>
  <c r="AO15" i="29"/>
  <c r="AO93" i="29"/>
  <c r="AO106" i="29"/>
  <c r="DE32" i="29"/>
  <c r="T19" i="29"/>
  <c r="CZ63" i="29"/>
  <c r="Y46" i="29"/>
  <c r="CC93" i="29"/>
  <c r="M76" i="29"/>
  <c r="CP46" i="29"/>
  <c r="CP11" i="29"/>
  <c r="AV11" i="29"/>
  <c r="DC38" i="29"/>
  <c r="CZ28" i="29"/>
  <c r="CZ32" i="29"/>
  <c r="CX63" i="29"/>
  <c r="AA46" i="29"/>
  <c r="BT28" i="29"/>
  <c r="AH32" i="29"/>
  <c r="AS28" i="29"/>
  <c r="U19" i="29"/>
  <c r="H63" i="29"/>
  <c r="CJ38" i="29"/>
  <c r="N72" i="29"/>
  <c r="M93" i="29"/>
  <c r="AE22" i="29"/>
  <c r="AW55" i="29"/>
  <c r="M22" i="29"/>
  <c r="H14" i="29"/>
  <c r="H15" i="29"/>
  <c r="AN35" i="29"/>
  <c r="Q10" i="29"/>
  <c r="DD38" i="29"/>
  <c r="DB11" i="29"/>
  <c r="BV14" i="29"/>
  <c r="CC35" i="29"/>
  <c r="J82" i="29"/>
  <c r="BZ11" i="29"/>
  <c r="M68" i="29"/>
  <c r="Z68" i="29"/>
  <c r="AV55" i="29"/>
  <c r="CH31" i="29"/>
  <c r="CH32" i="29"/>
  <c r="L31" i="29"/>
  <c r="CE11" i="29"/>
  <c r="CE15" i="29"/>
  <c r="CE40" i="29"/>
  <c r="AI55" i="29"/>
  <c r="AH55" i="29"/>
  <c r="AT63" i="29"/>
  <c r="BD63" i="29"/>
  <c r="DE35" i="29"/>
  <c r="CR11" i="29"/>
  <c r="CR15" i="29"/>
  <c r="L51" i="29"/>
  <c r="CN28" i="29"/>
  <c r="CN32" i="29"/>
  <c r="DA31" i="29"/>
  <c r="DC31" i="29"/>
  <c r="AF76" i="29"/>
  <c r="AM72" i="29"/>
  <c r="BF71" i="29"/>
  <c r="AZ38" i="29"/>
  <c r="BB76" i="29"/>
  <c r="CE104" i="29"/>
  <c r="AZ28" i="29"/>
  <c r="L38" i="29"/>
  <c r="BD99" i="29"/>
  <c r="AZ35" i="29"/>
  <c r="AA38" i="29"/>
  <c r="DC19" i="29"/>
  <c r="BU55" i="29"/>
  <c r="AY72" i="29"/>
  <c r="CM63" i="29"/>
  <c r="AS55" i="29"/>
  <c r="BP99" i="29"/>
  <c r="CJ46" i="29"/>
  <c r="CM93" i="29"/>
  <c r="AR55" i="29"/>
  <c r="H82" i="29"/>
  <c r="AQ72" i="29"/>
  <c r="AT68" i="29"/>
  <c r="CM76" i="29"/>
  <c r="AA93" i="29"/>
  <c r="CN72" i="29"/>
  <c r="CP22" i="29"/>
  <c r="DE46" i="29"/>
  <c r="P46" i="29"/>
  <c r="CR51" i="29"/>
  <c r="AH35" i="29"/>
  <c r="Q91" i="29"/>
  <c r="AM19" i="29"/>
  <c r="BF17" i="29"/>
  <c r="CD55" i="29"/>
  <c r="BZ51" i="29"/>
  <c r="J31" i="29"/>
  <c r="AO55" i="29"/>
  <c r="CX31" i="29"/>
  <c r="CX32" i="29"/>
  <c r="CJ104" i="29"/>
  <c r="BE35" i="29"/>
  <c r="O19" i="29"/>
  <c r="AT46" i="29"/>
  <c r="N99" i="29"/>
  <c r="AT22" i="29"/>
  <c r="AI38" i="29"/>
  <c r="AO38" i="29"/>
  <c r="AN104" i="29"/>
  <c r="AT28" i="29"/>
  <c r="AT32" i="29"/>
  <c r="CT19" i="29"/>
  <c r="CK31" i="29"/>
  <c r="CD63" i="29"/>
  <c r="BW22" i="29"/>
  <c r="AJ51" i="29"/>
  <c r="N31" i="29"/>
  <c r="DA28" i="29"/>
  <c r="CL19" i="29"/>
  <c r="CR28" i="29"/>
  <c r="CR32" i="29"/>
  <c r="AR11" i="29"/>
  <c r="AR15" i="29"/>
  <c r="AR40" i="29"/>
  <c r="BU38" i="29"/>
  <c r="CS72" i="29"/>
  <c r="BB22" i="29"/>
  <c r="DD28" i="29"/>
  <c r="BT19" i="29"/>
  <c r="BF18" i="29"/>
  <c r="AJ31" i="29"/>
  <c r="DD31" i="29"/>
  <c r="CL72" i="29"/>
  <c r="BY104" i="29"/>
  <c r="CX99" i="29"/>
  <c r="BF60" i="29"/>
  <c r="BB72" i="29"/>
  <c r="CD22" i="29"/>
  <c r="AK17" i="29"/>
  <c r="S19" i="29"/>
  <c r="Z38" i="29"/>
  <c r="BD22" i="29"/>
  <c r="BB32" i="29"/>
  <c r="BR35" i="29"/>
  <c r="DE93" i="29"/>
  <c r="BS11" i="29"/>
  <c r="BB19" i="29"/>
  <c r="AB93" i="29"/>
  <c r="AB106" i="29"/>
  <c r="BZ31" i="29"/>
  <c r="BZ32" i="29"/>
  <c r="BR99" i="29"/>
  <c r="AN22" i="29"/>
  <c r="CN76" i="29"/>
  <c r="CN84" i="29"/>
  <c r="AG14" i="29"/>
  <c r="AS11" i="29"/>
  <c r="AZ99" i="29"/>
  <c r="AZ106" i="29"/>
  <c r="BU93" i="29"/>
  <c r="BU106" i="29"/>
  <c r="BA72" i="29"/>
  <c r="Q81" i="29"/>
  <c r="BJ29" i="29"/>
  <c r="BH31" i="29"/>
  <c r="P31" i="29"/>
  <c r="P32" i="29"/>
  <c r="DB82" i="29"/>
  <c r="CD28" i="29"/>
  <c r="CD32" i="29"/>
  <c r="CU19" i="29"/>
  <c r="L68" i="29"/>
  <c r="AE68" i="29"/>
  <c r="J63" i="29"/>
  <c r="AP31" i="29"/>
  <c r="AP32" i="29"/>
  <c r="AA51" i="29"/>
  <c r="CR22" i="29"/>
  <c r="CX11" i="29"/>
  <c r="AW35" i="29"/>
  <c r="CU68" i="29"/>
  <c r="BH28" i="29"/>
  <c r="BJ26" i="29"/>
  <c r="BP31" i="29"/>
  <c r="AU35" i="29"/>
  <c r="AU11" i="29"/>
  <c r="Y68" i="29"/>
  <c r="CB28" i="29"/>
  <c r="AK30" i="29"/>
  <c r="AY55" i="29"/>
  <c r="AR93" i="29"/>
  <c r="AR106" i="29"/>
  <c r="CS68" i="29"/>
  <c r="M72" i="29"/>
  <c r="CL93" i="29"/>
  <c r="BQ38" i="29"/>
  <c r="CM35" i="29"/>
  <c r="X31" i="29"/>
  <c r="X32" i="29"/>
  <c r="P72" i="29"/>
  <c r="CL51" i="29"/>
  <c r="BO104" i="29"/>
  <c r="DH102" i="29"/>
  <c r="L99" i="29"/>
  <c r="AD31" i="29"/>
  <c r="AC93" i="29"/>
  <c r="BD76" i="29"/>
  <c r="L72" i="29"/>
  <c r="CI63" i="29"/>
  <c r="BT68" i="29"/>
  <c r="AD55" i="29"/>
  <c r="AJ82" i="29"/>
  <c r="DC68" i="29"/>
  <c r="AC51" i="29"/>
  <c r="AU72" i="29"/>
  <c r="CZ68" i="29"/>
  <c r="BA55" i="29"/>
  <c r="BJ25" i="29"/>
  <c r="CG104" i="29"/>
  <c r="O99" i="29"/>
  <c r="AK10" i="29"/>
  <c r="CD35" i="29"/>
  <c r="DD14" i="29"/>
  <c r="DD15" i="29"/>
  <c r="BE14" i="29"/>
  <c r="DE38" i="29"/>
  <c r="AP11" i="29"/>
  <c r="AP15" i="29"/>
  <c r="L11" i="29"/>
  <c r="Z35" i="29"/>
  <c r="CF28" i="29"/>
  <c r="CF32" i="29"/>
  <c r="U63" i="29"/>
  <c r="CY51" i="29"/>
  <c r="CY84" i="29"/>
  <c r="CH99" i="29"/>
  <c r="CH106" i="29"/>
  <c r="AG31" i="29"/>
  <c r="AG32" i="29"/>
  <c r="AG11" i="29"/>
  <c r="AG15" i="29"/>
  <c r="AW99" i="29"/>
  <c r="BU31" i="29"/>
  <c r="BZ55" i="29"/>
  <c r="CV82" i="29"/>
  <c r="BV11" i="29"/>
  <c r="BV15" i="29"/>
  <c r="AF72" i="29"/>
  <c r="BT22" i="29"/>
  <c r="CV93" i="29"/>
  <c r="CV106" i="29"/>
  <c r="U76" i="29"/>
  <c r="AU46" i="29"/>
  <c r="BX72" i="29"/>
  <c r="AE63" i="29"/>
  <c r="I104" i="29"/>
  <c r="CR46" i="29"/>
  <c r="CP38" i="29"/>
  <c r="CB76" i="29"/>
  <c r="AE14" i="29"/>
  <c r="AE15" i="29"/>
  <c r="CD72" i="29"/>
  <c r="CG68" i="29"/>
  <c r="AA99" i="29"/>
  <c r="AA106" i="29"/>
  <c r="CT11" i="29"/>
  <c r="BZ19" i="29"/>
  <c r="DA19" i="29"/>
  <c r="AF68" i="29"/>
  <c r="AJ63" i="29"/>
  <c r="AG104" i="29"/>
  <c r="AT55" i="29"/>
  <c r="AA76" i="29"/>
  <c r="AV68" i="29"/>
  <c r="CF93" i="29"/>
  <c r="CF106" i="29"/>
  <c r="CK68" i="29"/>
  <c r="AB35" i="29"/>
  <c r="BY19" i="29"/>
  <c r="V72" i="29"/>
  <c r="AH63" i="29"/>
  <c r="AT14" i="29"/>
  <c r="BB93" i="29"/>
  <c r="BB106" i="29"/>
  <c r="CR19" i="29"/>
  <c r="AU82" i="29"/>
  <c r="AC72" i="29"/>
  <c r="CJ19" i="29"/>
  <c r="M55" i="29"/>
  <c r="CG35" i="29"/>
  <c r="CX38" i="29"/>
  <c r="CB22" i="29"/>
  <c r="CW104" i="29"/>
  <c r="CW14" i="29"/>
  <c r="CW15" i="29"/>
  <c r="AM31" i="29"/>
  <c r="BF29" i="29"/>
  <c r="BD72" i="29"/>
  <c r="AP38" i="29"/>
  <c r="CO68" i="29"/>
  <c r="CS14" i="29"/>
  <c r="BU19" i="29"/>
  <c r="X99" i="29"/>
  <c r="X76" i="29"/>
  <c r="AJ38" i="29"/>
  <c r="AO46" i="29"/>
  <c r="AE31" i="29"/>
  <c r="AE32" i="29"/>
  <c r="AE40" i="29"/>
  <c r="BJ27" i="29"/>
  <c r="CQ46" i="29"/>
  <c r="CL99" i="29"/>
  <c r="AB68" i="29"/>
  <c r="BE55" i="29"/>
  <c r="BU82" i="29"/>
  <c r="CJ76" i="29"/>
  <c r="BO63" i="29"/>
  <c r="DH57" i="29"/>
  <c r="BJ24" i="29"/>
  <c r="CZ93" i="29"/>
  <c r="CQ72" i="29"/>
  <c r="BE19" i="29"/>
  <c r="AR72" i="29"/>
  <c r="BD19" i="29"/>
  <c r="H55" i="29"/>
  <c r="BR38" i="29"/>
  <c r="Y93" i="29"/>
  <c r="W35" i="29"/>
  <c r="O38" i="29"/>
  <c r="AO22" i="29"/>
  <c r="AU14" i="29"/>
  <c r="AU15" i="29"/>
  <c r="N46" i="29"/>
  <c r="S72" i="29"/>
  <c r="CB14" i="29"/>
  <c r="CM11" i="29"/>
  <c r="Y11" i="29"/>
  <c r="Y15" i="29"/>
  <c r="CO11" i="29"/>
  <c r="CR72" i="29"/>
  <c r="CD99" i="29"/>
  <c r="BR19" i="29"/>
  <c r="BR63" i="29"/>
  <c r="CB11" i="29"/>
  <c r="AS22" i="29"/>
  <c r="BA31" i="29"/>
  <c r="DH66" i="29"/>
  <c r="X68" i="29"/>
  <c r="CB104" i="29"/>
  <c r="CB106" i="29"/>
  <c r="M11" i="29"/>
  <c r="BQ72" i="29"/>
  <c r="Z28" i="29"/>
  <c r="CH76" i="29"/>
  <c r="AE72" i="29"/>
  <c r="AT99" i="29"/>
  <c r="CG72" i="29"/>
  <c r="Z63" i="29"/>
  <c r="CR82" i="29"/>
  <c r="BP76" i="29"/>
  <c r="BV55" i="29"/>
  <c r="AQ99" i="29"/>
  <c r="T51" i="29"/>
  <c r="BA28" i="29"/>
  <c r="BA32" i="29"/>
  <c r="AU76" i="29"/>
  <c r="AS31" i="29"/>
  <c r="DB55" i="29"/>
  <c r="CG38" i="29"/>
  <c r="CY31" i="29"/>
  <c r="CY32" i="29"/>
  <c r="AD104" i="29"/>
  <c r="AQ31" i="29"/>
  <c r="AQ32" i="29"/>
  <c r="DB35" i="29"/>
  <c r="J104" i="29"/>
  <c r="J106" i="29"/>
  <c r="CZ35" i="29"/>
  <c r="BA82" i="29"/>
  <c r="Z72" i="29"/>
  <c r="BY22" i="29"/>
  <c r="BC68" i="29"/>
  <c r="DE19" i="29"/>
  <c r="CM104" i="29"/>
  <c r="CM106" i="29"/>
  <c r="CD51" i="29"/>
  <c r="H72" i="29"/>
  <c r="CS55" i="29"/>
  <c r="CD93" i="29"/>
  <c r="BY72" i="29"/>
  <c r="BD93" i="29"/>
  <c r="BD106" i="29"/>
  <c r="BR82" i="29"/>
  <c r="O55" i="29"/>
  <c r="BV68" i="29"/>
  <c r="CT82" i="29"/>
  <c r="BZ82" i="29"/>
  <c r="Q18" i="29"/>
  <c r="AF63" i="29"/>
  <c r="O76" i="29"/>
  <c r="W31" i="29"/>
  <c r="BE22" i="29"/>
  <c r="AG68" i="29"/>
  <c r="BF37" i="29"/>
  <c r="AM38" i="29"/>
  <c r="BJ62" i="29"/>
  <c r="AZ55" i="29"/>
  <c r="BX11" i="29"/>
  <c r="V82" i="29"/>
  <c r="CJ51" i="29"/>
  <c r="CR76" i="29"/>
  <c r="CL63" i="29"/>
  <c r="P68" i="29"/>
  <c r="AU55" i="29"/>
  <c r="BP72" i="29"/>
  <c r="BE68" i="29"/>
  <c r="AW76" i="29"/>
  <c r="AR51" i="29"/>
  <c r="AG19" i="29"/>
  <c r="BV31" i="29"/>
  <c r="BV32" i="29"/>
  <c r="BV40" i="29"/>
  <c r="AY104" i="29"/>
  <c r="DD72" i="29"/>
  <c r="BF30" i="29"/>
  <c r="AR76" i="29"/>
  <c r="N14" i="29"/>
  <c r="N15" i="29"/>
  <c r="G82" i="29"/>
  <c r="Q79" i="29"/>
  <c r="CW63" i="29"/>
  <c r="DA51" i="29"/>
  <c r="AF31" i="29"/>
  <c r="AF32" i="29"/>
  <c r="CO38" i="29"/>
  <c r="CN38" i="29"/>
  <c r="BC55" i="29"/>
  <c r="BQ104" i="29"/>
  <c r="AB31" i="29"/>
  <c r="AB32" i="29"/>
  <c r="AS51" i="29"/>
  <c r="AS84" i="29"/>
  <c r="BF53" i="29"/>
  <c r="CK63" i="29"/>
  <c r="CN22" i="29"/>
  <c r="AP55" i="29"/>
  <c r="T38" i="29"/>
  <c r="CZ46" i="29"/>
  <c r="CZ99" i="29"/>
  <c r="CO76" i="29"/>
  <c r="CX22" i="29"/>
  <c r="DB14" i="29"/>
  <c r="DB15" i="29"/>
  <c r="N28" i="29"/>
  <c r="N32" i="29"/>
  <c r="CQ51" i="29"/>
  <c r="CQ84" i="29"/>
  <c r="CC28" i="29"/>
  <c r="CK32" i="29"/>
  <c r="BT93" i="29"/>
  <c r="DB32" i="29"/>
  <c r="U28" i="29"/>
  <c r="U32" i="29"/>
  <c r="BX31" i="29"/>
  <c r="CT31" i="29"/>
  <c r="CT32" i="29"/>
  <c r="CJ72" i="29"/>
  <c r="AZ31" i="29"/>
  <c r="BD31" i="29"/>
  <c r="BD32" i="29"/>
  <c r="N51" i="29"/>
  <c r="AZ22" i="29"/>
  <c r="CA76" i="29"/>
  <c r="BJ61" i="29"/>
  <c r="CH22" i="29"/>
  <c r="CY14" i="29"/>
  <c r="CY15" i="29"/>
  <c r="CY40" i="29"/>
  <c r="BT11" i="29"/>
  <c r="CU104" i="29"/>
  <c r="BU22" i="29"/>
  <c r="AC68" i="29"/>
  <c r="CK35" i="29"/>
  <c r="BV63" i="29"/>
  <c r="BF79" i="29"/>
  <c r="AM82" i="29"/>
  <c r="BE63" i="29"/>
  <c r="X35" i="29"/>
  <c r="BJ65" i="29"/>
  <c r="BH68" i="29"/>
  <c r="BJ68" i="29"/>
  <c r="CD19" i="29"/>
  <c r="AT93" i="29"/>
  <c r="CI31" i="29"/>
  <c r="CI32" i="29"/>
  <c r="AK67" i="29"/>
  <c r="BX76" i="29"/>
  <c r="N76" i="29"/>
  <c r="V19" i="29"/>
  <c r="T35" i="29"/>
  <c r="BW19" i="29"/>
  <c r="DB68" i="29"/>
  <c r="CL14" i="29"/>
  <c r="BW28" i="29"/>
  <c r="BW32" i="29"/>
  <c r="BZ14" i="29"/>
  <c r="BZ15" i="29"/>
  <c r="BP35" i="29"/>
  <c r="BE99" i="29"/>
  <c r="N68" i="29"/>
  <c r="CA19" i="29"/>
  <c r="AC38" i="29"/>
  <c r="BF26" i="29"/>
  <c r="AM28" i="29"/>
  <c r="X93" i="29"/>
  <c r="CX76" i="29"/>
  <c r="DF99" i="29"/>
  <c r="AB46" i="29"/>
  <c r="CJ82" i="29"/>
  <c r="AU28" i="29"/>
  <c r="AU32" i="29"/>
  <c r="CI104" i="29"/>
  <c r="BD35" i="29"/>
  <c r="CZ14" i="29"/>
  <c r="CZ15" i="29"/>
  <c r="AV99" i="29"/>
  <c r="CR99" i="29"/>
  <c r="CR106" i="29"/>
  <c r="AQ51" i="29"/>
  <c r="CS99" i="29"/>
  <c r="CS106" i="29"/>
  <c r="AC99" i="29"/>
  <c r="W19" i="29"/>
  <c r="CO28" i="29"/>
  <c r="CO32" i="29"/>
  <c r="L28" i="29"/>
  <c r="DF55" i="29"/>
  <c r="BF27" i="29"/>
  <c r="Z31" i="29"/>
  <c r="CY104" i="29"/>
  <c r="CC51" i="29"/>
  <c r="BT31" i="29"/>
  <c r="BT32" i="29"/>
  <c r="AF19" i="29"/>
  <c r="BR28" i="29"/>
  <c r="CG93" i="29"/>
  <c r="AC46" i="29"/>
  <c r="AV31" i="29"/>
  <c r="AV32" i="29"/>
  <c r="AN14" i="29"/>
  <c r="AN15" i="29"/>
  <c r="BR31" i="29"/>
  <c r="CC32" i="29"/>
  <c r="DH67" i="29"/>
  <c r="CI14" i="29"/>
  <c r="CI15" i="29"/>
  <c r="CT55" i="29"/>
  <c r="CK11" i="29"/>
  <c r="BQ31" i="29"/>
  <c r="DD82" i="29"/>
  <c r="AT11" i="29"/>
  <c r="CC99" i="29"/>
  <c r="BJ66" i="29"/>
  <c r="CL82" i="29"/>
  <c r="Z99" i="29"/>
  <c r="AC28" i="29"/>
  <c r="AC32" i="29"/>
  <c r="O51" i="29"/>
  <c r="O84" i="29"/>
  <c r="CK93" i="29"/>
  <c r="BE76" i="29"/>
  <c r="I22" i="29"/>
  <c r="AR63" i="29"/>
  <c r="CT99" i="29"/>
  <c r="CZ38" i="29"/>
  <c r="BI28" i="29"/>
  <c r="BI32" i="29"/>
  <c r="CU51" i="29"/>
  <c r="J19" i="29"/>
  <c r="BQ68" i="29"/>
  <c r="BP28" i="29"/>
  <c r="AZ14" i="29"/>
  <c r="AZ15" i="29"/>
  <c r="BJ30" i="29"/>
  <c r="BO46" i="29"/>
  <c r="BY28" i="29"/>
  <c r="BY32" i="29"/>
  <c r="BU63" i="29"/>
  <c r="DE82" i="29"/>
  <c r="CH19" i="29"/>
  <c r="CO46" i="29"/>
  <c r="BF66" i="29"/>
  <c r="CP28" i="29"/>
  <c r="BS55" i="29"/>
  <c r="CF63" i="29"/>
  <c r="K82" i="29"/>
  <c r="DC11" i="29"/>
  <c r="AN38" i="29"/>
  <c r="AP82" i="29"/>
  <c r="DB22" i="29"/>
  <c r="BX19" i="29"/>
  <c r="AP22" i="29"/>
  <c r="AU38" i="29"/>
  <c r="DD104" i="29"/>
  <c r="AS93" i="29"/>
  <c r="CC104" i="29"/>
  <c r="BO28" i="29"/>
  <c r="DH26" i="29"/>
  <c r="K99" i="29"/>
  <c r="BW11" i="29"/>
  <c r="BW15" i="29"/>
  <c r="AF104" i="29"/>
  <c r="S99" i="29"/>
  <c r="BX93" i="29"/>
  <c r="AQ22" i="29"/>
  <c r="CU76" i="29"/>
  <c r="T31" i="29"/>
  <c r="T32" i="29"/>
  <c r="DF68" i="29"/>
  <c r="BR55" i="29"/>
  <c r="BA76" i="29"/>
  <c r="DC93" i="29"/>
  <c r="DC106" i="29"/>
  <c r="BF92" i="29"/>
  <c r="BB55" i="29"/>
  <c r="AD19" i="29"/>
  <c r="BX63" i="29"/>
  <c r="BC22" i="29"/>
  <c r="CF35" i="29"/>
  <c r="AX31" i="29"/>
  <c r="AX32" i="29"/>
  <c r="DA46" i="29"/>
  <c r="BA22" i="29"/>
  <c r="T22" i="29"/>
  <c r="BY38" i="29"/>
  <c r="X46" i="29"/>
  <c r="CJ99" i="29"/>
  <c r="AE76" i="29"/>
  <c r="BA68" i="29"/>
  <c r="DA93" i="29"/>
  <c r="CV72" i="29"/>
  <c r="AZ32" i="29"/>
  <c r="BY11" i="29"/>
  <c r="BY15" i="29"/>
  <c r="BY40" i="29"/>
  <c r="CK51" i="29"/>
  <c r="CK84" i="29"/>
  <c r="AO31" i="29"/>
  <c r="AO32" i="29"/>
  <c r="AO40" i="29"/>
  <c r="Z46" i="29"/>
  <c r="DD19" i="29"/>
  <c r="J76" i="29"/>
  <c r="DC32" i="29"/>
  <c r="J35" i="29"/>
  <c r="AP93" i="29"/>
  <c r="CU82" i="29"/>
  <c r="AO76" i="29"/>
  <c r="BC31" i="29"/>
  <c r="BC32" i="29"/>
  <c r="BR22" i="29"/>
  <c r="BS93" i="29"/>
  <c r="BS106" i="29"/>
  <c r="CA31" i="29"/>
  <c r="CA32" i="29"/>
  <c r="BA38" i="29"/>
  <c r="K104" i="29"/>
  <c r="AH38" i="29"/>
  <c r="BU76" i="29"/>
  <c r="CM31" i="29"/>
  <c r="CM32" i="29"/>
  <c r="BZ63" i="29"/>
  <c r="DE55" i="29"/>
  <c r="BF102" i="29"/>
  <c r="AM104" i="29"/>
  <c r="X11" i="29"/>
  <c r="CG99" i="29"/>
  <c r="DH103" i="29"/>
  <c r="P93" i="29"/>
  <c r="P106" i="29"/>
  <c r="DB93" i="29"/>
  <c r="DB106" i="29"/>
  <c r="DC72" i="29"/>
  <c r="P11" i="29"/>
  <c r="AI46" i="29"/>
  <c r="J1099" i="109"/>
  <c r="J1250" i="109"/>
  <c r="G1121" i="109"/>
  <c r="J397" i="109"/>
  <c r="I1104" i="109"/>
  <c r="L625" i="109"/>
  <c r="M625" i="109"/>
  <c r="N625" i="109"/>
  <c r="K653" i="109"/>
  <c r="G1251" i="109"/>
  <c r="AG40" i="29"/>
  <c r="BA84" i="29"/>
  <c r="DH104" i="29"/>
  <c r="BF35" i="29"/>
  <c r="CR84" i="29"/>
  <c r="Q46" i="29"/>
  <c r="BF22" i="29"/>
  <c r="AQ84" i="29"/>
  <c r="AK31" i="29"/>
  <c r="CS84" i="29"/>
  <c r="BF19" i="29"/>
  <c r="BF82" i="29"/>
  <c r="BT106" i="29"/>
  <c r="BL10" i="29"/>
  <c r="CA40" i="29"/>
  <c r="CU106" i="29"/>
  <c r="CJ84" i="29"/>
  <c r="AI84" i="29"/>
  <c r="Q35" i="29"/>
  <c r="AI106" i="29"/>
  <c r="BJ51" i="29"/>
  <c r="CP32" i="29"/>
  <c r="CP84" i="29"/>
  <c r="BL62" i="29"/>
  <c r="BS32" i="29"/>
  <c r="CM15" i="29"/>
  <c r="CM40" i="29"/>
  <c r="AC106" i="29"/>
  <c r="CJ106" i="29"/>
  <c r="CL106" i="29"/>
  <c r="DA106" i="29"/>
  <c r="AD32" i="29"/>
  <c r="BF14" i="29"/>
  <c r="CX106" i="29"/>
  <c r="N84" i="29"/>
  <c r="S106" i="29"/>
  <c r="Q104" i="29"/>
  <c r="CB84" i="29"/>
  <c r="BZ84" i="29"/>
  <c r="CD84" i="29"/>
  <c r="CM84" i="29"/>
  <c r="DH38" i="29"/>
  <c r="J84" i="29"/>
  <c r="AT84" i="29"/>
  <c r="CH84" i="29"/>
  <c r="DH68" i="29"/>
  <c r="DH35" i="29"/>
  <c r="AK35" i="29"/>
  <c r="DH76" i="29"/>
  <c r="DH72" i="29"/>
  <c r="BR84" i="29"/>
  <c r="DH46" i="29"/>
  <c r="G32" i="29"/>
  <c r="Q31" i="29"/>
  <c r="DH63" i="29"/>
  <c r="CC84" i="29"/>
  <c r="DA84" i="29"/>
  <c r="I758" i="109"/>
  <c r="I763" i="109" a="1"/>
  <c r="BF93" i="29"/>
  <c r="DH28" i="29"/>
  <c r="BJ31" i="29"/>
  <c r="BH32" i="29"/>
  <c r="BF72" i="29"/>
  <c r="CD40" i="29"/>
  <c r="CL84" i="29"/>
  <c r="I32" i="29"/>
  <c r="Q28" i="29"/>
  <c r="AK19" i="29"/>
  <c r="Q72" i="29"/>
  <c r="BS84" i="29"/>
  <c r="Z84" i="29"/>
  <c r="AZ40" i="29"/>
  <c r="CG84" i="29"/>
  <c r="G84" i="29"/>
  <c r="CT15" i="29"/>
  <c r="CL15" i="29"/>
  <c r="CL40" i="29"/>
  <c r="CL109" i="29"/>
  <c r="M15" i="29"/>
  <c r="M40" i="29"/>
  <c r="CJ40" i="29"/>
  <c r="CB32" i="29"/>
  <c r="CU15" i="29"/>
  <c r="AX106" i="29"/>
  <c r="DA15" i="29"/>
  <c r="BJ35" i="29"/>
  <c r="BX106" i="29"/>
  <c r="CK106" i="29"/>
  <c r="BE15" i="29"/>
  <c r="L106" i="29"/>
  <c r="DE106" i="29"/>
  <c r="N106" i="29"/>
  <c r="CG15" i="29"/>
  <c r="CG40" i="29"/>
  <c r="AA15" i="29"/>
  <c r="AA40" i="29"/>
  <c r="X15" i="29"/>
  <c r="X40" i="29"/>
  <c r="BW40" i="29"/>
  <c r="CS15" i="29"/>
  <c r="CS40" i="29"/>
  <c r="CS109" i="29"/>
  <c r="AH84" i="29"/>
  <c r="Q63" i="29"/>
  <c r="CQ15" i="29"/>
  <c r="AP40" i="29"/>
  <c r="W32" i="29"/>
  <c r="BU32" i="29"/>
  <c r="BU40" i="29"/>
  <c r="AK79" i="29"/>
  <c r="S38" i="29"/>
  <c r="AK38" i="29"/>
  <c r="AK37" i="29"/>
  <c r="BJ37" i="29"/>
  <c r="BH38" i="29"/>
  <c r="L756" i="109"/>
  <c r="M406" i="109"/>
  <c r="L1113" i="109"/>
  <c r="P84" i="29"/>
  <c r="M106" i="29"/>
  <c r="Z15" i="29"/>
  <c r="BI15" i="29"/>
  <c r="CV15" i="29"/>
  <c r="DE15" i="29"/>
  <c r="DE40" i="29"/>
  <c r="AC15" i="29"/>
  <c r="AX15" i="29"/>
  <c r="AX40" i="29"/>
  <c r="CJ109" i="29"/>
  <c r="E77" i="12"/>
  <c r="E85" i="12"/>
  <c r="E80" i="12"/>
  <c r="G1129" i="109"/>
  <c r="G1257" i="109"/>
  <c r="BJ32" i="29"/>
  <c r="BV106" i="29"/>
  <c r="BE32" i="29"/>
  <c r="BE40" i="29"/>
  <c r="CO15" i="29"/>
  <c r="CO40" i="29"/>
  <c r="AW15" i="29"/>
  <c r="AW40" i="29"/>
  <c r="CO106" i="29"/>
  <c r="G1086" i="109"/>
  <c r="F77" i="12"/>
  <c r="G77" i="12"/>
  <c r="F80" i="12"/>
  <c r="F85" i="12"/>
  <c r="G85" i="12"/>
  <c r="G1139" i="109"/>
  <c r="G1261" i="109"/>
  <c r="G758" i="109"/>
  <c r="G763" i="109" a="1"/>
  <c r="G1194" i="109"/>
  <c r="P15" i="29"/>
  <c r="P40" i="29"/>
  <c r="P109" i="29"/>
  <c r="BL13" i="29"/>
  <c r="BR106" i="29"/>
  <c r="AM15" i="29"/>
  <c r="CU32" i="29"/>
  <c r="CU40" i="29"/>
  <c r="CX15" i="29"/>
  <c r="CH40" i="29"/>
  <c r="CD106" i="29"/>
  <c r="CD109" i="29"/>
  <c r="AN32" i="29"/>
  <c r="AN40" i="29"/>
  <c r="K758" i="109"/>
  <c r="K1194" i="109"/>
  <c r="CC15" i="29"/>
  <c r="CC40" i="29"/>
  <c r="O32" i="29"/>
  <c r="AU40" i="29"/>
  <c r="DB40" i="29"/>
  <c r="AD40" i="29"/>
  <c r="CM109" i="29"/>
  <c r="CH109" i="29"/>
  <c r="AY40" i="29"/>
  <c r="I40" i="29"/>
  <c r="K645" i="109"/>
  <c r="K866" i="109" a="1"/>
  <c r="H645" i="109"/>
  <c r="H866" i="109" a="1"/>
  <c r="N645" i="109"/>
  <c r="N866" i="109" a="1"/>
  <c r="H1043" i="109"/>
  <c r="H1040" i="109"/>
  <c r="L1240" i="109"/>
  <c r="L655" i="109"/>
  <c r="L654" i="109"/>
  <c r="L657" i="109"/>
  <c r="L656" i="109"/>
  <c r="L653" i="109"/>
  <c r="L663" i="109"/>
  <c r="L658" i="109"/>
  <c r="L659" i="109"/>
  <c r="L662" i="109"/>
  <c r="L660" i="109"/>
  <c r="L664" i="109"/>
  <c r="L1120" i="109"/>
  <c r="L1122" i="109"/>
  <c r="I1165" i="109"/>
  <c r="K1112" i="109"/>
  <c r="L405" i="109"/>
  <c r="I991" i="109"/>
  <c r="I994" i="109"/>
  <c r="I1003" i="109"/>
  <c r="I992" i="109"/>
  <c r="I996" i="109"/>
  <c r="I995" i="109"/>
  <c r="I998" i="109"/>
  <c r="I1000" i="109"/>
  <c r="I993" i="109"/>
  <c r="I1002" i="109"/>
  <c r="I999" i="109"/>
  <c r="I1001" i="109"/>
  <c r="I997" i="109"/>
  <c r="I699" i="109"/>
  <c r="I681" i="109"/>
  <c r="I685" i="109"/>
  <c r="I708" i="109"/>
  <c r="I709" i="109"/>
  <c r="I1133" i="109"/>
  <c r="I1260" i="109"/>
  <c r="I1128" i="109"/>
  <c r="I1258" i="109"/>
  <c r="I1138" i="109"/>
  <c r="I1262" i="109"/>
  <c r="J408" i="109"/>
  <c r="I1115" i="109"/>
  <c r="I1117" i="109"/>
  <c r="I1252" i="109"/>
  <c r="G1016" i="109"/>
  <c r="M665" i="109"/>
  <c r="M579" i="109"/>
  <c r="I845" i="109"/>
  <c r="I833" i="109"/>
  <c r="I837" i="109"/>
  <c r="I838" i="109"/>
  <c r="I839" i="109"/>
  <c r="I834" i="109"/>
  <c r="I840" i="109"/>
  <c r="I844" i="109"/>
  <c r="I842" i="109"/>
  <c r="I836" i="109"/>
  <c r="I841" i="109"/>
  <c r="I835" i="109"/>
  <c r="I843" i="109"/>
  <c r="G1088" i="109"/>
  <c r="G1242" i="109"/>
  <c r="L645" i="109"/>
  <c r="L866" i="109" a="1"/>
  <c r="M645" i="109"/>
  <c r="M866" i="109" a="1"/>
  <c r="I645" i="109"/>
  <c r="I866" i="109" a="1"/>
  <c r="J645" i="109"/>
  <c r="J866" i="109" a="1"/>
  <c r="F1086" i="109"/>
  <c r="F1088" i="109"/>
  <c r="F1242" i="109"/>
  <c r="H1088" i="109"/>
  <c r="H1242" i="109"/>
  <c r="H1086" i="109"/>
  <c r="G1040" i="109"/>
  <c r="G1043" i="109"/>
  <c r="G1052" i="109"/>
  <c r="H1052" i="109"/>
  <c r="F1043" i="109"/>
  <c r="F1052" i="109"/>
  <c r="F1040" i="109"/>
  <c r="I774" i="109"/>
  <c r="I957" i="109"/>
  <c r="I767" i="109"/>
  <c r="I773" i="109"/>
  <c r="I766" i="109"/>
  <c r="I765" i="109"/>
  <c r="I764" i="109"/>
  <c r="I772" i="109"/>
  <c r="I770" i="109"/>
  <c r="I763" i="109"/>
  <c r="I775" i="109"/>
  <c r="I768" i="109"/>
  <c r="I951" i="109"/>
  <c r="I771" i="109"/>
  <c r="I769" i="109"/>
  <c r="I952" i="109"/>
  <c r="N396" i="109"/>
  <c r="N1103" i="109"/>
  <c r="M1103" i="109"/>
  <c r="O880" i="109" a="1"/>
  <c r="O880" i="109"/>
  <c r="O879" i="109" a="1"/>
  <c r="O879" i="109"/>
  <c r="O875" i="109" a="1"/>
  <c r="O875" i="109"/>
  <c r="O888" i="109"/>
  <c r="O874" i="109" a="1"/>
  <c r="O874" i="109"/>
  <c r="O887" i="109"/>
  <c r="O873" i="109" a="1"/>
  <c r="O873" i="109"/>
  <c r="O877" i="109" a="1"/>
  <c r="O877" i="109"/>
  <c r="O890" i="109"/>
  <c r="O878" i="109" a="1"/>
  <c r="O878" i="109"/>
  <c r="O891" i="109"/>
  <c r="O881" i="109" a="1"/>
  <c r="O881" i="109"/>
  <c r="O894" i="109"/>
  <c r="O876" i="109" a="1"/>
  <c r="O876" i="109"/>
  <c r="O889" i="109"/>
  <c r="O869" i="109"/>
  <c r="F1016" i="109"/>
  <c r="I1070" i="109"/>
  <c r="I1062" i="109"/>
  <c r="I1068" i="109"/>
  <c r="I1063" i="109"/>
  <c r="I1061" i="109"/>
  <c r="I1067" i="109"/>
  <c r="I1072" i="109"/>
  <c r="I1073" i="109"/>
  <c r="I1066" i="109"/>
  <c r="I1071" i="109"/>
  <c r="I1064" i="109"/>
  <c r="I1065" i="109"/>
  <c r="I1069" i="109"/>
  <c r="K633" i="109"/>
  <c r="J661" i="109"/>
  <c r="J833" i="109" a="1"/>
  <c r="J1061" i="109" a="1"/>
  <c r="J991" i="109" a="1"/>
  <c r="J637" i="109"/>
  <c r="H1258" i="109"/>
  <c r="H1129" i="109"/>
  <c r="J395" i="109"/>
  <c r="I1102" i="109"/>
  <c r="I1108" i="109"/>
  <c r="I1251" i="109"/>
  <c r="M1058" i="109"/>
  <c r="M826" i="109"/>
  <c r="M828" i="109"/>
  <c r="N825" i="109"/>
  <c r="N578" i="109"/>
  <c r="N233" i="109"/>
  <c r="N753" i="109"/>
  <c r="N755" i="109"/>
  <c r="N234" i="109"/>
  <c r="D15" i="35"/>
  <c r="CV32" i="29"/>
  <c r="CV40" i="29"/>
  <c r="DH31" i="29"/>
  <c r="AM55" i="29"/>
  <c r="AM84" i="29"/>
  <c r="BF54" i="29"/>
  <c r="U55" i="29"/>
  <c r="BT55" i="29"/>
  <c r="BT84" i="29"/>
  <c r="X55" i="29"/>
  <c r="X84" i="29"/>
  <c r="Q19" i="29"/>
  <c r="H40" i="29"/>
  <c r="BL18" i="29"/>
  <c r="AK54" i="29"/>
  <c r="Q54" i="29"/>
  <c r="I55" i="29"/>
  <c r="AN84" i="29"/>
  <c r="BF55" i="29"/>
  <c r="U22" i="29"/>
  <c r="AK21" i="29"/>
  <c r="BL21" i="29"/>
  <c r="W22" i="29"/>
  <c r="BL66" i="29"/>
  <c r="Q68" i="29"/>
  <c r="H84" i="29"/>
  <c r="L388" i="109"/>
  <c r="K1095" i="109"/>
  <c r="L390" i="109"/>
  <c r="K1097" i="109"/>
  <c r="N391" i="109"/>
  <c r="N1098" i="109"/>
  <c r="M1098" i="109"/>
  <c r="K672" i="109"/>
  <c r="K690" i="109"/>
  <c r="M624" i="109"/>
  <c r="L652" i="109"/>
  <c r="K1105" i="109"/>
  <c r="L398" i="109"/>
  <c r="L407" i="109"/>
  <c r="K1114" i="109"/>
  <c r="H31" i="109"/>
  <c r="K25" i="29"/>
  <c r="BD48" i="29"/>
  <c r="F17" i="59"/>
  <c r="AG48" i="29"/>
  <c r="W50" i="29"/>
  <c r="U50" i="29"/>
  <c r="AB12" i="29"/>
  <c r="AD50" i="29"/>
  <c r="BO21" i="29"/>
  <c r="BI79" i="29"/>
  <c r="V50" i="29"/>
  <c r="U12" i="29"/>
  <c r="T12" i="29"/>
  <c r="BO18" i="29"/>
  <c r="J31" i="109"/>
  <c r="BH79" i="29"/>
  <c r="V12" i="29"/>
  <c r="BO17" i="29"/>
  <c r="W12" i="29"/>
  <c r="BO50" i="29"/>
  <c r="V25" i="29"/>
  <c r="BB40" i="29"/>
  <c r="DD32" i="29"/>
  <c r="DD40" i="29"/>
  <c r="BX32" i="29"/>
  <c r="AQ40" i="29"/>
  <c r="BZ40" i="29"/>
  <c r="BZ109" i="29"/>
  <c r="AS32" i="29"/>
  <c r="AC40" i="29"/>
  <c r="BR32" i="29"/>
  <c r="CR40" i="29"/>
  <c r="CR109" i="29"/>
  <c r="CI40" i="29"/>
  <c r="Z32" i="29"/>
  <c r="Z40" i="29"/>
  <c r="Y40" i="29"/>
  <c r="J756" i="109"/>
  <c r="V51" i="29"/>
  <c r="U51" i="29"/>
  <c r="W51" i="29"/>
  <c r="H756" i="109"/>
  <c r="I956" i="109"/>
  <c r="K673" i="109"/>
  <c r="K691" i="109"/>
  <c r="CZ40" i="29"/>
  <c r="BF28" i="29"/>
  <c r="AC84" i="29"/>
  <c r="AC109" i="29"/>
  <c r="BJ28" i="29"/>
  <c r="AA84" i="29"/>
  <c r="AA109" i="29"/>
  <c r="L84" i="29"/>
  <c r="CW106" i="29"/>
  <c r="DC15" i="29"/>
  <c r="AN106" i="29"/>
  <c r="DB84" i="29"/>
  <c r="DB109" i="29"/>
  <c r="M84" i="29"/>
  <c r="BJ11" i="29"/>
  <c r="BT15" i="29"/>
  <c r="BT40" i="29"/>
  <c r="CV84" i="29"/>
  <c r="BL67" i="29"/>
  <c r="BW84" i="29"/>
  <c r="CO84" i="29"/>
  <c r="CK15" i="29"/>
  <c r="CK40" i="29"/>
  <c r="CK109" i="29"/>
  <c r="CE106" i="29"/>
  <c r="AM106" i="29"/>
  <c r="AU84" i="29"/>
  <c r="O106" i="29"/>
  <c r="CN15" i="29"/>
  <c r="CN40" i="29"/>
  <c r="CN109" i="29"/>
  <c r="BL89" i="29"/>
  <c r="K84" i="29"/>
  <c r="BR15" i="29"/>
  <c r="BR40" i="29"/>
  <c r="BR109" i="29"/>
  <c r="BL30" i="29"/>
  <c r="AM32" i="29"/>
  <c r="BF32" i="29"/>
  <c r="DD84" i="29"/>
  <c r="Q76" i="29"/>
  <c r="BE106" i="29"/>
  <c r="DE84" i="29"/>
  <c r="DF84" i="29"/>
  <c r="F1194" i="109"/>
  <c r="F758" i="109"/>
  <c r="F763" i="109" a="1"/>
  <c r="BT109" i="29"/>
  <c r="DE109" i="29"/>
  <c r="CG106" i="29"/>
  <c r="CG109" i="29"/>
  <c r="AR84" i="29"/>
  <c r="AR109" i="29"/>
  <c r="CB15" i="29"/>
  <c r="AT15" i="29"/>
  <c r="AT40" i="29"/>
  <c r="AO84" i="29"/>
  <c r="AO109" i="29"/>
  <c r="AY106" i="29"/>
  <c r="BS15" i="29"/>
  <c r="BS40" i="29"/>
  <c r="BS109" i="29"/>
  <c r="BJ14" i="29"/>
  <c r="BH15" i="29"/>
  <c r="BY84" i="29"/>
  <c r="CT106" i="29"/>
  <c r="BL60" i="29"/>
  <c r="CZ84" i="29"/>
  <c r="BX15" i="29"/>
  <c r="BX40" i="29"/>
  <c r="CP15" i="29"/>
  <c r="CP40" i="29"/>
  <c r="BY106" i="29"/>
  <c r="L15" i="29"/>
  <c r="BD40" i="29"/>
  <c r="H106" i="29"/>
  <c r="DD106" i="29"/>
  <c r="Q93" i="29"/>
  <c r="G106" i="29"/>
  <c r="AS15" i="29"/>
  <c r="AS40" i="29"/>
  <c r="O15" i="29"/>
  <c r="CA106" i="29"/>
  <c r="BC84" i="29"/>
  <c r="AF15" i="29"/>
  <c r="AF40" i="29"/>
  <c r="CE84" i="29"/>
  <c r="CE109" i="29"/>
  <c r="AV106" i="29"/>
  <c r="CW32" i="29"/>
  <c r="CW40" i="29"/>
  <c r="CV109" i="29"/>
  <c r="CQ40" i="29"/>
  <c r="CQ109" i="29"/>
  <c r="CB40" i="29"/>
  <c r="CB109" i="29"/>
  <c r="N40" i="29"/>
  <c r="N109" i="29"/>
  <c r="CZ106" i="29"/>
  <c r="DA32" i="29"/>
  <c r="BU84" i="29"/>
  <c r="BU109" i="29"/>
  <c r="AV15" i="29"/>
  <c r="AV40" i="29"/>
  <c r="AW106" i="29"/>
  <c r="CT84" i="29"/>
  <c r="CA84" i="29"/>
  <c r="CA109" i="29"/>
  <c r="CX84" i="29"/>
  <c r="BL17" i="29"/>
  <c r="BL27" i="29"/>
  <c r="CF15" i="29"/>
  <c r="CF40" i="29"/>
  <c r="BA15" i="29"/>
  <c r="BA40" i="29"/>
  <c r="BA109" i="29"/>
  <c r="CW84" i="29"/>
  <c r="AK28" i="29"/>
  <c r="BL28" i="29"/>
  <c r="BL61" i="29"/>
  <c r="Q99" i="29"/>
  <c r="BJ63" i="29"/>
  <c r="BL29" i="29"/>
  <c r="AP84" i="29"/>
  <c r="K106" i="29"/>
  <c r="DF106" i="29"/>
  <c r="AN109" i="29"/>
  <c r="O40" i="29"/>
  <c r="O109" i="29"/>
  <c r="CX40" i="29"/>
  <c r="CX109" i="29"/>
  <c r="BW109" i="29"/>
  <c r="DA40" i="29"/>
  <c r="DA109" i="29"/>
  <c r="CT40" i="29"/>
  <c r="CT109" i="29"/>
  <c r="J1104" i="109"/>
  <c r="K397" i="109"/>
  <c r="BY109" i="29"/>
  <c r="CU84" i="29"/>
  <c r="CU109" i="29"/>
  <c r="Q82" i="29"/>
  <c r="BF38" i="29"/>
  <c r="BF31" i="29"/>
  <c r="BL31" i="29"/>
  <c r="CC106" i="29"/>
  <c r="CI106" i="29"/>
  <c r="Q22" i="29"/>
  <c r="Q38" i="29"/>
  <c r="BV84" i="29"/>
  <c r="BV109" i="29"/>
  <c r="BL26" i="29"/>
  <c r="BF46" i="29"/>
  <c r="CP106" i="29"/>
  <c r="AZ84" i="29"/>
  <c r="AZ109" i="29"/>
  <c r="AY84" i="29"/>
  <c r="AY109" i="29"/>
  <c r="I106" i="29"/>
  <c r="Q106" i="29"/>
  <c r="AH15" i="29"/>
  <c r="AH40" i="29"/>
  <c r="BJ46" i="29"/>
  <c r="BX84" i="29"/>
  <c r="Q51" i="29"/>
  <c r="I968" i="109" a="1"/>
  <c r="I968" i="109"/>
  <c r="I1177" i="109"/>
  <c r="BL35" i="29"/>
  <c r="I967" i="109" a="1"/>
  <c r="I967" i="109"/>
  <c r="I1176" i="109"/>
  <c r="AH95" i="29"/>
  <c r="BL19" i="29"/>
  <c r="CC109" i="29"/>
  <c r="BO51" i="29"/>
  <c r="W14" i="29"/>
  <c r="T14" i="29"/>
  <c r="BO19" i="29"/>
  <c r="AB14" i="29"/>
  <c r="V14" i="29"/>
  <c r="U14" i="29"/>
  <c r="BJ79" i="29"/>
  <c r="N239" i="109"/>
  <c r="BI40" i="29"/>
  <c r="BJ15" i="29"/>
  <c r="N406" i="109"/>
  <c r="N1113" i="109"/>
  <c r="M1113" i="109"/>
  <c r="M109" i="29"/>
  <c r="I965" i="109" a="1"/>
  <c r="I965" i="109"/>
  <c r="I1174" i="109"/>
  <c r="K1165" i="109"/>
  <c r="G1165" i="109"/>
  <c r="BH40" i="29"/>
  <c r="BJ40" i="29"/>
  <c r="BJ38" i="29"/>
  <c r="BL38" i="29"/>
  <c r="N240" i="109"/>
  <c r="G767" i="109"/>
  <c r="G763" i="109"/>
  <c r="G772" i="109"/>
  <c r="G773" i="109"/>
  <c r="G956" i="109"/>
  <c r="G770" i="109"/>
  <c r="G769" i="109"/>
  <c r="G952" i="109"/>
  <c r="G768" i="109"/>
  <c r="G951" i="109"/>
  <c r="G765" i="109"/>
  <c r="G775" i="109"/>
  <c r="G766" i="109"/>
  <c r="G774" i="109"/>
  <c r="G957" i="109"/>
  <c r="G771" i="109"/>
  <c r="G764" i="109"/>
  <c r="CO109" i="29"/>
  <c r="G80" i="12"/>
  <c r="L1194" i="109"/>
  <c r="L758" i="109"/>
  <c r="BL37" i="29"/>
  <c r="BL79" i="29"/>
  <c r="I969" i="109" a="1"/>
  <c r="I969" i="109"/>
  <c r="I1178" i="109"/>
  <c r="I959" i="109"/>
  <c r="I971" i="109" a="1"/>
  <c r="I971" i="109"/>
  <c r="I1181" i="109"/>
  <c r="I972" i="109" a="1"/>
  <c r="I972" i="109"/>
  <c r="I1182" i="109"/>
  <c r="I966" i="109" a="1"/>
  <c r="I966" i="109"/>
  <c r="I1175" i="109"/>
  <c r="I964" i="109" a="1"/>
  <c r="I964" i="109"/>
  <c r="I970" i="109" a="1"/>
  <c r="I970" i="109"/>
  <c r="I1180" i="109"/>
  <c r="O825" i="109"/>
  <c r="O753" i="109"/>
  <c r="O755" i="109"/>
  <c r="O578" i="109"/>
  <c r="O233" i="109"/>
  <c r="O234" i="109"/>
  <c r="N988" i="109"/>
  <c r="N579" i="109"/>
  <c r="N665" i="109"/>
  <c r="N1058" i="109"/>
  <c r="N826" i="109"/>
  <c r="N828" i="109"/>
  <c r="K395" i="109"/>
  <c r="J1102" i="109"/>
  <c r="J1108" i="109"/>
  <c r="J1251" i="109"/>
  <c r="J1000" i="109"/>
  <c r="J993" i="109"/>
  <c r="J992" i="109"/>
  <c r="J1001" i="109"/>
  <c r="J1002" i="109"/>
  <c r="J995" i="109"/>
  <c r="J991" i="109"/>
  <c r="J1003" i="109"/>
  <c r="J994" i="109"/>
  <c r="J997" i="109"/>
  <c r="J996" i="109"/>
  <c r="J998" i="109"/>
  <c r="J999" i="109"/>
  <c r="J838" i="109"/>
  <c r="J841" i="109"/>
  <c r="J836" i="109"/>
  <c r="J844" i="109"/>
  <c r="J842" i="109"/>
  <c r="J840" i="109"/>
  <c r="J833" i="109"/>
  <c r="J845" i="109"/>
  <c r="J834" i="109"/>
  <c r="J839" i="109"/>
  <c r="J843" i="109"/>
  <c r="J835" i="109"/>
  <c r="J837" i="109"/>
  <c r="L633" i="109"/>
  <c r="K661" i="109"/>
  <c r="K991" i="109" a="1"/>
  <c r="K1061" i="109" a="1"/>
  <c r="K763" i="109" a="1"/>
  <c r="K833" i="109" a="1"/>
  <c r="K637" i="109"/>
  <c r="O886" i="109"/>
  <c r="O893" i="109"/>
  <c r="O882" i="109"/>
  <c r="I785" i="109" a="1"/>
  <c r="I785" i="109"/>
  <c r="I780" i="109" a="1"/>
  <c r="I780" i="109"/>
  <c r="I784" i="109" a="1"/>
  <c r="I784" i="109"/>
  <c r="I786" i="109" a="1"/>
  <c r="I786" i="109"/>
  <c r="I781" i="109" a="1"/>
  <c r="I781" i="109"/>
  <c r="I776" i="109"/>
  <c r="I782" i="109" a="1"/>
  <c r="I782" i="109"/>
  <c r="I788" i="109" a="1"/>
  <c r="I788" i="109"/>
  <c r="I783" i="109" a="1"/>
  <c r="I783" i="109"/>
  <c r="I787" i="109" a="1"/>
  <c r="I787" i="109"/>
  <c r="I1032" i="109" a="1"/>
  <c r="I1032" i="109"/>
  <c r="I852" i="109" a="1"/>
  <c r="I852" i="109"/>
  <c r="I854" i="109" a="1"/>
  <c r="I854" i="109"/>
  <c r="I1034" i="109" a="1"/>
  <c r="I1034" i="109"/>
  <c r="I1038" i="109" a="1"/>
  <c r="I1038" i="109"/>
  <c r="I850" i="109" a="1"/>
  <c r="I850" i="109"/>
  <c r="I856" i="109" a="1"/>
  <c r="I856" i="109"/>
  <c r="I1033" i="109" a="1"/>
  <c r="I1033" i="109"/>
  <c r="I1045" i="109"/>
  <c r="I1037" i="109" a="1"/>
  <c r="I1037" i="109"/>
  <c r="I1049" i="109"/>
  <c r="I846" i="109"/>
  <c r="I851" i="109" a="1"/>
  <c r="I851" i="109"/>
  <c r="I853" i="109" a="1"/>
  <c r="I853" i="109"/>
  <c r="I858" i="109" a="1"/>
  <c r="I858" i="109"/>
  <c r="I1036" i="109" a="1"/>
  <c r="I1036" i="109"/>
  <c r="I1031" i="109" a="1"/>
  <c r="I1031" i="109"/>
  <c r="I855" i="109" a="1"/>
  <c r="I855" i="109"/>
  <c r="I857" i="109" a="1"/>
  <c r="I857" i="109"/>
  <c r="I1035" i="109" a="1"/>
  <c r="I1035" i="109"/>
  <c r="I1047" i="109"/>
  <c r="I1039" i="109" a="1"/>
  <c r="I1039" i="109"/>
  <c r="M1240" i="109"/>
  <c r="M654" i="109"/>
  <c r="M664" i="109"/>
  <c r="M653" i="109"/>
  <c r="M656" i="109"/>
  <c r="M676" i="109"/>
  <c r="M660" i="109"/>
  <c r="M680" i="109"/>
  <c r="M657" i="109"/>
  <c r="M655" i="109"/>
  <c r="M663" i="109"/>
  <c r="M658" i="109"/>
  <c r="M659" i="109"/>
  <c r="M662" i="109"/>
  <c r="I1008" i="109" a="1"/>
  <c r="I1008" i="109"/>
  <c r="I1012" i="109" a="1"/>
  <c r="I1012" i="109"/>
  <c r="I1024" i="109"/>
  <c r="I1007" i="109" a="1"/>
  <c r="I1007" i="109"/>
  <c r="I1011" i="109" a="1"/>
  <c r="I1011" i="109"/>
  <c r="I1023" i="109"/>
  <c r="I1015" i="109" a="1"/>
  <c r="I1015" i="109"/>
  <c r="I1004" i="109"/>
  <c r="I1010" i="109" a="1"/>
  <c r="I1010" i="109"/>
  <c r="I1014" i="109" a="1"/>
  <c r="I1014" i="109"/>
  <c r="I1009" i="109" a="1"/>
  <c r="I1009" i="109"/>
  <c r="I1013" i="109" a="1"/>
  <c r="I1013" i="109"/>
  <c r="L1112" i="109"/>
  <c r="M405" i="109"/>
  <c r="L680" i="109"/>
  <c r="M698" i="109"/>
  <c r="L698" i="109"/>
  <c r="L679" i="109"/>
  <c r="L697" i="109"/>
  <c r="L683" i="109"/>
  <c r="L701" i="109"/>
  <c r="L676" i="109"/>
  <c r="M694" i="109"/>
  <c r="L694" i="109"/>
  <c r="L675" i="109"/>
  <c r="L693" i="109"/>
  <c r="J1064" i="109"/>
  <c r="J1062" i="109"/>
  <c r="J1065" i="109"/>
  <c r="J1067" i="109"/>
  <c r="J1069" i="109"/>
  <c r="J1070" i="109"/>
  <c r="J1072" i="109"/>
  <c r="J1061" i="109"/>
  <c r="J1063" i="109"/>
  <c r="J1066" i="109"/>
  <c r="J1068" i="109"/>
  <c r="J1073" i="109"/>
  <c r="J1071" i="109"/>
  <c r="J681" i="109"/>
  <c r="J685" i="109"/>
  <c r="J699" i="109"/>
  <c r="J708" i="109"/>
  <c r="J709" i="109"/>
  <c r="J1133" i="109"/>
  <c r="J1260" i="109"/>
  <c r="J1138" i="109"/>
  <c r="J1262" i="109"/>
  <c r="J1128" i="109"/>
  <c r="J1258" i="109"/>
  <c r="I1082" i="109" a="1"/>
  <c r="I1082" i="109"/>
  <c r="I1081" i="109" a="1"/>
  <c r="I1081" i="109"/>
  <c r="I1080" i="109" a="1"/>
  <c r="I1080" i="109"/>
  <c r="I1079" i="109" a="1"/>
  <c r="I1079" i="109"/>
  <c r="I1074" i="109"/>
  <c r="I1078" i="109" a="1"/>
  <c r="I1078" i="109"/>
  <c r="I1077" i="109" a="1"/>
  <c r="I1077" i="109"/>
  <c r="I1085" i="109" a="1"/>
  <c r="I1085" i="109"/>
  <c r="I1084" i="109" a="1"/>
  <c r="I1084" i="109"/>
  <c r="I1083" i="109" a="1"/>
  <c r="I1083" i="109"/>
  <c r="J866" i="109"/>
  <c r="J868" i="109"/>
  <c r="J867" i="109"/>
  <c r="I868" i="109"/>
  <c r="I867" i="109"/>
  <c r="I866" i="109"/>
  <c r="M866" i="109"/>
  <c r="M868" i="109"/>
  <c r="M867" i="109"/>
  <c r="L868" i="109"/>
  <c r="L866" i="109"/>
  <c r="L867" i="109"/>
  <c r="M1122" i="109"/>
  <c r="M1120" i="109"/>
  <c r="K408" i="109"/>
  <c r="J1115" i="109"/>
  <c r="J1117" i="109"/>
  <c r="J1252" i="109"/>
  <c r="I1150" i="109"/>
  <c r="I1152" i="109"/>
  <c r="I703" i="109"/>
  <c r="I1132" i="109"/>
  <c r="I1127" i="109"/>
  <c r="I1129" i="109"/>
  <c r="I1137" i="109"/>
  <c r="I1139" i="109"/>
  <c r="L1121" i="109"/>
  <c r="L684" i="109"/>
  <c r="L702" i="109"/>
  <c r="L682" i="109"/>
  <c r="L700" i="109"/>
  <c r="L696" i="109"/>
  <c r="L678" i="109"/>
  <c r="L691" i="109"/>
  <c r="L673" i="109"/>
  <c r="L677" i="109"/>
  <c r="L695" i="109"/>
  <c r="L674" i="109"/>
  <c r="L692" i="109"/>
  <c r="N868" i="109"/>
  <c r="N867" i="109"/>
  <c r="N866" i="109"/>
  <c r="H868" i="109"/>
  <c r="H866" i="109"/>
  <c r="H867" i="109"/>
  <c r="K866" i="109"/>
  <c r="K868" i="109"/>
  <c r="K867" i="109"/>
  <c r="Q55" i="29"/>
  <c r="I84" i="29"/>
  <c r="I109" i="29"/>
  <c r="AD51" i="29"/>
  <c r="BO22" i="29"/>
  <c r="Q25" i="29"/>
  <c r="AK25" i="29"/>
  <c r="BF48" i="29"/>
  <c r="AK48" i="29"/>
  <c r="H109" i="29"/>
  <c r="K1099" i="109"/>
  <c r="K1250" i="109"/>
  <c r="AK22" i="29"/>
  <c r="BL22" i="29"/>
  <c r="M407" i="109"/>
  <c r="L1114" i="109"/>
  <c r="L1105" i="109"/>
  <c r="M398" i="109"/>
  <c r="L672" i="109"/>
  <c r="L690" i="109"/>
  <c r="N624" i="109"/>
  <c r="M652" i="109"/>
  <c r="L1097" i="109"/>
  <c r="M390" i="109"/>
  <c r="M388" i="109"/>
  <c r="L1095" i="109"/>
  <c r="L1099" i="109"/>
  <c r="L1250" i="109"/>
  <c r="AI9" i="29"/>
  <c r="AJ24" i="29"/>
  <c r="BP18" i="29"/>
  <c r="AG50" i="29"/>
  <c r="BQ17" i="29"/>
  <c r="BQ50" i="29"/>
  <c r="CI50" i="29"/>
  <c r="BP21" i="29"/>
  <c r="F12" i="59"/>
  <c r="BQ54" i="29"/>
  <c r="BQ21" i="29"/>
  <c r="BQ25" i="29"/>
  <c r="BO25" i="29"/>
  <c r="BP17" i="29"/>
  <c r="DC79" i="29"/>
  <c r="F14" i="59"/>
  <c r="F16" i="59"/>
  <c r="BP54" i="29"/>
  <c r="BQ18" i="29"/>
  <c r="S24" i="29"/>
  <c r="BP25" i="29"/>
  <c r="BQ79" i="29"/>
  <c r="BP50" i="29"/>
  <c r="BO79" i="29"/>
  <c r="BP79" i="29"/>
  <c r="CF50" i="29"/>
  <c r="DC21" i="29"/>
  <c r="F10" i="59"/>
  <c r="F11" i="59"/>
  <c r="DF109" i="29"/>
  <c r="G972" i="109" a="1"/>
  <c r="G972" i="109"/>
  <c r="G1182" i="109"/>
  <c r="DD109" i="29"/>
  <c r="AI11" i="29"/>
  <c r="AI15" i="29"/>
  <c r="AI40" i="29"/>
  <c r="AI109" i="29"/>
  <c r="CZ109" i="29"/>
  <c r="AC95" i="29"/>
  <c r="AC97" i="29"/>
  <c r="J758" i="109"/>
  <c r="J763" i="109" a="1"/>
  <c r="J1194" i="109"/>
  <c r="CP109" i="29"/>
  <c r="O240" i="109"/>
  <c r="BX109" i="29"/>
  <c r="F767" i="109"/>
  <c r="F768" i="109"/>
  <c r="F951" i="109"/>
  <c r="F774" i="109"/>
  <c r="F957" i="109"/>
  <c r="F775" i="109"/>
  <c r="F766" i="109"/>
  <c r="F770" i="109"/>
  <c r="F772" i="109"/>
  <c r="F771" i="109"/>
  <c r="F765" i="109"/>
  <c r="F769" i="109"/>
  <c r="F952" i="109"/>
  <c r="F763" i="109"/>
  <c r="F764" i="109"/>
  <c r="F773" i="109"/>
  <c r="F956" i="109"/>
  <c r="AM40" i="29"/>
  <c r="AM109" i="29"/>
  <c r="I1051" i="109"/>
  <c r="O239" i="109"/>
  <c r="L397" i="109"/>
  <c r="K1104" i="109"/>
  <c r="CW109" i="29"/>
  <c r="H1194" i="109"/>
  <c r="H758" i="109"/>
  <c r="H763" i="109" a="1"/>
  <c r="I1027" i="109"/>
  <c r="G971" i="109" a="1"/>
  <c r="G971" i="109"/>
  <c r="G1181" i="109"/>
  <c r="I978" i="109" a="1"/>
  <c r="I978" i="109"/>
  <c r="I1215" i="109"/>
  <c r="G968" i="109" a="1"/>
  <c r="G968" i="109"/>
  <c r="G1177" i="109"/>
  <c r="G965" i="109" a="1"/>
  <c r="G965" i="109"/>
  <c r="G1174" i="109"/>
  <c r="G970" i="109" a="1"/>
  <c r="G970" i="109"/>
  <c r="G1180" i="109"/>
  <c r="G967" i="109" a="1"/>
  <c r="G967" i="109"/>
  <c r="G1176" i="109"/>
  <c r="G964" i="109" a="1"/>
  <c r="G964" i="109"/>
  <c r="G959" i="109"/>
  <c r="G969" i="109" a="1"/>
  <c r="G969" i="109"/>
  <c r="G1178" i="109"/>
  <c r="G966" i="109" a="1"/>
  <c r="G966" i="109"/>
  <c r="G1175" i="109"/>
  <c r="AJ32" i="29"/>
  <c r="AJ40" i="29"/>
  <c r="AJ44" i="29"/>
  <c r="S32" i="29"/>
  <c r="BP22" i="29"/>
  <c r="BQ51" i="29"/>
  <c r="CF51" i="29"/>
  <c r="CF84" i="29"/>
  <c r="CF109" i="29"/>
  <c r="DH54" i="29"/>
  <c r="BP19" i="29"/>
  <c r="DH17" i="29"/>
  <c r="BQ22" i="29"/>
  <c r="BQ19" i="29"/>
  <c r="DH79" i="29"/>
  <c r="BP51" i="29"/>
  <c r="AG51" i="29"/>
  <c r="AG84" i="29"/>
  <c r="DC82" i="29"/>
  <c r="DC84" i="29"/>
  <c r="DH18" i="29"/>
  <c r="L1165" i="109"/>
  <c r="G783" i="109" a="1"/>
  <c r="G783" i="109"/>
  <c r="G787" i="109" a="1"/>
  <c r="G787" i="109"/>
  <c r="G776" i="109"/>
  <c r="G784" i="109" a="1"/>
  <c r="G784" i="109"/>
  <c r="G788" i="109" a="1"/>
  <c r="G788" i="109"/>
  <c r="G781" i="109" a="1"/>
  <c r="G781" i="109"/>
  <c r="G786" i="109" a="1"/>
  <c r="G786" i="109"/>
  <c r="G785" i="109" a="1"/>
  <c r="G785" i="109"/>
  <c r="G782" i="109" a="1"/>
  <c r="G782" i="109"/>
  <c r="G780" i="109" a="1"/>
  <c r="G780" i="109"/>
  <c r="I1151" i="109"/>
  <c r="DH19" i="29"/>
  <c r="I977" i="109" a="1"/>
  <c r="I977" i="109"/>
  <c r="I1214" i="109"/>
  <c r="I973" i="109"/>
  <c r="I1173" i="109"/>
  <c r="I1183" i="109"/>
  <c r="I976" i="109" a="1"/>
  <c r="I976" i="109"/>
  <c r="I1213" i="109"/>
  <c r="Q84" i="29"/>
  <c r="I1025" i="109"/>
  <c r="I1026" i="109"/>
  <c r="I1021" i="109"/>
  <c r="I1022" i="109"/>
  <c r="I1020" i="109"/>
  <c r="CI51" i="29"/>
  <c r="DH50" i="29"/>
  <c r="K1115" i="109"/>
  <c r="K1117" i="109"/>
  <c r="K1252" i="109"/>
  <c r="L408" i="109"/>
  <c r="M1121" i="109"/>
  <c r="I873" i="109" a="1"/>
  <c r="I873" i="109"/>
  <c r="I878" i="109" a="1"/>
  <c r="I878" i="109"/>
  <c r="I891" i="109"/>
  <c r="I874" i="109" a="1"/>
  <c r="I874" i="109"/>
  <c r="I887" i="109"/>
  <c r="I877" i="109" a="1"/>
  <c r="I877" i="109"/>
  <c r="I890" i="109"/>
  <c r="I904" i="109"/>
  <c r="I1192" i="109"/>
  <c r="I875" i="109" a="1"/>
  <c r="I875" i="109"/>
  <c r="I888" i="109"/>
  <c r="I880" i="109" a="1"/>
  <c r="I880" i="109"/>
  <c r="I876" i="109" a="1"/>
  <c r="I876" i="109"/>
  <c r="I889" i="109"/>
  <c r="I881" i="109" a="1"/>
  <c r="I881" i="109"/>
  <c r="I894" i="109"/>
  <c r="I908" i="109"/>
  <c r="I879" i="109" a="1"/>
  <c r="I879" i="109"/>
  <c r="I869" i="109"/>
  <c r="I1088" i="109"/>
  <c r="I1242" i="109"/>
  <c r="I1086" i="109"/>
  <c r="J1150" i="109"/>
  <c r="J1152" i="109"/>
  <c r="J1151" i="109"/>
  <c r="J1085" i="109" a="1"/>
  <c r="J1085" i="109"/>
  <c r="J1077" i="109" a="1"/>
  <c r="J1077" i="109"/>
  <c r="J1080" i="109" a="1"/>
  <c r="J1080" i="109"/>
  <c r="J1084" i="109" a="1"/>
  <c r="J1084" i="109"/>
  <c r="J1083" i="109" a="1"/>
  <c r="J1083" i="109"/>
  <c r="J1082" i="109" a="1"/>
  <c r="J1082" i="109"/>
  <c r="J1081" i="109" a="1"/>
  <c r="J1081" i="109"/>
  <c r="J1078" i="109" a="1"/>
  <c r="J1078" i="109"/>
  <c r="J1079" i="109" a="1"/>
  <c r="J1079" i="109"/>
  <c r="J1074" i="109"/>
  <c r="I1019" i="109"/>
  <c r="I1016" i="109"/>
  <c r="M682" i="109"/>
  <c r="M700" i="109"/>
  <c r="M678" i="109"/>
  <c r="M696" i="109"/>
  <c r="M693" i="109"/>
  <c r="M675" i="109"/>
  <c r="M691" i="109"/>
  <c r="M673" i="109"/>
  <c r="I1048" i="109"/>
  <c r="I859" i="109"/>
  <c r="I1046" i="109"/>
  <c r="I906" i="109"/>
  <c r="I1195" i="109"/>
  <c r="I789" i="109"/>
  <c r="K773" i="109"/>
  <c r="K774" i="109"/>
  <c r="K775" i="109"/>
  <c r="K769" i="109"/>
  <c r="K767" i="109"/>
  <c r="K766" i="109"/>
  <c r="K765" i="109"/>
  <c r="K771" i="109"/>
  <c r="K770" i="109"/>
  <c r="K772" i="109"/>
  <c r="K764" i="109"/>
  <c r="K768" i="109"/>
  <c r="K763" i="109"/>
  <c r="K1000" i="109"/>
  <c r="K998" i="109"/>
  <c r="K1002" i="109"/>
  <c r="K994" i="109"/>
  <c r="K999" i="109"/>
  <c r="K996" i="109"/>
  <c r="K991" i="109"/>
  <c r="K997" i="109"/>
  <c r="K1003" i="109"/>
  <c r="K993" i="109"/>
  <c r="K995" i="109"/>
  <c r="K1001" i="109"/>
  <c r="K992" i="109"/>
  <c r="M633" i="109"/>
  <c r="L833" i="109" a="1"/>
  <c r="L637" i="109"/>
  <c r="L661" i="109"/>
  <c r="L763" i="109" a="1"/>
  <c r="L991" i="109" a="1"/>
  <c r="L1061" i="109" a="1"/>
  <c r="J1008" i="109" a="1"/>
  <c r="J1008" i="109"/>
  <c r="J1012" i="109" a="1"/>
  <c r="J1012" i="109"/>
  <c r="J1007" i="109" a="1"/>
  <c r="J1007" i="109"/>
  <c r="J1011" i="109" a="1"/>
  <c r="J1011" i="109"/>
  <c r="J1015" i="109" a="1"/>
  <c r="J1015" i="109"/>
  <c r="J1004" i="109"/>
  <c r="J1010" i="109" a="1"/>
  <c r="J1010" i="109"/>
  <c r="J1014" i="109" a="1"/>
  <c r="J1014" i="109"/>
  <c r="J1009" i="109" a="1"/>
  <c r="J1009" i="109"/>
  <c r="J1013" i="109" a="1"/>
  <c r="J1013" i="109"/>
  <c r="L395" i="109"/>
  <c r="K1102" i="109"/>
  <c r="K1108" i="109"/>
  <c r="K1251" i="109"/>
  <c r="N1120" i="109"/>
  <c r="N1122" i="109"/>
  <c r="O1058" i="109"/>
  <c r="O1061" i="109" a="1"/>
  <c r="O826" i="109"/>
  <c r="O828" i="109"/>
  <c r="O833" i="109" a="1"/>
  <c r="K876" i="109" a="1"/>
  <c r="K876" i="109"/>
  <c r="K889" i="109"/>
  <c r="K875" i="109" a="1"/>
  <c r="K875" i="109"/>
  <c r="K888" i="109"/>
  <c r="K874" i="109" a="1"/>
  <c r="K874" i="109"/>
  <c r="K887" i="109"/>
  <c r="K873" i="109" a="1"/>
  <c r="K873" i="109"/>
  <c r="K881" i="109" a="1"/>
  <c r="K881" i="109"/>
  <c r="K894" i="109"/>
  <c r="K880" i="109" a="1"/>
  <c r="K880" i="109"/>
  <c r="K879" i="109" a="1"/>
  <c r="K879" i="109"/>
  <c r="K878" i="109" a="1"/>
  <c r="K878" i="109"/>
  <c r="K891" i="109"/>
  <c r="K877" i="109" a="1"/>
  <c r="K877" i="109"/>
  <c r="K890" i="109"/>
  <c r="K869" i="109"/>
  <c r="H876" i="109" a="1"/>
  <c r="H876" i="109"/>
  <c r="H889" i="109"/>
  <c r="H881" i="109" a="1"/>
  <c r="H881" i="109"/>
  <c r="H894" i="109"/>
  <c r="H877" i="109" a="1"/>
  <c r="H877" i="109"/>
  <c r="H890" i="109"/>
  <c r="H880" i="109" a="1"/>
  <c r="H880" i="109"/>
  <c r="H878" i="109" a="1"/>
  <c r="H878" i="109"/>
  <c r="H891" i="109"/>
  <c r="H874" i="109" a="1"/>
  <c r="H874" i="109"/>
  <c r="H887" i="109"/>
  <c r="H879" i="109" a="1"/>
  <c r="H879" i="109"/>
  <c r="H875" i="109" a="1"/>
  <c r="H875" i="109"/>
  <c r="H888" i="109"/>
  <c r="H873" i="109" a="1"/>
  <c r="H873" i="109"/>
  <c r="H869" i="109"/>
  <c r="N881" i="109" a="1"/>
  <c r="N881" i="109"/>
  <c r="N894" i="109"/>
  <c r="N873" i="109" a="1"/>
  <c r="N873" i="109"/>
  <c r="N874" i="109" a="1"/>
  <c r="N874" i="109"/>
  <c r="N887" i="109"/>
  <c r="N877" i="109" a="1"/>
  <c r="N877" i="109"/>
  <c r="N890" i="109"/>
  <c r="N869" i="109"/>
  <c r="N876" i="109" a="1"/>
  <c r="N876" i="109"/>
  <c r="N889" i="109"/>
  <c r="N879" i="109" a="1"/>
  <c r="N879" i="109"/>
  <c r="N878" i="109" a="1"/>
  <c r="N878" i="109"/>
  <c r="N891" i="109"/>
  <c r="N875" i="109" a="1"/>
  <c r="N875" i="109"/>
  <c r="N888" i="109"/>
  <c r="N880" i="109" a="1"/>
  <c r="N880" i="109"/>
  <c r="I1134" i="109"/>
  <c r="L873" i="109" a="1"/>
  <c r="L873" i="109"/>
  <c r="L876" i="109" a="1"/>
  <c r="L876" i="109"/>
  <c r="L889" i="109"/>
  <c r="L881" i="109" a="1"/>
  <c r="L881" i="109"/>
  <c r="L894" i="109"/>
  <c r="L869" i="109"/>
  <c r="L879" i="109" a="1"/>
  <c r="L879" i="109"/>
  <c r="L877" i="109" a="1"/>
  <c r="L877" i="109"/>
  <c r="L890" i="109"/>
  <c r="L878" i="109" a="1"/>
  <c r="L878" i="109"/>
  <c r="L891" i="109"/>
  <c r="L874" i="109" a="1"/>
  <c r="L874" i="109"/>
  <c r="L887" i="109"/>
  <c r="L875" i="109" a="1"/>
  <c r="L875" i="109"/>
  <c r="L888" i="109"/>
  <c r="L880" i="109" a="1"/>
  <c r="L880" i="109"/>
  <c r="M881" i="109" a="1"/>
  <c r="M881" i="109"/>
  <c r="M894" i="109"/>
  <c r="M876" i="109" a="1"/>
  <c r="M876" i="109"/>
  <c r="M889" i="109"/>
  <c r="M874" i="109" a="1"/>
  <c r="M874" i="109"/>
  <c r="M887" i="109"/>
  <c r="M879" i="109" a="1"/>
  <c r="M879" i="109"/>
  <c r="M869" i="109"/>
  <c r="M877" i="109" a="1"/>
  <c r="M877" i="109"/>
  <c r="M890" i="109"/>
  <c r="M875" i="109" a="1"/>
  <c r="M875" i="109"/>
  <c r="M888" i="109"/>
  <c r="M880" i="109" a="1"/>
  <c r="M880" i="109"/>
  <c r="M873" i="109" a="1"/>
  <c r="M873" i="109"/>
  <c r="M878" i="109" a="1"/>
  <c r="M878" i="109"/>
  <c r="M891" i="109"/>
  <c r="J878" i="109" a="1"/>
  <c r="J878" i="109"/>
  <c r="J891" i="109"/>
  <c r="J874" i="109" a="1"/>
  <c r="J874" i="109"/>
  <c r="J887" i="109"/>
  <c r="J875" i="109" a="1"/>
  <c r="J875" i="109"/>
  <c r="J888" i="109"/>
  <c r="J879" i="109" a="1"/>
  <c r="J879" i="109"/>
  <c r="J876" i="109" a="1"/>
  <c r="J876" i="109"/>
  <c r="J889" i="109"/>
  <c r="J880" i="109" a="1"/>
  <c r="J880" i="109"/>
  <c r="J881" i="109" a="1"/>
  <c r="J881" i="109"/>
  <c r="J894" i="109"/>
  <c r="J877" i="109" a="1"/>
  <c r="J877" i="109"/>
  <c r="J890" i="109"/>
  <c r="J873" i="109" a="1"/>
  <c r="J873" i="109"/>
  <c r="J869" i="109"/>
  <c r="J1132" i="109"/>
  <c r="J1137" i="109"/>
  <c r="J1127" i="109"/>
  <c r="J703" i="109"/>
  <c r="N405" i="109"/>
  <c r="N1112" i="109"/>
  <c r="M1112" i="109"/>
  <c r="M679" i="109"/>
  <c r="M697" i="109"/>
  <c r="M701" i="109"/>
  <c r="M683" i="109"/>
  <c r="M695" i="109"/>
  <c r="M677" i="109"/>
  <c r="M702" i="109"/>
  <c r="M684" i="109"/>
  <c r="M674" i="109"/>
  <c r="M692" i="109"/>
  <c r="I1040" i="109"/>
  <c r="I1043" i="109"/>
  <c r="I1050" i="109"/>
  <c r="I1044" i="109"/>
  <c r="I903" i="109"/>
  <c r="I1191" i="109"/>
  <c r="I902" i="109"/>
  <c r="I1190" i="109"/>
  <c r="I901" i="109"/>
  <c r="I1189" i="109"/>
  <c r="I905" i="109"/>
  <c r="I1193" i="109"/>
  <c r="O985" i="109"/>
  <c r="O895" i="109"/>
  <c r="K835" i="109"/>
  <c r="K838" i="109"/>
  <c r="K843" i="109"/>
  <c r="K839" i="109"/>
  <c r="K837" i="109"/>
  <c r="K840" i="109"/>
  <c r="K834" i="109"/>
  <c r="K844" i="109"/>
  <c r="K841" i="109"/>
  <c r="K845" i="109"/>
  <c r="K836" i="109"/>
  <c r="K842" i="109"/>
  <c r="K833" i="109"/>
  <c r="K1061" i="109"/>
  <c r="K1063" i="109"/>
  <c r="K1066" i="109"/>
  <c r="K1068" i="109"/>
  <c r="K1073" i="109"/>
  <c r="K1071" i="109"/>
  <c r="K1064" i="109"/>
  <c r="K1062" i="109"/>
  <c r="K1065" i="109"/>
  <c r="K1067" i="109"/>
  <c r="K1069" i="109"/>
  <c r="K1070" i="109"/>
  <c r="K1072" i="109"/>
  <c r="K699" i="109"/>
  <c r="K681" i="109"/>
  <c r="K685" i="109"/>
  <c r="K708" i="109"/>
  <c r="K709" i="109"/>
  <c r="K1133" i="109"/>
  <c r="K1260" i="109"/>
  <c r="K1128" i="109"/>
  <c r="K1258" i="109"/>
  <c r="K1138" i="109"/>
  <c r="K1262" i="109"/>
  <c r="J1032" i="109" a="1"/>
  <c r="J1032" i="109"/>
  <c r="J852" i="109" a="1"/>
  <c r="J852" i="109"/>
  <c r="J854" i="109" a="1"/>
  <c r="J854" i="109"/>
  <c r="J855" i="109" a="1"/>
  <c r="J855" i="109"/>
  <c r="J1034" i="109" a="1"/>
  <c r="J1034" i="109"/>
  <c r="J1038" i="109" a="1"/>
  <c r="J1038" i="109"/>
  <c r="J850" i="109" a="1"/>
  <c r="J850" i="109"/>
  <c r="J1033" i="109" a="1"/>
  <c r="J1033" i="109"/>
  <c r="J1045" i="109"/>
  <c r="J1037" i="109" a="1"/>
  <c r="J1037" i="109"/>
  <c r="J846" i="109"/>
  <c r="J851" i="109" a="1"/>
  <c r="J851" i="109"/>
  <c r="J853" i="109" a="1"/>
  <c r="J853" i="109"/>
  <c r="J856" i="109" a="1"/>
  <c r="J856" i="109"/>
  <c r="J858" i="109" a="1"/>
  <c r="J858" i="109"/>
  <c r="J1036" i="109" a="1"/>
  <c r="J1036" i="109"/>
  <c r="J1031" i="109" a="1"/>
  <c r="J1031" i="109"/>
  <c r="J857" i="109" a="1"/>
  <c r="J857" i="109"/>
  <c r="J1035" i="109" a="1"/>
  <c r="J1035" i="109"/>
  <c r="J1047" i="109"/>
  <c r="J1039" i="109" a="1"/>
  <c r="J1039" i="109"/>
  <c r="N1240" i="109"/>
  <c r="N655" i="109"/>
  <c r="N664" i="109"/>
  <c r="N656" i="109"/>
  <c r="N676" i="109"/>
  <c r="N658" i="109"/>
  <c r="N662" i="109"/>
  <c r="N653" i="109"/>
  <c r="N673" i="109"/>
  <c r="N663" i="109"/>
  <c r="N660" i="109"/>
  <c r="N657" i="109"/>
  <c r="N659" i="109"/>
  <c r="N654" i="109"/>
  <c r="O719" i="109"/>
  <c r="O665" i="109"/>
  <c r="O579" i="109"/>
  <c r="O988" i="109"/>
  <c r="O991" i="109" a="1"/>
  <c r="DH25" i="29"/>
  <c r="DC22" i="29"/>
  <c r="DC40" i="29"/>
  <c r="DH21" i="29"/>
  <c r="AG95" i="29"/>
  <c r="I1216" i="109"/>
  <c r="BL25" i="29"/>
  <c r="AD84" i="29"/>
  <c r="N388" i="109"/>
  <c r="N1095" i="109"/>
  <c r="M1095" i="109"/>
  <c r="N390" i="109"/>
  <c r="N1097" i="109"/>
  <c r="M1097" i="109"/>
  <c r="M672" i="109"/>
  <c r="M690" i="109"/>
  <c r="N652" i="109"/>
  <c r="N398" i="109"/>
  <c r="N1105" i="109"/>
  <c r="M1105" i="109"/>
  <c r="N407" i="109"/>
  <c r="N1114" i="109"/>
  <c r="M1114" i="109"/>
  <c r="G1173" i="109"/>
  <c r="T59" i="29"/>
  <c r="L24" i="29"/>
  <c r="K24" i="29"/>
  <c r="T58" i="29"/>
  <c r="AX58" i="29"/>
  <c r="BE50" i="29"/>
  <c r="M31" i="109"/>
  <c r="BQ24" i="29"/>
  <c r="BO12" i="29"/>
  <c r="BI75" i="29"/>
  <c r="BQ12" i="29"/>
  <c r="G12" i="29"/>
  <c r="T75" i="29"/>
  <c r="BP12" i="29"/>
  <c r="T57" i="29"/>
  <c r="AE50" i="29"/>
  <c r="AX57" i="29"/>
  <c r="AF50" i="29"/>
  <c r="BO24" i="29"/>
  <c r="J24" i="29"/>
  <c r="BD50" i="29"/>
  <c r="BB59" i="29"/>
  <c r="AH96" i="29"/>
  <c r="V24" i="29"/>
  <c r="BP24" i="29"/>
  <c r="S12" i="29"/>
  <c r="BH53" i="29"/>
  <c r="G977" i="109" a="1"/>
  <c r="G977" i="109"/>
  <c r="G1214" i="109"/>
  <c r="BB63" i="29"/>
  <c r="BB84" i="29"/>
  <c r="BB109" i="29"/>
  <c r="BF59" i="29"/>
  <c r="M756" i="109"/>
  <c r="AK59" i="29"/>
  <c r="BL59" i="29"/>
  <c r="H1165" i="109"/>
  <c r="J1165" i="109"/>
  <c r="M397" i="109"/>
  <c r="L1104" i="109"/>
  <c r="F784" i="109" a="1"/>
  <c r="F784" i="109"/>
  <c r="F776" i="109"/>
  <c r="F785" i="109" a="1"/>
  <c r="F785" i="109"/>
  <c r="F783" i="109" a="1"/>
  <c r="F783" i="109"/>
  <c r="F786" i="109" a="1"/>
  <c r="F786" i="109"/>
  <c r="F780" i="109" a="1"/>
  <c r="F780" i="109"/>
  <c r="F788" i="109" a="1"/>
  <c r="F788" i="109"/>
  <c r="F782" i="109" a="1"/>
  <c r="F782" i="109"/>
  <c r="F787" i="109" a="1"/>
  <c r="F787" i="109"/>
  <c r="F781" i="109" a="1"/>
  <c r="F781" i="109"/>
  <c r="J763" i="109"/>
  <c r="J768" i="109"/>
  <c r="J951" i="109"/>
  <c r="J775" i="109"/>
  <c r="J765" i="109"/>
  <c r="J774" i="109"/>
  <c r="J957" i="109"/>
  <c r="J771" i="109"/>
  <c r="J767" i="109"/>
  <c r="J766" i="109"/>
  <c r="J772" i="109"/>
  <c r="J764" i="109"/>
  <c r="J770" i="109"/>
  <c r="J773" i="109"/>
  <c r="J956" i="109"/>
  <c r="J769" i="109"/>
  <c r="J952" i="109"/>
  <c r="F966" i="109" a="1"/>
  <c r="F966" i="109"/>
  <c r="F1175" i="109"/>
  <c r="F969" i="109" a="1"/>
  <c r="F969" i="109"/>
  <c r="F1178" i="109"/>
  <c r="F959" i="109"/>
  <c r="F968" i="109" a="1"/>
  <c r="F968" i="109"/>
  <c r="F1177" i="109"/>
  <c r="F965" i="109" a="1"/>
  <c r="F965" i="109"/>
  <c r="F1174" i="109"/>
  <c r="F967" i="109" a="1"/>
  <c r="F967" i="109"/>
  <c r="F1176" i="109"/>
  <c r="F971" i="109" a="1"/>
  <c r="F971" i="109"/>
  <c r="F1181" i="109"/>
  <c r="F970" i="109" a="1"/>
  <c r="F970" i="109"/>
  <c r="F1180" i="109"/>
  <c r="F1165" i="109"/>
  <c r="F972" i="109" a="1"/>
  <c r="F972" i="109"/>
  <c r="F1182" i="109"/>
  <c r="F964" i="109" a="1"/>
  <c r="F964" i="109"/>
  <c r="H773" i="109"/>
  <c r="H956" i="109"/>
  <c r="H772" i="109"/>
  <c r="H764" i="109"/>
  <c r="H771" i="109"/>
  <c r="H770" i="109"/>
  <c r="H763" i="109"/>
  <c r="H775" i="109"/>
  <c r="H767" i="109"/>
  <c r="H766" i="109"/>
  <c r="H768" i="109"/>
  <c r="H951" i="109"/>
  <c r="H774" i="109"/>
  <c r="H957" i="109"/>
  <c r="H769" i="109"/>
  <c r="H952" i="109"/>
  <c r="H765" i="109"/>
  <c r="DH22" i="29"/>
  <c r="AH97" i="29"/>
  <c r="AH99" i="29"/>
  <c r="AH106" i="29"/>
  <c r="AH109" i="29"/>
  <c r="G978" i="109" a="1"/>
  <c r="G978" i="109"/>
  <c r="G1215" i="109"/>
  <c r="G973" i="109"/>
  <c r="G976" i="109" a="1"/>
  <c r="G976" i="109"/>
  <c r="G1213" i="109"/>
  <c r="G1183" i="109"/>
  <c r="DC109" i="29"/>
  <c r="Q24" i="29"/>
  <c r="J32" i="29"/>
  <c r="BP14" i="29"/>
  <c r="T76" i="29"/>
  <c r="AK76" i="29"/>
  <c r="AK75" i="29"/>
  <c r="BF58" i="29"/>
  <c r="Q12" i="29"/>
  <c r="G14" i="29"/>
  <c r="Q14" i="29"/>
  <c r="DH24" i="29"/>
  <c r="BO32" i="29"/>
  <c r="BQ14" i="29"/>
  <c r="S14" i="29"/>
  <c r="AK14" i="29"/>
  <c r="AK12" i="29"/>
  <c r="AK58" i="29"/>
  <c r="K32" i="29"/>
  <c r="K40" i="29"/>
  <c r="K109" i="29"/>
  <c r="BP32" i="29"/>
  <c r="BI76" i="29"/>
  <c r="L32" i="29"/>
  <c r="L40" i="29"/>
  <c r="L109" i="29"/>
  <c r="V32" i="29"/>
  <c r="AK24" i="29"/>
  <c r="AX63" i="29"/>
  <c r="BF57" i="29"/>
  <c r="BO14" i="29"/>
  <c r="BQ32" i="29"/>
  <c r="T63" i="29"/>
  <c r="AK63" i="29"/>
  <c r="AK57" i="29"/>
  <c r="G1019" i="109"/>
  <c r="G789" i="109"/>
  <c r="G900" i="109"/>
  <c r="G1020" i="109"/>
  <c r="G901" i="109"/>
  <c r="G1189" i="109"/>
  <c r="G907" i="109"/>
  <c r="G1026" i="109"/>
  <c r="G902" i="109"/>
  <c r="G1190" i="109"/>
  <c r="G1021" i="109"/>
  <c r="G908" i="109"/>
  <c r="G1027" i="109"/>
  <c r="G903" i="109"/>
  <c r="G1191" i="109"/>
  <c r="G1022" i="109"/>
  <c r="K956" i="109"/>
  <c r="G1024" i="109"/>
  <c r="G905" i="109"/>
  <c r="G1193" i="109"/>
  <c r="G904" i="109"/>
  <c r="G1192" i="109"/>
  <c r="G1023" i="109"/>
  <c r="J1050" i="109"/>
  <c r="N691" i="109"/>
  <c r="G906" i="109"/>
  <c r="G1195" i="109"/>
  <c r="G1025" i="109"/>
  <c r="I1028" i="109"/>
  <c r="AE51" i="29"/>
  <c r="AK50" i="29"/>
  <c r="BE51" i="29"/>
  <c r="BF50" i="29"/>
  <c r="BD51" i="29"/>
  <c r="AF51" i="29"/>
  <c r="AF84" i="29"/>
  <c r="AF95" i="29"/>
  <c r="I1163" i="109"/>
  <c r="O1001" i="109"/>
  <c r="O999" i="109"/>
  <c r="O1000" i="109"/>
  <c r="O991" i="109"/>
  <c r="O995" i="109"/>
  <c r="O996" i="109"/>
  <c r="O998" i="109"/>
  <c r="O994" i="109"/>
  <c r="O1003" i="109"/>
  <c r="O992" i="109"/>
  <c r="O993" i="109"/>
  <c r="O1002" i="109"/>
  <c r="O997" i="109"/>
  <c r="O654" i="109"/>
  <c r="O661" i="109"/>
  <c r="O1240" i="109"/>
  <c r="O655" i="109"/>
  <c r="O675" i="109"/>
  <c r="O652" i="109"/>
  <c r="O664" i="109"/>
  <c r="O684" i="109"/>
  <c r="O653" i="109"/>
  <c r="O673" i="109"/>
  <c r="O656" i="109"/>
  <c r="O676" i="109"/>
  <c r="O663" i="109"/>
  <c r="O683" i="109"/>
  <c r="O658" i="109"/>
  <c r="O678" i="109"/>
  <c r="O662" i="109"/>
  <c r="O682" i="109"/>
  <c r="O660" i="109"/>
  <c r="O657" i="109"/>
  <c r="O659" i="109"/>
  <c r="N692" i="109"/>
  <c r="N674" i="109"/>
  <c r="N677" i="109"/>
  <c r="N695" i="109"/>
  <c r="N683" i="109"/>
  <c r="N701" i="109"/>
  <c r="N678" i="109"/>
  <c r="N696" i="109"/>
  <c r="N702" i="109"/>
  <c r="N684" i="109"/>
  <c r="J1043" i="109"/>
  <c r="J1040" i="109"/>
  <c r="K1081" i="109" a="1"/>
  <c r="K1081" i="109"/>
  <c r="K1080" i="109" a="1"/>
  <c r="K1080" i="109"/>
  <c r="K1079" i="109" a="1"/>
  <c r="K1079" i="109"/>
  <c r="K1078" i="109" a="1"/>
  <c r="K1078" i="109"/>
  <c r="K1077" i="109" a="1"/>
  <c r="K1077" i="109"/>
  <c r="K1085" i="109" a="1"/>
  <c r="K1085" i="109"/>
  <c r="K1084" i="109" a="1"/>
  <c r="K1084" i="109"/>
  <c r="K1083" i="109" a="1"/>
  <c r="K1083" i="109"/>
  <c r="K1082" i="109" a="1"/>
  <c r="K1082" i="109"/>
  <c r="K1074" i="109"/>
  <c r="I1164" i="109"/>
  <c r="I1160" i="109"/>
  <c r="I1162" i="109"/>
  <c r="J1139" i="109"/>
  <c r="J882" i="109"/>
  <c r="J886" i="109"/>
  <c r="M882" i="109"/>
  <c r="M886" i="109"/>
  <c r="L886" i="109"/>
  <c r="L985" i="109"/>
  <c r="L882" i="109"/>
  <c r="H886" i="109"/>
  <c r="H882" i="109"/>
  <c r="O834" i="109"/>
  <c r="O836" i="109"/>
  <c r="O835" i="109"/>
  <c r="O841" i="109"/>
  <c r="O842" i="109"/>
  <c r="O838" i="109"/>
  <c r="O843" i="109"/>
  <c r="O837" i="109"/>
  <c r="O845" i="109"/>
  <c r="O839" i="109"/>
  <c r="O844" i="109"/>
  <c r="O833" i="109"/>
  <c r="O840" i="109"/>
  <c r="L1063" i="109"/>
  <c r="L1065" i="109"/>
  <c r="L1067" i="109"/>
  <c r="L1070" i="109"/>
  <c r="L1062" i="109"/>
  <c r="L1069" i="109"/>
  <c r="L1061" i="109"/>
  <c r="L1064" i="109"/>
  <c r="L1072" i="109"/>
  <c r="L1068" i="109"/>
  <c r="L1073" i="109"/>
  <c r="L1071" i="109"/>
  <c r="L1066" i="109"/>
  <c r="L763" i="109"/>
  <c r="L768" i="109"/>
  <c r="L774" i="109"/>
  <c r="L772" i="109"/>
  <c r="L764" i="109"/>
  <c r="L771" i="109"/>
  <c r="L766" i="109"/>
  <c r="L769" i="109"/>
  <c r="L767" i="109"/>
  <c r="L775" i="109"/>
  <c r="L770" i="109"/>
  <c r="L773" i="109"/>
  <c r="L765" i="109"/>
  <c r="N633" i="109"/>
  <c r="M833" i="109" a="1"/>
  <c r="M1061" i="109" a="1"/>
  <c r="M661" i="109"/>
  <c r="M637" i="109"/>
  <c r="M991" i="109" a="1"/>
  <c r="K788" i="109" a="1"/>
  <c r="K788" i="109"/>
  <c r="K780" i="109" a="1"/>
  <c r="K780" i="109"/>
  <c r="K782" i="109" a="1"/>
  <c r="K782" i="109"/>
  <c r="K786" i="109" a="1"/>
  <c r="K786" i="109"/>
  <c r="K776" i="109"/>
  <c r="K783" i="109" a="1"/>
  <c r="K783" i="109"/>
  <c r="K787" i="109" a="1"/>
  <c r="K787" i="109"/>
  <c r="K781" i="109" a="1"/>
  <c r="K781" i="109"/>
  <c r="K784" i="109" a="1"/>
  <c r="K784" i="109"/>
  <c r="K785" i="109" a="1"/>
  <c r="K785" i="109"/>
  <c r="J1086" i="109"/>
  <c r="J1088" i="109"/>
  <c r="J1242" i="109"/>
  <c r="CI84" i="29"/>
  <c r="CI109" i="29"/>
  <c r="DH51" i="29"/>
  <c r="G1216" i="109"/>
  <c r="O1120" i="109"/>
  <c r="O1250" i="109"/>
  <c r="O1122" i="109"/>
  <c r="P719" i="109"/>
  <c r="H719" i="109"/>
  <c r="O717" i="109"/>
  <c r="O718" i="109"/>
  <c r="O716" i="109"/>
  <c r="N679" i="109"/>
  <c r="N697" i="109"/>
  <c r="N680" i="109"/>
  <c r="N698" i="109"/>
  <c r="O691" i="109"/>
  <c r="N682" i="109"/>
  <c r="O700" i="109"/>
  <c r="N700" i="109"/>
  <c r="O694" i="109"/>
  <c r="N693" i="109"/>
  <c r="N675" i="109"/>
  <c r="O693" i="109"/>
  <c r="J1051" i="109"/>
  <c r="J1048" i="109"/>
  <c r="J1049" i="109"/>
  <c r="J859" i="109"/>
  <c r="J1046" i="109"/>
  <c r="J1044" i="109"/>
  <c r="K1152" i="109"/>
  <c r="K1150" i="109"/>
  <c r="K1127" i="109"/>
  <c r="K703" i="109"/>
  <c r="K1132" i="109"/>
  <c r="K1137" i="109"/>
  <c r="K850" i="109" a="1"/>
  <c r="K850" i="109"/>
  <c r="K858" i="109" a="1"/>
  <c r="K858" i="109"/>
  <c r="K1037" i="109" a="1"/>
  <c r="K1037" i="109"/>
  <c r="K855" i="109" a="1"/>
  <c r="K855" i="109"/>
  <c r="K1038" i="109" a="1"/>
  <c r="K1038" i="109"/>
  <c r="K852" i="109" a="1"/>
  <c r="K852" i="109"/>
  <c r="K1033" i="109" a="1"/>
  <c r="K1033" i="109"/>
  <c r="K1039" i="109" a="1"/>
  <c r="K1039" i="109"/>
  <c r="K1051" i="109"/>
  <c r="K856" i="109" a="1"/>
  <c r="K856" i="109"/>
  <c r="K846" i="109"/>
  <c r="K853" i="109" a="1"/>
  <c r="K853" i="109"/>
  <c r="K1034" i="109" a="1"/>
  <c r="K1034" i="109"/>
  <c r="K1032" i="109" a="1"/>
  <c r="K1032" i="109"/>
  <c r="K857" i="109" a="1"/>
  <c r="K857" i="109"/>
  <c r="K1031" i="109" a="1"/>
  <c r="K1031" i="109"/>
  <c r="K854" i="109" a="1"/>
  <c r="K854" i="109"/>
  <c r="K1035" i="109" a="1"/>
  <c r="K1035" i="109"/>
  <c r="K851" i="109" a="1"/>
  <c r="K851" i="109"/>
  <c r="K1036" i="109" a="1"/>
  <c r="K1036" i="109"/>
  <c r="K1048" i="109"/>
  <c r="I1161" i="109"/>
  <c r="I1052" i="109"/>
  <c r="N694" i="109"/>
  <c r="J1129" i="109"/>
  <c r="J1134" i="109"/>
  <c r="N882" i="109"/>
  <c r="N886" i="109"/>
  <c r="K886" i="109"/>
  <c r="K882" i="109"/>
  <c r="O1063" i="109"/>
  <c r="O1066" i="109"/>
  <c r="O1070" i="109"/>
  <c r="O1062" i="109"/>
  <c r="O1067" i="109"/>
  <c r="O1071" i="109"/>
  <c r="O1061" i="109"/>
  <c r="O1064" i="109"/>
  <c r="O1068" i="109"/>
  <c r="O1072" i="109"/>
  <c r="O1065" i="109"/>
  <c r="O1069" i="109"/>
  <c r="O1073" i="109"/>
  <c r="N1121" i="109"/>
  <c r="M395" i="109"/>
  <c r="L1102" i="109"/>
  <c r="L1108" i="109"/>
  <c r="L1251" i="109"/>
  <c r="J1016" i="109"/>
  <c r="L991" i="109"/>
  <c r="L1001" i="109"/>
  <c r="L995" i="109"/>
  <c r="L993" i="109"/>
  <c r="L999" i="109"/>
  <c r="L1002" i="109"/>
  <c r="L994" i="109"/>
  <c r="L1003" i="109"/>
  <c r="L992" i="109"/>
  <c r="L998" i="109"/>
  <c r="L1000" i="109"/>
  <c r="L996" i="109"/>
  <c r="L997" i="109"/>
  <c r="L699" i="109"/>
  <c r="L681" i="109"/>
  <c r="L685" i="109"/>
  <c r="L708" i="109"/>
  <c r="L709" i="109"/>
  <c r="L1128" i="109"/>
  <c r="L1258" i="109"/>
  <c r="L1138" i="109"/>
  <c r="L1262" i="109"/>
  <c r="L1133" i="109"/>
  <c r="L1260" i="109"/>
  <c r="L835" i="109"/>
  <c r="L845" i="109"/>
  <c r="L839" i="109"/>
  <c r="L952" i="109"/>
  <c r="L836" i="109"/>
  <c r="L843" i="109"/>
  <c r="L956" i="109"/>
  <c r="L841" i="109"/>
  <c r="L833" i="109"/>
  <c r="L840" i="109"/>
  <c r="L834" i="109"/>
  <c r="L842" i="109"/>
  <c r="L844" i="109"/>
  <c r="L837" i="109"/>
  <c r="L838" i="109"/>
  <c r="L951" i="109"/>
  <c r="K1007" i="109" a="1"/>
  <c r="K1007" i="109"/>
  <c r="K1008" i="109" a="1"/>
  <c r="K1008" i="109"/>
  <c r="K1015" i="109" a="1"/>
  <c r="K1015" i="109"/>
  <c r="K1010" i="109" a="1"/>
  <c r="K1010" i="109"/>
  <c r="K1009" i="109" a="1"/>
  <c r="K1009" i="109"/>
  <c r="K1012" i="109" a="1"/>
  <c r="K1012" i="109"/>
  <c r="K1011" i="109" a="1"/>
  <c r="K1011" i="109"/>
  <c r="K1004" i="109"/>
  <c r="K1014" i="109" a="1"/>
  <c r="K1014" i="109"/>
  <c r="K1013" i="109" a="1"/>
  <c r="K1013" i="109"/>
  <c r="K951" i="109"/>
  <c r="K952" i="109"/>
  <c r="K957" i="109"/>
  <c r="I1166" i="109"/>
  <c r="I886" i="109"/>
  <c r="I882" i="109"/>
  <c r="M408" i="109"/>
  <c r="L1115" i="109"/>
  <c r="L1117" i="109"/>
  <c r="L1252" i="109"/>
  <c r="M758" i="109"/>
  <c r="M763" i="109" a="1"/>
  <c r="M1194" i="109"/>
  <c r="BH55" i="29"/>
  <c r="N1099" i="109"/>
  <c r="N1250" i="109"/>
  <c r="AD95" i="29"/>
  <c r="M1099" i="109"/>
  <c r="M1250" i="109"/>
  <c r="N672" i="109"/>
  <c r="N690" i="109"/>
  <c r="BH75" i="29"/>
  <c r="T65" i="29"/>
  <c r="W53" i="29"/>
  <c r="F8" i="59"/>
  <c r="AG96" i="29"/>
  <c r="N31" i="109"/>
  <c r="F9" i="59"/>
  <c r="AV75" i="29"/>
  <c r="Y53" i="29"/>
  <c r="AW65" i="29"/>
  <c r="BL58" i="29"/>
  <c r="DH32" i="29"/>
  <c r="N756" i="109"/>
  <c r="J783" i="109" a="1"/>
  <c r="J783" i="109"/>
  <c r="J780" i="109" a="1"/>
  <c r="J780" i="109"/>
  <c r="J776" i="109"/>
  <c r="J784" i="109" a="1"/>
  <c r="J784" i="109"/>
  <c r="J785" i="109" a="1"/>
  <c r="J785" i="109"/>
  <c r="J786" i="109" a="1"/>
  <c r="J786" i="109"/>
  <c r="J787" i="109" a="1"/>
  <c r="J787" i="109"/>
  <c r="J1026" i="109"/>
  <c r="J781" i="109" a="1"/>
  <c r="J781" i="109"/>
  <c r="J788" i="109" a="1"/>
  <c r="J788" i="109"/>
  <c r="J782" i="109" a="1"/>
  <c r="J782" i="109"/>
  <c r="F907" i="109"/>
  <c r="F1026" i="109"/>
  <c r="F906" i="109"/>
  <c r="F1195" i="109"/>
  <c r="F1025" i="109"/>
  <c r="F904" i="109"/>
  <c r="F1192" i="109"/>
  <c r="F1023" i="109"/>
  <c r="F1021" i="109"/>
  <c r="F902" i="109"/>
  <c r="F1190" i="109"/>
  <c r="F903" i="109"/>
  <c r="F1191" i="109"/>
  <c r="F1022" i="109"/>
  <c r="M1104" i="109"/>
  <c r="N397" i="109"/>
  <c r="N1104" i="109"/>
  <c r="F908" i="109"/>
  <c r="F1027" i="109"/>
  <c r="F905" i="109"/>
  <c r="F1193" i="109"/>
  <c r="F1024" i="109"/>
  <c r="H968" i="109" a="1"/>
  <c r="H968" i="109"/>
  <c r="H1177" i="109"/>
  <c r="H971" i="109" a="1"/>
  <c r="H971" i="109"/>
  <c r="H1181" i="109"/>
  <c r="H970" i="109" a="1"/>
  <c r="H970" i="109"/>
  <c r="H1180" i="109"/>
  <c r="H967" i="109" a="1"/>
  <c r="H967" i="109"/>
  <c r="H1176" i="109"/>
  <c r="H972" i="109" a="1"/>
  <c r="H972" i="109"/>
  <c r="H1182" i="109"/>
  <c r="H969" i="109" a="1"/>
  <c r="H969" i="109"/>
  <c r="H1178" i="109"/>
  <c r="H964" i="109" a="1"/>
  <c r="H964" i="109"/>
  <c r="H959" i="109"/>
  <c r="H966" i="109" a="1"/>
  <c r="H966" i="109"/>
  <c r="H1175" i="109"/>
  <c r="H965" i="109" a="1"/>
  <c r="H965" i="109"/>
  <c r="H1174" i="109"/>
  <c r="H780" i="109" a="1"/>
  <c r="H780" i="109"/>
  <c r="H776" i="109"/>
  <c r="H788" i="109" a="1"/>
  <c r="H788" i="109"/>
  <c r="H786" i="109" a="1"/>
  <c r="H786" i="109"/>
  <c r="H784" i="109" a="1"/>
  <c r="H784" i="109"/>
  <c r="H785" i="109" a="1"/>
  <c r="H785" i="109"/>
  <c r="H787" i="109" a="1"/>
  <c r="H787" i="109"/>
  <c r="H1026" i="109"/>
  <c r="H782" i="109" a="1"/>
  <c r="H782" i="109"/>
  <c r="H781" i="109" a="1"/>
  <c r="H781" i="109"/>
  <c r="H783" i="109" a="1"/>
  <c r="H783" i="109"/>
  <c r="F1173" i="109"/>
  <c r="F1183" i="109"/>
  <c r="F973" i="109"/>
  <c r="F978" i="109" a="1"/>
  <c r="F978" i="109"/>
  <c r="F1215" i="109"/>
  <c r="F977" i="109" a="1"/>
  <c r="F977" i="109"/>
  <c r="F1214" i="109"/>
  <c r="F976" i="109" a="1"/>
  <c r="F976" i="109"/>
  <c r="F1213" i="109"/>
  <c r="J966" i="109" a="1"/>
  <c r="J966" i="109"/>
  <c r="J1175" i="109"/>
  <c r="J967" i="109" a="1"/>
  <c r="J967" i="109"/>
  <c r="J1176" i="109"/>
  <c r="J969" i="109" a="1"/>
  <c r="J969" i="109"/>
  <c r="J1178" i="109"/>
  <c r="J968" i="109" a="1"/>
  <c r="J968" i="109"/>
  <c r="J1177" i="109"/>
  <c r="J959" i="109"/>
  <c r="J971" i="109" a="1"/>
  <c r="J971" i="109"/>
  <c r="J1181" i="109"/>
  <c r="J972" i="109" a="1"/>
  <c r="J972" i="109"/>
  <c r="J1182" i="109"/>
  <c r="J964" i="109" a="1"/>
  <c r="J964" i="109"/>
  <c r="J965" i="109" a="1"/>
  <c r="J965" i="109"/>
  <c r="J1174" i="109"/>
  <c r="J970" i="109" a="1"/>
  <c r="J970" i="109"/>
  <c r="J1180" i="109"/>
  <c r="F901" i="109"/>
  <c r="F1189" i="109"/>
  <c r="F1020" i="109"/>
  <c r="F1019" i="109"/>
  <c r="F789" i="109"/>
  <c r="F900" i="109"/>
  <c r="G1196" i="109"/>
  <c r="BH76" i="29"/>
  <c r="BJ76" i="29"/>
  <c r="BJ75" i="29"/>
  <c r="AW68" i="29"/>
  <c r="BF65" i="29"/>
  <c r="AV76" i="29"/>
  <c r="BF75" i="29"/>
  <c r="T68" i="29"/>
  <c r="AK68" i="29"/>
  <c r="AK65" i="29"/>
  <c r="L893" i="109"/>
  <c r="L895" i="109"/>
  <c r="O696" i="109"/>
  <c r="G1163" i="109"/>
  <c r="G1160" i="109"/>
  <c r="G1054" i="109"/>
  <c r="G1241" i="109"/>
  <c r="G1028" i="109"/>
  <c r="BL57" i="29"/>
  <c r="AX84" i="29"/>
  <c r="AX109" i="29"/>
  <c r="BF63" i="29"/>
  <c r="AK32" i="29"/>
  <c r="J40" i="29"/>
  <c r="J109" i="29"/>
  <c r="Q32" i="29"/>
  <c r="O702" i="109"/>
  <c r="G1166" i="109"/>
  <c r="G1164" i="109"/>
  <c r="BL63" i="29"/>
  <c r="BL24" i="29"/>
  <c r="O701" i="109"/>
  <c r="G1162" i="109"/>
  <c r="G1161" i="109"/>
  <c r="G909" i="109"/>
  <c r="G1188" i="109"/>
  <c r="G912" i="109" a="1"/>
  <c r="G912" i="109"/>
  <c r="G1221" i="109"/>
  <c r="G913" i="109" a="1"/>
  <c r="G913" i="109"/>
  <c r="G1222" i="109"/>
  <c r="G914" i="109" a="1"/>
  <c r="G914" i="109"/>
  <c r="G1223" i="109"/>
  <c r="BL14" i="29"/>
  <c r="K1046" i="109"/>
  <c r="BL12" i="29"/>
  <c r="K1026" i="109"/>
  <c r="K1023" i="109"/>
  <c r="K1021" i="109"/>
  <c r="K1027" i="109"/>
  <c r="K904" i="109"/>
  <c r="K1192" i="109"/>
  <c r="K902" i="109"/>
  <c r="K1190" i="109"/>
  <c r="K908" i="109"/>
  <c r="K1025" i="109"/>
  <c r="K1024" i="109"/>
  <c r="K1022" i="109"/>
  <c r="K1020" i="109"/>
  <c r="M770" i="109"/>
  <c r="M769" i="109"/>
  <c r="M775" i="109"/>
  <c r="M765" i="109"/>
  <c r="M774" i="109"/>
  <c r="M771" i="109"/>
  <c r="M763" i="109"/>
  <c r="M768" i="109"/>
  <c r="M772" i="109"/>
  <c r="M766" i="109"/>
  <c r="M767" i="109"/>
  <c r="M773" i="109"/>
  <c r="M764" i="109"/>
  <c r="M1115" i="109"/>
  <c r="M1117" i="109"/>
  <c r="M1252" i="109"/>
  <c r="N408" i="109"/>
  <c r="N1115" i="109"/>
  <c r="N1117" i="109"/>
  <c r="N1252" i="109"/>
  <c r="L850" i="109" a="1"/>
  <c r="L850" i="109"/>
  <c r="L856" i="109" a="1"/>
  <c r="L856" i="109"/>
  <c r="L1032" i="109" a="1"/>
  <c r="L1032" i="109"/>
  <c r="L1033" i="109" a="1"/>
  <c r="L1033" i="109"/>
  <c r="L1039" i="109" a="1"/>
  <c r="L1039" i="109"/>
  <c r="L852" i="109" a="1"/>
  <c r="L852" i="109"/>
  <c r="L857" i="109" a="1"/>
  <c r="L857" i="109"/>
  <c r="L851" i="109" a="1"/>
  <c r="L851" i="109"/>
  <c r="L1034" i="109" a="1"/>
  <c r="L1034" i="109"/>
  <c r="L846" i="109"/>
  <c r="L853" i="109" a="1"/>
  <c r="L853" i="109"/>
  <c r="L1036" i="109" a="1"/>
  <c r="L1036" i="109"/>
  <c r="L855" i="109" a="1"/>
  <c r="L855" i="109"/>
  <c r="L1035" i="109" a="1"/>
  <c r="L1035" i="109"/>
  <c r="L1031" i="109" a="1"/>
  <c r="L1031" i="109"/>
  <c r="L854" i="109" a="1"/>
  <c r="L854" i="109"/>
  <c r="L1038" i="109" a="1"/>
  <c r="L1038" i="109"/>
  <c r="L1050" i="109"/>
  <c r="L858" i="109" a="1"/>
  <c r="L858" i="109"/>
  <c r="L1037" i="109" a="1"/>
  <c r="L1037" i="109"/>
  <c r="L1049" i="109"/>
  <c r="L1150" i="109"/>
  <c r="L1152" i="109"/>
  <c r="L1127" i="109"/>
  <c r="L703" i="109"/>
  <c r="L1137" i="109"/>
  <c r="L1132" i="109"/>
  <c r="O1081" i="109" a="1"/>
  <c r="O1081" i="109"/>
  <c r="O1082" i="109" a="1"/>
  <c r="O1082" i="109"/>
  <c r="O1080" i="109" a="1"/>
  <c r="O1080" i="109"/>
  <c r="O1078" i="109" a="1"/>
  <c r="O1078" i="109"/>
  <c r="O1085" i="109" a="1"/>
  <c r="O1085" i="109"/>
  <c r="O1083" i="109" a="1"/>
  <c r="O1083" i="109"/>
  <c r="O1084" i="109" a="1"/>
  <c r="O1084" i="109"/>
  <c r="O1077" i="109" a="1"/>
  <c r="O1077" i="109"/>
  <c r="O1079" i="109" a="1"/>
  <c r="O1079" i="109"/>
  <c r="O1074" i="109"/>
  <c r="N893" i="109"/>
  <c r="N895" i="109"/>
  <c r="N985" i="109"/>
  <c r="K1139" i="109"/>
  <c r="H717" i="109"/>
  <c r="I719" i="109"/>
  <c r="H718" i="109"/>
  <c r="H716" i="109"/>
  <c r="M1063" i="109"/>
  <c r="M1067" i="109"/>
  <c r="M1071" i="109"/>
  <c r="M1062" i="109"/>
  <c r="M1066" i="109"/>
  <c r="M1070" i="109"/>
  <c r="M1065" i="109"/>
  <c r="M1064" i="109"/>
  <c r="M1072" i="109"/>
  <c r="M1061" i="109"/>
  <c r="M1069" i="109"/>
  <c r="M1073" i="109"/>
  <c r="M1068" i="109"/>
  <c r="N637" i="109"/>
  <c r="N1061" i="109" a="1"/>
  <c r="N991" i="109" a="1"/>
  <c r="N661" i="109"/>
  <c r="N833" i="109" a="1"/>
  <c r="L1079" i="109" a="1"/>
  <c r="L1079" i="109"/>
  <c r="L1081" i="109" a="1"/>
  <c r="L1081" i="109"/>
  <c r="L1085" i="109" a="1"/>
  <c r="L1085" i="109"/>
  <c r="L1078" i="109" a="1"/>
  <c r="L1078" i="109"/>
  <c r="L1084" i="109" a="1"/>
  <c r="L1084" i="109"/>
  <c r="L1080" i="109" a="1"/>
  <c r="L1080" i="109"/>
  <c r="L1082" i="109" a="1"/>
  <c r="L1082" i="109"/>
  <c r="L1074" i="109"/>
  <c r="L1083" i="109" a="1"/>
  <c r="L1083" i="109"/>
  <c r="L1077" i="109" a="1"/>
  <c r="L1077" i="109"/>
  <c r="O850" i="109" a="1"/>
  <c r="O850" i="109"/>
  <c r="O853" i="109" a="1"/>
  <c r="O853" i="109"/>
  <c r="O858" i="109" a="1"/>
  <c r="O858" i="109"/>
  <c r="O1033" i="109" a="1"/>
  <c r="O1033" i="109"/>
  <c r="O1036" i="109" a="1"/>
  <c r="O1036" i="109"/>
  <c r="O1037" i="109" a="1"/>
  <c r="O1037" i="109"/>
  <c r="O1031" i="109" a="1"/>
  <c r="O1031" i="109"/>
  <c r="O1032" i="109" a="1"/>
  <c r="O1032" i="109"/>
  <c r="O851" i="109" a="1"/>
  <c r="O851" i="109"/>
  <c r="O852" i="109" a="1"/>
  <c r="O852" i="109"/>
  <c r="O854" i="109" a="1"/>
  <c r="O854" i="109"/>
  <c r="O855" i="109" a="1"/>
  <c r="O855" i="109"/>
  <c r="O856" i="109" a="1"/>
  <c r="O856" i="109"/>
  <c r="O857" i="109" a="1"/>
  <c r="O857" i="109"/>
  <c r="O1034" i="109" a="1"/>
  <c r="O1034" i="109"/>
  <c r="O1035" i="109" a="1"/>
  <c r="O1035" i="109"/>
  <c r="O1038" i="109" a="1"/>
  <c r="O1038" i="109"/>
  <c r="O1039" i="109" a="1"/>
  <c r="O1039" i="109"/>
  <c r="O1051" i="109"/>
  <c r="O846" i="109"/>
  <c r="M893" i="109"/>
  <c r="M985" i="109"/>
  <c r="M895" i="109"/>
  <c r="J893" i="109"/>
  <c r="J907" i="109"/>
  <c r="J985" i="109"/>
  <c r="O677" i="109"/>
  <c r="O695" i="109"/>
  <c r="O672" i="109"/>
  <c r="O1138" i="109"/>
  <c r="O1262" i="109"/>
  <c r="O1128" i="109"/>
  <c r="O1258" i="109"/>
  <c r="O1133" i="109"/>
  <c r="O1260" i="109"/>
  <c r="O674" i="109"/>
  <c r="O692" i="109"/>
  <c r="O1004" i="109"/>
  <c r="O1010" i="109" a="1"/>
  <c r="O1010" i="109"/>
  <c r="O1014" i="109" a="1"/>
  <c r="O1014" i="109"/>
  <c r="O1009" i="109" a="1"/>
  <c r="O1009" i="109"/>
  <c r="O1013" i="109" a="1"/>
  <c r="O1013" i="109"/>
  <c r="O1007" i="109" a="1"/>
  <c r="O1007" i="109"/>
  <c r="O1012" i="109" a="1"/>
  <c r="O1012" i="109"/>
  <c r="O1008" i="109" a="1"/>
  <c r="O1008" i="109"/>
  <c r="O1011" i="109" a="1"/>
  <c r="O1011" i="109"/>
  <c r="O1015" i="109" a="1"/>
  <c r="O1015" i="109"/>
  <c r="BE84" i="29"/>
  <c r="BE109" i="29"/>
  <c r="BE95" i="29"/>
  <c r="BF95" i="29"/>
  <c r="BL50" i="29"/>
  <c r="M1165" i="109"/>
  <c r="I893" i="109"/>
  <c r="I907" i="109"/>
  <c r="I1196" i="109"/>
  <c r="I985" i="109"/>
  <c r="I1054" i="109"/>
  <c r="I1241" i="109"/>
  <c r="I900" i="109"/>
  <c r="K965" i="109" a="1"/>
  <c r="K965" i="109"/>
  <c r="K1174" i="109"/>
  <c r="K968" i="109" a="1"/>
  <c r="K968" i="109"/>
  <c r="K1177" i="109"/>
  <c r="K964" i="109" a="1"/>
  <c r="K964" i="109"/>
  <c r="K969" i="109" a="1"/>
  <c r="K969" i="109"/>
  <c r="K1178" i="109"/>
  <c r="K966" i="109" a="1"/>
  <c r="K966" i="109"/>
  <c r="K1175" i="109"/>
  <c r="K971" i="109" a="1"/>
  <c r="K971" i="109"/>
  <c r="K1181" i="109"/>
  <c r="K967" i="109" a="1"/>
  <c r="K967" i="109"/>
  <c r="K1176" i="109"/>
  <c r="K959" i="109"/>
  <c r="K972" i="109" a="1"/>
  <c r="K972" i="109"/>
  <c r="K1182" i="109"/>
  <c r="K970" i="109" a="1"/>
  <c r="K970" i="109"/>
  <c r="K1180" i="109"/>
  <c r="K1016" i="109"/>
  <c r="K1019" i="109"/>
  <c r="L1009" i="109" a="1"/>
  <c r="L1009" i="109"/>
  <c r="L1008" i="109" a="1"/>
  <c r="L1008" i="109"/>
  <c r="L1007" i="109" a="1"/>
  <c r="L1007" i="109"/>
  <c r="L1015" i="109" a="1"/>
  <c r="L1015" i="109"/>
  <c r="L1014" i="109" a="1"/>
  <c r="L1014" i="109"/>
  <c r="L1013" i="109" a="1"/>
  <c r="L1013" i="109"/>
  <c r="L1010" i="109" a="1"/>
  <c r="L1010" i="109"/>
  <c r="L1004" i="109"/>
  <c r="L1012" i="109" a="1"/>
  <c r="L1012" i="109"/>
  <c r="L1011" i="109" a="1"/>
  <c r="L1011" i="109"/>
  <c r="M1102" i="109"/>
  <c r="M1108" i="109"/>
  <c r="M1251" i="109"/>
  <c r="N395" i="109"/>
  <c r="N1102" i="109"/>
  <c r="N1108" i="109"/>
  <c r="N1251" i="109"/>
  <c r="K893" i="109"/>
  <c r="K895" i="109"/>
  <c r="K985" i="109"/>
  <c r="K1047" i="109"/>
  <c r="K1043" i="109"/>
  <c r="K1040" i="109"/>
  <c r="K1044" i="109"/>
  <c r="K1045" i="109"/>
  <c r="K1050" i="109"/>
  <c r="K1049" i="109"/>
  <c r="K859" i="109"/>
  <c r="K1134" i="109"/>
  <c r="K1129" i="109"/>
  <c r="K1151" i="109"/>
  <c r="O1143" i="109"/>
  <c r="O1147" i="109"/>
  <c r="O1145" i="109"/>
  <c r="O1121" i="109"/>
  <c r="O1251" i="109"/>
  <c r="O1252" i="109"/>
  <c r="K905" i="109"/>
  <c r="K1193" i="109"/>
  <c r="K901" i="109"/>
  <c r="K1189" i="109"/>
  <c r="K903" i="109"/>
  <c r="K1191" i="109"/>
  <c r="K906" i="109"/>
  <c r="K1195" i="109"/>
  <c r="K900" i="109"/>
  <c r="K789" i="109"/>
  <c r="M992" i="109"/>
  <c r="M996" i="109"/>
  <c r="M1000" i="109"/>
  <c r="M991" i="109"/>
  <c r="M995" i="109"/>
  <c r="M999" i="109"/>
  <c r="M1003" i="109"/>
  <c r="M998" i="109"/>
  <c r="M1002" i="109"/>
  <c r="M1001" i="109"/>
  <c r="M994" i="109"/>
  <c r="M993" i="109"/>
  <c r="M997" i="109"/>
  <c r="M699" i="109"/>
  <c r="M708" i="109"/>
  <c r="M709" i="109"/>
  <c r="M681" i="109"/>
  <c r="M685" i="109"/>
  <c r="M1128" i="109"/>
  <c r="M1258" i="109"/>
  <c r="M1138" i="109"/>
  <c r="M1262" i="109"/>
  <c r="M1133" i="109"/>
  <c r="M1260" i="109"/>
  <c r="M837" i="109"/>
  <c r="M841" i="109"/>
  <c r="M833" i="109"/>
  <c r="M838" i="109"/>
  <c r="M844" i="109"/>
  <c r="M957" i="109"/>
  <c r="M840" i="109"/>
  <c r="M835" i="109"/>
  <c r="M839" i="109"/>
  <c r="M836" i="109"/>
  <c r="M842" i="109"/>
  <c r="M843" i="109"/>
  <c r="M845" i="109"/>
  <c r="M834" i="109"/>
  <c r="L957" i="109"/>
  <c r="L966" i="109" a="1"/>
  <c r="L966" i="109"/>
  <c r="L1175" i="109"/>
  <c r="L783" i="109" a="1"/>
  <c r="L783" i="109"/>
  <c r="L903" i="109"/>
  <c r="L1191" i="109"/>
  <c r="L786" i="109" a="1"/>
  <c r="L786" i="109"/>
  <c r="L785" i="109" a="1"/>
  <c r="L785" i="109"/>
  <c r="L782" i="109" a="1"/>
  <c r="L782" i="109"/>
  <c r="L776" i="109"/>
  <c r="L780" i="109" a="1"/>
  <c r="L780" i="109"/>
  <c r="L787" i="109" a="1"/>
  <c r="L787" i="109"/>
  <c r="L907" i="109"/>
  <c r="L781" i="109" a="1"/>
  <c r="L781" i="109"/>
  <c r="L784" i="109" a="1"/>
  <c r="L784" i="109"/>
  <c r="L904" i="109"/>
  <c r="L1192" i="109"/>
  <c r="L788" i="109" a="1"/>
  <c r="L788" i="109"/>
  <c r="H893" i="109"/>
  <c r="H907" i="109"/>
  <c r="H985" i="109"/>
  <c r="H900" i="109"/>
  <c r="K1088" i="109"/>
  <c r="K1242" i="109"/>
  <c r="K1086" i="109"/>
  <c r="J1052" i="109"/>
  <c r="O679" i="109"/>
  <c r="O697" i="109"/>
  <c r="O698" i="109"/>
  <c r="O680" i="109"/>
  <c r="O681" i="109"/>
  <c r="O708" i="109"/>
  <c r="BD84" i="29"/>
  <c r="BF51" i="29"/>
  <c r="AE84" i="29"/>
  <c r="AE95" i="29"/>
  <c r="AK51" i="29"/>
  <c r="N1194" i="109"/>
  <c r="N758" i="109"/>
  <c r="N763" i="109" a="1"/>
  <c r="Y55" i="29"/>
  <c r="Y84" i="29"/>
  <c r="W55" i="29"/>
  <c r="AG99" i="29"/>
  <c r="AG106" i="29"/>
  <c r="AG109" i="29"/>
  <c r="AG97" i="29"/>
  <c r="O690" i="109"/>
  <c r="BC9" i="29"/>
  <c r="U9" i="29"/>
  <c r="V53" i="29"/>
  <c r="AF96" i="29"/>
  <c r="AD96" i="29"/>
  <c r="O31" i="109"/>
  <c r="W9" i="29"/>
  <c r="V9" i="29"/>
  <c r="AB9" i="29"/>
  <c r="S53" i="29"/>
  <c r="T9" i="29"/>
  <c r="AJ45" i="29"/>
  <c r="F7" i="59"/>
  <c r="AB53" i="29"/>
  <c r="BL75" i="29"/>
  <c r="BL32" i="29"/>
  <c r="T11" i="29"/>
  <c r="T15" i="29"/>
  <c r="T40" i="29"/>
  <c r="T90" i="29"/>
  <c r="AB11" i="29"/>
  <c r="AB15" i="29"/>
  <c r="AB40" i="29"/>
  <c r="V11" i="29"/>
  <c r="V15" i="29"/>
  <c r="V40" i="29"/>
  <c r="W11" i="29"/>
  <c r="W15" i="29"/>
  <c r="W40" i="29"/>
  <c r="O756" i="109"/>
  <c r="U11" i="29"/>
  <c r="U15" i="29"/>
  <c r="BC11" i="29"/>
  <c r="BF9" i="29"/>
  <c r="F914" i="109" a="1"/>
  <c r="F914" i="109"/>
  <c r="F1223" i="109"/>
  <c r="F913" i="109" a="1"/>
  <c r="F913" i="109"/>
  <c r="F1222" i="109"/>
  <c r="F1188" i="109"/>
  <c r="F912" i="109" a="1"/>
  <c r="F912" i="109"/>
  <c r="F1221" i="109"/>
  <c r="F909" i="109"/>
  <c r="F1160" i="109"/>
  <c r="H1021" i="109"/>
  <c r="H902" i="109"/>
  <c r="H1190" i="109"/>
  <c r="H906" i="109"/>
  <c r="H1195" i="109"/>
  <c r="H1025" i="109"/>
  <c r="J901" i="109"/>
  <c r="J1189" i="109"/>
  <c r="J1020" i="109"/>
  <c r="J1023" i="109"/>
  <c r="J904" i="109"/>
  <c r="J1192" i="109"/>
  <c r="O1049" i="109"/>
  <c r="H908" i="109"/>
  <c r="H1196" i="109"/>
  <c r="H1167" i="109"/>
  <c r="H1027" i="109"/>
  <c r="F1164" i="109"/>
  <c r="F1162" i="109"/>
  <c r="F1163" i="109"/>
  <c r="F1196" i="109"/>
  <c r="F1028" i="109"/>
  <c r="F1054" i="109"/>
  <c r="F1241" i="109"/>
  <c r="F1216" i="109"/>
  <c r="H1022" i="109"/>
  <c r="H903" i="109"/>
  <c r="H1191" i="109"/>
  <c r="H1024" i="109"/>
  <c r="H905" i="109"/>
  <c r="H1193" i="109"/>
  <c r="F1161" i="109"/>
  <c r="J902" i="109"/>
  <c r="J1190" i="109"/>
  <c r="J1021" i="109"/>
  <c r="J906" i="109"/>
  <c r="J1195" i="109"/>
  <c r="J1025" i="109"/>
  <c r="J789" i="109"/>
  <c r="J900" i="109"/>
  <c r="J1188" i="109"/>
  <c r="J1019" i="109"/>
  <c r="J1054" i="109"/>
  <c r="J1241" i="109"/>
  <c r="H895" i="109"/>
  <c r="O1047" i="109"/>
  <c r="O1044" i="109"/>
  <c r="J1173" i="109"/>
  <c r="J1183" i="109"/>
  <c r="J977" i="109" a="1"/>
  <c r="J977" i="109"/>
  <c r="J1214" i="109"/>
  <c r="J973" i="109"/>
  <c r="J978" i="109" a="1"/>
  <c r="J978" i="109"/>
  <c r="J1215" i="109"/>
  <c r="J976" i="109" a="1"/>
  <c r="J976" i="109"/>
  <c r="J1213" i="109"/>
  <c r="H901" i="109"/>
  <c r="H1189" i="109"/>
  <c r="H1020" i="109"/>
  <c r="H1023" i="109"/>
  <c r="H904" i="109"/>
  <c r="H1192" i="109"/>
  <c r="H1019" i="109"/>
  <c r="H789" i="109"/>
  <c r="H1173" i="109"/>
  <c r="H1183" i="109"/>
  <c r="H977" i="109" a="1"/>
  <c r="H977" i="109"/>
  <c r="H1214" i="109"/>
  <c r="H978" i="109" a="1"/>
  <c r="H978" i="109"/>
  <c r="H1215" i="109"/>
  <c r="H976" i="109" a="1"/>
  <c r="H976" i="109"/>
  <c r="H1213" i="109"/>
  <c r="H973" i="109"/>
  <c r="F1166" i="109"/>
  <c r="J908" i="109"/>
  <c r="J1196" i="109"/>
  <c r="J1027" i="109"/>
  <c r="J905" i="109"/>
  <c r="J1193" i="109"/>
  <c r="J1024" i="109"/>
  <c r="J1022" i="109"/>
  <c r="J903" i="109"/>
  <c r="J1191" i="109"/>
  <c r="AJ46" i="29"/>
  <c r="AK45" i="29"/>
  <c r="BL65" i="29"/>
  <c r="G1167" i="109"/>
  <c r="F13" i="59"/>
  <c r="L1044" i="109"/>
  <c r="G1206" i="109"/>
  <c r="J895" i="109"/>
  <c r="G1205" i="109"/>
  <c r="G1224" i="109"/>
  <c r="BF76" i="29"/>
  <c r="BL76" i="29"/>
  <c r="AV84" i="29"/>
  <c r="AV109" i="29"/>
  <c r="BF68" i="29"/>
  <c r="BL68" i="29"/>
  <c r="AW84" i="29"/>
  <c r="AW109" i="29"/>
  <c r="L1151" i="109"/>
  <c r="L1051" i="109"/>
  <c r="G1159" i="109"/>
  <c r="G1197" i="109"/>
  <c r="G1207" i="109"/>
  <c r="AB55" i="29"/>
  <c r="AB70" i="29"/>
  <c r="K1161" i="109"/>
  <c r="K1028" i="109"/>
  <c r="AF99" i="29"/>
  <c r="AF106" i="29"/>
  <c r="AF109" i="29"/>
  <c r="AF97" i="29"/>
  <c r="N768" i="109"/>
  <c r="N767" i="109"/>
  <c r="N772" i="109"/>
  <c r="N773" i="109"/>
  <c r="N771" i="109"/>
  <c r="N766" i="109"/>
  <c r="N763" i="109"/>
  <c r="N774" i="109"/>
  <c r="N770" i="109"/>
  <c r="N764" i="109"/>
  <c r="N775" i="109"/>
  <c r="N769" i="109"/>
  <c r="N765" i="109"/>
  <c r="H912" i="109" a="1"/>
  <c r="H912" i="109"/>
  <c r="H1221" i="109"/>
  <c r="H909" i="109"/>
  <c r="H913" i="109" a="1"/>
  <c r="H913" i="109"/>
  <c r="H1222" i="109"/>
  <c r="H1188" i="109"/>
  <c r="H914" i="109" a="1"/>
  <c r="H914" i="109"/>
  <c r="H1223" i="109"/>
  <c r="M855" i="109" a="1"/>
  <c r="M855" i="109"/>
  <c r="M857" i="109" a="1"/>
  <c r="M857" i="109"/>
  <c r="M1031" i="109" a="1"/>
  <c r="M1031" i="109"/>
  <c r="M1034" i="109" a="1"/>
  <c r="M1034" i="109"/>
  <c r="M1036" i="109" a="1"/>
  <c r="M1036" i="109"/>
  <c r="M1048" i="109"/>
  <c r="M846" i="109"/>
  <c r="M850" i="109" a="1"/>
  <c r="M850" i="109"/>
  <c r="M858" i="109" a="1"/>
  <c r="M858" i="109"/>
  <c r="M1032" i="109" a="1"/>
  <c r="M1032" i="109"/>
  <c r="M1039" i="109" a="1"/>
  <c r="M1039" i="109"/>
  <c r="M851" i="109" a="1"/>
  <c r="M851" i="109"/>
  <c r="M854" i="109" a="1"/>
  <c r="M854" i="109"/>
  <c r="M1033" i="109" a="1"/>
  <c r="M1033" i="109"/>
  <c r="M1035" i="109" a="1"/>
  <c r="M1035" i="109"/>
  <c r="M1038" i="109" a="1"/>
  <c r="M1038" i="109"/>
  <c r="M852" i="109" a="1"/>
  <c r="M852" i="109"/>
  <c r="M856" i="109" a="1"/>
  <c r="M856" i="109"/>
  <c r="M853" i="109" a="1"/>
  <c r="M853" i="109"/>
  <c r="M1037" i="109" a="1"/>
  <c r="M1037" i="109"/>
  <c r="M703" i="109"/>
  <c r="M1127" i="109"/>
  <c r="M1132" i="109"/>
  <c r="M1137" i="109"/>
  <c r="M1007" i="109" a="1"/>
  <c r="M1007" i="109"/>
  <c r="M1009" i="109" a="1"/>
  <c r="M1009" i="109"/>
  <c r="M1013" i="109" a="1"/>
  <c r="M1013" i="109"/>
  <c r="M1010" i="109" a="1"/>
  <c r="M1010" i="109"/>
  <c r="M1014" i="109" a="1"/>
  <c r="M1014" i="109"/>
  <c r="M1004" i="109"/>
  <c r="M1008" i="109" a="1"/>
  <c r="M1008" i="109"/>
  <c r="M1011" i="109" a="1"/>
  <c r="M1011" i="109"/>
  <c r="M1015" i="109" a="1"/>
  <c r="M1015" i="109"/>
  <c r="M1012" i="109" a="1"/>
  <c r="M1012" i="109"/>
  <c r="K1166" i="109"/>
  <c r="K1160" i="109"/>
  <c r="K1054" i="109"/>
  <c r="K1241" i="109"/>
  <c r="L1023" i="109"/>
  <c r="L1025" i="109"/>
  <c r="L1027" i="109"/>
  <c r="L1020" i="109"/>
  <c r="I1167" i="109"/>
  <c r="O685" i="109"/>
  <c r="O1045" i="109"/>
  <c r="L1088" i="109"/>
  <c r="L1242" i="109"/>
  <c r="L1086" i="109"/>
  <c r="N838" i="109"/>
  <c r="N843" i="109"/>
  <c r="N840" i="109"/>
  <c r="N833" i="109"/>
  <c r="N844" i="109"/>
  <c r="N835" i="109"/>
  <c r="N845" i="109"/>
  <c r="N839" i="109"/>
  <c r="N837" i="109"/>
  <c r="N842" i="109"/>
  <c r="N834" i="109"/>
  <c r="N836" i="109"/>
  <c r="N841" i="109"/>
  <c r="N991" i="109"/>
  <c r="N995" i="109"/>
  <c r="N999" i="109"/>
  <c r="N1003" i="109"/>
  <c r="N994" i="109"/>
  <c r="N998" i="109"/>
  <c r="N1002" i="109"/>
  <c r="N993" i="109"/>
  <c r="N997" i="109"/>
  <c r="N1001" i="109"/>
  <c r="N992" i="109"/>
  <c r="N996" i="109"/>
  <c r="N1000" i="109"/>
  <c r="M1079" i="109" a="1"/>
  <c r="M1079" i="109"/>
  <c r="M1081" i="109" a="1"/>
  <c r="M1081" i="109"/>
  <c r="M1080" i="109" a="1"/>
  <c r="M1080" i="109"/>
  <c r="M1085" i="109" a="1"/>
  <c r="M1085" i="109"/>
  <c r="M1077" i="109" a="1"/>
  <c r="M1077" i="109"/>
  <c r="M1083" i="109" a="1"/>
  <c r="M1083" i="109"/>
  <c r="M1084" i="109" a="1"/>
  <c r="M1084" i="109"/>
  <c r="M1082" i="109" a="1"/>
  <c r="M1082" i="109"/>
  <c r="M1078" i="109" a="1"/>
  <c r="M1078" i="109"/>
  <c r="M1074" i="109"/>
  <c r="K907" i="109"/>
  <c r="K1196" i="109"/>
  <c r="H1145" i="109"/>
  <c r="H1147" i="109"/>
  <c r="H1143" i="109"/>
  <c r="J724" i="109"/>
  <c r="H732" i="109"/>
  <c r="I717" i="109"/>
  <c r="I716" i="109"/>
  <c r="I718" i="109"/>
  <c r="J719" i="109"/>
  <c r="O1088" i="109"/>
  <c r="O1242" i="109"/>
  <c r="O1086" i="109"/>
  <c r="L1134" i="109"/>
  <c r="L1043" i="109"/>
  <c r="L1040" i="109"/>
  <c r="L905" i="109"/>
  <c r="L1193" i="109"/>
  <c r="L1046" i="109"/>
  <c r="L859" i="109"/>
  <c r="L964" i="109" a="1"/>
  <c r="L964" i="109"/>
  <c r="L969" i="109" a="1"/>
  <c r="L969" i="109"/>
  <c r="L1178" i="109"/>
  <c r="L959" i="109"/>
  <c r="L970" i="109" a="1"/>
  <c r="L970" i="109"/>
  <c r="L1180" i="109"/>
  <c r="L968" i="109" a="1"/>
  <c r="L968" i="109"/>
  <c r="L1177" i="109"/>
  <c r="J914" i="109" a="1"/>
  <c r="J914" i="109"/>
  <c r="J1223" i="109"/>
  <c r="J1159" i="109"/>
  <c r="J909" i="109"/>
  <c r="M780" i="109" a="1"/>
  <c r="M780" i="109"/>
  <c r="M785" i="109" a="1"/>
  <c r="M785" i="109"/>
  <c r="M776" i="109"/>
  <c r="M781" i="109" a="1"/>
  <c r="M781" i="109"/>
  <c r="M783" i="109" a="1"/>
  <c r="M783" i="109"/>
  <c r="M788" i="109" a="1"/>
  <c r="M788" i="109"/>
  <c r="M784" i="109" a="1"/>
  <c r="M784" i="109"/>
  <c r="M786" i="109" a="1"/>
  <c r="M786" i="109"/>
  <c r="M787" i="109" a="1"/>
  <c r="M787" i="109"/>
  <c r="M782" i="109" a="1"/>
  <c r="M782" i="109"/>
  <c r="N1165" i="109"/>
  <c r="BL51" i="29"/>
  <c r="BD109" i="29"/>
  <c r="BF84" i="29"/>
  <c r="L789" i="109"/>
  <c r="L900" i="109"/>
  <c r="M1150" i="109"/>
  <c r="M1152" i="109"/>
  <c r="M1151" i="109"/>
  <c r="K1188" i="109"/>
  <c r="K1162" i="109"/>
  <c r="K1164" i="109"/>
  <c r="K1052" i="109"/>
  <c r="L1024" i="109"/>
  <c r="L1022" i="109"/>
  <c r="L1026" i="109"/>
  <c r="L1019" i="109"/>
  <c r="L1016" i="109"/>
  <c r="L1021" i="109"/>
  <c r="K978" i="109" a="1"/>
  <c r="K978" i="109"/>
  <c r="K1215" i="109"/>
  <c r="K977" i="109" a="1"/>
  <c r="K977" i="109"/>
  <c r="K1214" i="109"/>
  <c r="K1173" i="109"/>
  <c r="K1183" i="109"/>
  <c r="K976" i="109" a="1"/>
  <c r="K976" i="109"/>
  <c r="K1213" i="109"/>
  <c r="K973" i="109"/>
  <c r="I912" i="109" a="1"/>
  <c r="I912" i="109"/>
  <c r="I1221" i="109"/>
  <c r="I914" i="109" a="1"/>
  <c r="I914" i="109"/>
  <c r="I1223" i="109"/>
  <c r="I909" i="109"/>
  <c r="I913" i="109" a="1"/>
  <c r="I913" i="109"/>
  <c r="I1222" i="109"/>
  <c r="I1188" i="109"/>
  <c r="I895" i="109"/>
  <c r="O1016" i="109"/>
  <c r="O1050" i="109"/>
  <c r="O1046" i="109"/>
  <c r="O1040" i="109"/>
  <c r="O1043" i="109"/>
  <c r="O1048" i="109"/>
  <c r="O859" i="109"/>
  <c r="N681" i="109"/>
  <c r="N699" i="109"/>
  <c r="N708" i="109"/>
  <c r="N709" i="109"/>
  <c r="N1133" i="109"/>
  <c r="N1260" i="109"/>
  <c r="N1128" i="109"/>
  <c r="N1258" i="109"/>
  <c r="N1138" i="109"/>
  <c r="N1262" i="109"/>
  <c r="N1063" i="109"/>
  <c r="N1067" i="109"/>
  <c r="N1071" i="109"/>
  <c r="N1062" i="109"/>
  <c r="N1066" i="109"/>
  <c r="N1070" i="109"/>
  <c r="N1061" i="109"/>
  <c r="N1065" i="109"/>
  <c r="N1069" i="109"/>
  <c r="N1073" i="109"/>
  <c r="N1064" i="109"/>
  <c r="N1068" i="109"/>
  <c r="N1072" i="109"/>
  <c r="H734" i="109"/>
  <c r="J726" i="109"/>
  <c r="J725" i="109"/>
  <c r="H733" i="109"/>
  <c r="K1163" i="109"/>
  <c r="L1139" i="109"/>
  <c r="L1129" i="109"/>
  <c r="L908" i="109"/>
  <c r="L1196" i="109"/>
  <c r="L1047" i="109"/>
  <c r="L1048" i="109"/>
  <c r="L901" i="109"/>
  <c r="L1189" i="109"/>
  <c r="L902" i="109"/>
  <c r="L1190" i="109"/>
  <c r="L1045" i="109"/>
  <c r="L906" i="109"/>
  <c r="L1195" i="109"/>
  <c r="L971" i="109" a="1"/>
  <c r="L971" i="109"/>
  <c r="L1181" i="109"/>
  <c r="L967" i="109" a="1"/>
  <c r="L967" i="109"/>
  <c r="L1176" i="109"/>
  <c r="L965" i="109" a="1"/>
  <c r="L965" i="109"/>
  <c r="L1174" i="109"/>
  <c r="L972" i="109" a="1"/>
  <c r="L972" i="109"/>
  <c r="L1182" i="109"/>
  <c r="J912" i="109" a="1"/>
  <c r="J912" i="109"/>
  <c r="J1221" i="109"/>
  <c r="J913" i="109" a="1"/>
  <c r="J913" i="109"/>
  <c r="J1222" i="109"/>
  <c r="M956" i="109"/>
  <c r="M951" i="109"/>
  <c r="M952" i="109"/>
  <c r="O1194" i="109"/>
  <c r="O758" i="109"/>
  <c r="O763" i="109" a="1"/>
  <c r="V55" i="29"/>
  <c r="V84" i="29"/>
  <c r="S55" i="29"/>
  <c r="AK53" i="29"/>
  <c r="AD99" i="29"/>
  <c r="AD106" i="29"/>
  <c r="AD109" i="29"/>
  <c r="AD97" i="29"/>
  <c r="AJ84" i="29"/>
  <c r="AJ109" i="29"/>
  <c r="AK46" i="29"/>
  <c r="BL46" i="29"/>
  <c r="BQ9" i="29"/>
  <c r="BP9" i="29"/>
  <c r="BP53" i="29"/>
  <c r="AE96" i="29"/>
  <c r="BO53" i="29"/>
  <c r="BQ53" i="29"/>
  <c r="S9" i="29"/>
  <c r="G9" i="29"/>
  <c r="BI53" i="29"/>
  <c r="BO9" i="29"/>
  <c r="H1028" i="109"/>
  <c r="BO11" i="29"/>
  <c r="BO15" i="29"/>
  <c r="G11" i="29"/>
  <c r="Q9" i="29"/>
  <c r="S11" i="29"/>
  <c r="AK9" i="29"/>
  <c r="BP11" i="29"/>
  <c r="BP15" i="29"/>
  <c r="BP40" i="29"/>
  <c r="BQ11" i="29"/>
  <c r="BQ15" i="29"/>
  <c r="BQ40" i="29"/>
  <c r="J1197" i="109"/>
  <c r="J1167" i="109"/>
  <c r="M1049" i="109"/>
  <c r="H1164" i="109"/>
  <c r="F1205" i="109"/>
  <c r="F1224" i="109"/>
  <c r="O1052" i="109"/>
  <c r="J1164" i="109"/>
  <c r="H1216" i="109"/>
  <c r="J1028" i="109"/>
  <c r="J1166" i="109"/>
  <c r="F1167" i="109"/>
  <c r="H1166" i="109"/>
  <c r="F1159" i="109"/>
  <c r="F1197" i="109"/>
  <c r="H1054" i="109"/>
  <c r="H1241" i="109"/>
  <c r="J1162" i="109"/>
  <c r="H1160" i="109"/>
  <c r="H1162" i="109"/>
  <c r="J1160" i="109"/>
  <c r="H1161" i="109"/>
  <c r="F1206" i="109"/>
  <c r="BF11" i="29"/>
  <c r="BC15" i="29"/>
  <c r="U40" i="29"/>
  <c r="H1163" i="109"/>
  <c r="J1216" i="109"/>
  <c r="J1161" i="109"/>
  <c r="J1163" i="109"/>
  <c r="F1207" i="109"/>
  <c r="K912" i="109" a="1"/>
  <c r="K912" i="109"/>
  <c r="K1221" i="109"/>
  <c r="K909" i="109"/>
  <c r="K913" i="109" a="1"/>
  <c r="K913" i="109"/>
  <c r="K1222" i="109"/>
  <c r="N952" i="109"/>
  <c r="K914" i="109" a="1"/>
  <c r="K914" i="109"/>
  <c r="K1223" i="109"/>
  <c r="N956" i="109"/>
  <c r="G1208" i="109"/>
  <c r="M1045" i="109"/>
  <c r="M1050" i="109"/>
  <c r="G1168" i="109"/>
  <c r="M1047" i="109"/>
  <c r="M1051" i="109"/>
  <c r="BP55" i="29"/>
  <c r="BJ53" i="29"/>
  <c r="BI55" i="29"/>
  <c r="DH53" i="29"/>
  <c r="BO55" i="29"/>
  <c r="BQ55" i="29"/>
  <c r="K1216" i="109"/>
  <c r="AE99" i="29"/>
  <c r="AE106" i="29"/>
  <c r="AE109" i="29"/>
  <c r="AE97" i="29"/>
  <c r="L1167" i="109"/>
  <c r="O768" i="109"/>
  <c r="O951" i="109"/>
  <c r="O773" i="109"/>
  <c r="O956" i="109"/>
  <c r="O770" i="109"/>
  <c r="O767" i="109"/>
  <c r="O766" i="109"/>
  <c r="O774" i="109"/>
  <c r="O957" i="109"/>
  <c r="O775" i="109"/>
  <c r="O769" i="109"/>
  <c r="O952" i="109"/>
  <c r="O771" i="109"/>
  <c r="O763" i="109"/>
  <c r="O772" i="109"/>
  <c r="O765" i="109"/>
  <c r="O764" i="109"/>
  <c r="M972" i="109" a="1"/>
  <c r="M972" i="109"/>
  <c r="M1182" i="109"/>
  <c r="M971" i="109" a="1"/>
  <c r="M971" i="109"/>
  <c r="M1181" i="109"/>
  <c r="M965" i="109" a="1"/>
  <c r="M965" i="109"/>
  <c r="M1174" i="109"/>
  <c r="M959" i="109"/>
  <c r="M967" i="109" a="1"/>
  <c r="M967" i="109"/>
  <c r="M1176" i="109"/>
  <c r="M964" i="109" a="1"/>
  <c r="M964" i="109"/>
  <c r="M966" i="109" a="1"/>
  <c r="M966" i="109"/>
  <c r="M1175" i="109"/>
  <c r="M969" i="109" a="1"/>
  <c r="M969" i="109"/>
  <c r="M1178" i="109"/>
  <c r="M970" i="109" a="1"/>
  <c r="M970" i="109"/>
  <c r="M1180" i="109"/>
  <c r="M968" i="109" a="1"/>
  <c r="M968" i="109"/>
  <c r="M1177" i="109"/>
  <c r="J1206" i="109"/>
  <c r="L1160" i="109"/>
  <c r="N703" i="109"/>
  <c r="N1137" i="109"/>
  <c r="N1132" i="109"/>
  <c r="N1127" i="109"/>
  <c r="I1159" i="109"/>
  <c r="I1197" i="109"/>
  <c r="I1224" i="109"/>
  <c r="I1205" i="109"/>
  <c r="L1054" i="109"/>
  <c r="L1241" i="109"/>
  <c r="L1028" i="109"/>
  <c r="K1207" i="109"/>
  <c r="K1206" i="109"/>
  <c r="L914" i="109" a="1"/>
  <c r="L914" i="109"/>
  <c r="L1223" i="109"/>
  <c r="L913" i="109" a="1"/>
  <c r="L913" i="109"/>
  <c r="L1222" i="109"/>
  <c r="L1188" i="109"/>
  <c r="L909" i="109"/>
  <c r="L912" i="109" a="1"/>
  <c r="L912" i="109"/>
  <c r="L1221" i="109"/>
  <c r="M789" i="109"/>
  <c r="M900" i="109"/>
  <c r="J1168" i="109"/>
  <c r="J1207" i="109"/>
  <c r="L1164" i="109"/>
  <c r="L1052" i="109"/>
  <c r="K726" i="109"/>
  <c r="I734" i="109"/>
  <c r="K725" i="109"/>
  <c r="I733" i="109"/>
  <c r="J727" i="109"/>
  <c r="K1167" i="109"/>
  <c r="M1088" i="109"/>
  <c r="M1242" i="109"/>
  <c r="M1086" i="109"/>
  <c r="M1024" i="109"/>
  <c r="M1023" i="109"/>
  <c r="M1022" i="109"/>
  <c r="M1021" i="109"/>
  <c r="M1139" i="109"/>
  <c r="M1129" i="109"/>
  <c r="M906" i="109"/>
  <c r="M1195" i="109"/>
  <c r="M901" i="109"/>
  <c r="M1189" i="109"/>
  <c r="M1044" i="109"/>
  <c r="M859" i="109"/>
  <c r="M1040" i="109"/>
  <c r="M1043" i="109"/>
  <c r="M905" i="109"/>
  <c r="M1193" i="109"/>
  <c r="H1207" i="109"/>
  <c r="H1206" i="109"/>
  <c r="H1205" i="109"/>
  <c r="H1224" i="109"/>
  <c r="O709" i="109"/>
  <c r="N780" i="109" a="1"/>
  <c r="N780" i="109"/>
  <c r="N783" i="109" a="1"/>
  <c r="N783" i="109"/>
  <c r="N785" i="109" a="1"/>
  <c r="N785" i="109"/>
  <c r="N786" i="109" a="1"/>
  <c r="N786" i="109"/>
  <c r="N787" i="109" a="1"/>
  <c r="N787" i="109"/>
  <c r="N788" i="109" a="1"/>
  <c r="N788" i="109"/>
  <c r="N784" i="109" a="1"/>
  <c r="N784" i="109"/>
  <c r="N776" i="109"/>
  <c r="N781" i="109" a="1"/>
  <c r="N781" i="109"/>
  <c r="N782" i="109" a="1"/>
  <c r="N782" i="109"/>
  <c r="N951" i="109"/>
  <c r="O1165" i="109"/>
  <c r="J1205" i="109"/>
  <c r="J1224" i="109"/>
  <c r="L1166" i="109"/>
  <c r="L1161" i="109"/>
  <c r="N1078" i="109" a="1"/>
  <c r="N1078" i="109"/>
  <c r="N1084" i="109" a="1"/>
  <c r="N1084" i="109"/>
  <c r="N1085" i="109" a="1"/>
  <c r="N1085" i="109"/>
  <c r="N1083" i="109" a="1"/>
  <c r="N1083" i="109"/>
  <c r="N1074" i="109"/>
  <c r="N1080" i="109" a="1"/>
  <c r="N1080" i="109"/>
  <c r="N1082" i="109" a="1"/>
  <c r="N1082" i="109"/>
  <c r="N1081" i="109" a="1"/>
  <c r="N1081" i="109"/>
  <c r="N1079" i="109" a="1"/>
  <c r="N1079" i="109"/>
  <c r="N1077" i="109" a="1"/>
  <c r="N1077" i="109"/>
  <c r="N1152" i="109"/>
  <c r="N1150" i="109"/>
  <c r="O699" i="109"/>
  <c r="N685" i="109"/>
  <c r="I1206" i="109"/>
  <c r="I1207" i="109"/>
  <c r="K1224" i="109"/>
  <c r="K1205" i="109"/>
  <c r="K1208" i="109"/>
  <c r="K1197" i="109"/>
  <c r="K1159" i="109"/>
  <c r="L976" i="109" a="1"/>
  <c r="L976" i="109"/>
  <c r="L1213" i="109"/>
  <c r="L978" i="109" a="1"/>
  <c r="L978" i="109"/>
  <c r="L1215" i="109"/>
  <c r="L1173" i="109"/>
  <c r="L1183" i="109"/>
  <c r="L977" i="109" a="1"/>
  <c r="L977" i="109"/>
  <c r="L1214" i="109"/>
  <c r="L973" i="109"/>
  <c r="J718" i="109"/>
  <c r="K719" i="109"/>
  <c r="J716" i="109"/>
  <c r="J717" i="109"/>
  <c r="K724" i="109"/>
  <c r="K727" i="109"/>
  <c r="I1147" i="109"/>
  <c r="I1143" i="109"/>
  <c r="I732" i="109"/>
  <c r="I1145" i="109"/>
  <c r="H1146" i="109"/>
  <c r="H1261" i="109"/>
  <c r="H1142" i="109"/>
  <c r="H1257" i="109"/>
  <c r="H735" i="109"/>
  <c r="H1144" i="109"/>
  <c r="H1259" i="109"/>
  <c r="N1010" i="109" a="1"/>
  <c r="N1010" i="109"/>
  <c r="N1014" i="109" a="1"/>
  <c r="N1014" i="109"/>
  <c r="N1007" i="109" a="1"/>
  <c r="N1007" i="109"/>
  <c r="N1009" i="109" a="1"/>
  <c r="N1009" i="109"/>
  <c r="N1013" i="109" a="1"/>
  <c r="N1013" i="109"/>
  <c r="N1012" i="109" a="1"/>
  <c r="N1012" i="109"/>
  <c r="N1004" i="109"/>
  <c r="N1008" i="109" a="1"/>
  <c r="N1008" i="109"/>
  <c r="N1011" i="109" a="1"/>
  <c r="N1011" i="109"/>
  <c r="N1015" i="109" a="1"/>
  <c r="N1015" i="109"/>
  <c r="N855" i="109" a="1"/>
  <c r="N855" i="109"/>
  <c r="N905" i="109"/>
  <c r="N1193" i="109"/>
  <c r="N1031" i="109" a="1"/>
  <c r="N1031" i="109"/>
  <c r="N1037" i="109" a="1"/>
  <c r="N1037" i="109"/>
  <c r="N846" i="109"/>
  <c r="N856" i="109" a="1"/>
  <c r="N856" i="109"/>
  <c r="N851" i="109" a="1"/>
  <c r="N851" i="109"/>
  <c r="N853" i="109" a="1"/>
  <c r="N853" i="109"/>
  <c r="N1034" i="109" a="1"/>
  <c r="N1034" i="109"/>
  <c r="N1036" i="109" a="1"/>
  <c r="N1036" i="109"/>
  <c r="N1048" i="109"/>
  <c r="N850" i="109" a="1"/>
  <c r="N850" i="109"/>
  <c r="N858" i="109" a="1"/>
  <c r="N858" i="109"/>
  <c r="N1033" i="109" a="1"/>
  <c r="N1033" i="109"/>
  <c r="N1039" i="109" a="1"/>
  <c r="N1039" i="109"/>
  <c r="N1051" i="109"/>
  <c r="N852" i="109" a="1"/>
  <c r="N852" i="109"/>
  <c r="N857" i="109" a="1"/>
  <c r="N857" i="109"/>
  <c r="N907" i="109"/>
  <c r="N854" i="109" a="1"/>
  <c r="N854" i="109"/>
  <c r="N1032" i="109" a="1"/>
  <c r="N1032" i="109"/>
  <c r="N1044" i="109"/>
  <c r="N1035" i="109" a="1"/>
  <c r="N1035" i="109"/>
  <c r="N1038" i="109" a="1"/>
  <c r="N1038" i="109"/>
  <c r="N1050" i="109"/>
  <c r="M1027" i="109"/>
  <c r="M1020" i="109"/>
  <c r="M1026" i="109"/>
  <c r="M1025" i="109"/>
  <c r="M1019" i="109"/>
  <c r="M1016" i="109"/>
  <c r="M1134" i="109"/>
  <c r="M903" i="109"/>
  <c r="M1191" i="109"/>
  <c r="M902" i="109"/>
  <c r="M1190" i="109"/>
  <c r="M904" i="109"/>
  <c r="M1192" i="109"/>
  <c r="M908" i="109"/>
  <c r="M1046" i="109"/>
  <c r="M907" i="109"/>
  <c r="L1162" i="109"/>
  <c r="L1163" i="109"/>
  <c r="H1159" i="109"/>
  <c r="H1197" i="109"/>
  <c r="N957" i="109"/>
  <c r="AK55" i="29"/>
  <c r="S84" i="29"/>
  <c r="DH55" i="29"/>
  <c r="BL53" i="29"/>
  <c r="V95" i="29"/>
  <c r="BJ55" i="29"/>
  <c r="V96" i="29"/>
  <c r="BF15" i="29"/>
  <c r="BC40" i="29"/>
  <c r="F1208" i="109"/>
  <c r="BL9" i="29"/>
  <c r="F1168" i="109"/>
  <c r="Q11" i="29"/>
  <c r="G15" i="29"/>
  <c r="S15" i="29"/>
  <c r="AK11" i="29"/>
  <c r="DH15" i="29"/>
  <c r="BO40" i="29"/>
  <c r="DH40" i="29"/>
  <c r="N1023" i="109"/>
  <c r="M1196" i="109"/>
  <c r="N1047" i="109"/>
  <c r="N1151" i="109"/>
  <c r="N902" i="109"/>
  <c r="N1190" i="109"/>
  <c r="N1027" i="109"/>
  <c r="N1021" i="109"/>
  <c r="N904" i="109"/>
  <c r="N1192" i="109"/>
  <c r="N901" i="109"/>
  <c r="N1189" i="109"/>
  <c r="N1020" i="109"/>
  <c r="N1024" i="109"/>
  <c r="N1026" i="109"/>
  <c r="N908" i="109"/>
  <c r="N1196" i="109"/>
  <c r="N903" i="109"/>
  <c r="N1191" i="109"/>
  <c r="N906" i="109"/>
  <c r="N1195" i="109"/>
  <c r="N1025" i="109"/>
  <c r="N1022" i="109"/>
  <c r="J1208" i="109"/>
  <c r="H1208" i="109"/>
  <c r="M1167" i="109"/>
  <c r="M1161" i="109"/>
  <c r="N1045" i="109"/>
  <c r="N859" i="109"/>
  <c r="N1046" i="109"/>
  <c r="N1040" i="109"/>
  <c r="N1043" i="109"/>
  <c r="J732" i="109"/>
  <c r="L724" i="109"/>
  <c r="J1143" i="109"/>
  <c r="J1145" i="109"/>
  <c r="J1147" i="109"/>
  <c r="J734" i="109"/>
  <c r="L726" i="109"/>
  <c r="L1216" i="109"/>
  <c r="N1086" i="109"/>
  <c r="N1088" i="109"/>
  <c r="N1242" i="109"/>
  <c r="N971" i="109" a="1"/>
  <c r="N971" i="109"/>
  <c r="N1181" i="109"/>
  <c r="N969" i="109" a="1"/>
  <c r="N969" i="109"/>
  <c r="N1178" i="109"/>
  <c r="N1164" i="109"/>
  <c r="N959" i="109"/>
  <c r="N967" i="109" a="1"/>
  <c r="N967" i="109"/>
  <c r="N1176" i="109"/>
  <c r="N966" i="109" a="1"/>
  <c r="N966" i="109"/>
  <c r="N1175" i="109"/>
  <c r="N964" i="109" a="1"/>
  <c r="N964" i="109"/>
  <c r="N968" i="109" a="1"/>
  <c r="N968" i="109"/>
  <c r="N1177" i="109"/>
  <c r="N970" i="109" a="1"/>
  <c r="N970" i="109"/>
  <c r="N1180" i="109"/>
  <c r="N965" i="109" a="1"/>
  <c r="N965" i="109"/>
  <c r="N1174" i="109"/>
  <c r="N972" i="109" a="1"/>
  <c r="N972" i="109"/>
  <c r="N1182" i="109"/>
  <c r="N789" i="109"/>
  <c r="N900" i="109"/>
  <c r="M1164" i="109"/>
  <c r="L1206" i="109"/>
  <c r="I1208" i="109"/>
  <c r="N1129" i="109"/>
  <c r="N1139" i="109"/>
  <c r="M1166" i="109"/>
  <c r="M1162" i="109"/>
  <c r="O971" i="109" a="1"/>
  <c r="O971" i="109"/>
  <c r="O1181" i="109"/>
  <c r="O972" i="109" a="1"/>
  <c r="O972" i="109"/>
  <c r="O1182" i="109"/>
  <c r="O970" i="109" a="1"/>
  <c r="O970" i="109"/>
  <c r="O1180" i="109"/>
  <c r="O969" i="109" a="1"/>
  <c r="O969" i="109"/>
  <c r="O1178" i="109"/>
  <c r="O959" i="109"/>
  <c r="O968" i="109" a="1"/>
  <c r="O968" i="109"/>
  <c r="O1177" i="109"/>
  <c r="O964" i="109" a="1"/>
  <c r="O964" i="109"/>
  <c r="O965" i="109" a="1"/>
  <c r="O965" i="109"/>
  <c r="O1174" i="109"/>
  <c r="O966" i="109" a="1"/>
  <c r="O966" i="109"/>
  <c r="O1175" i="109"/>
  <c r="O967" i="109" a="1"/>
  <c r="O967" i="109"/>
  <c r="O1176" i="109"/>
  <c r="H1168" i="109"/>
  <c r="M1163" i="109"/>
  <c r="M1054" i="109"/>
  <c r="M1241" i="109"/>
  <c r="M1028" i="109"/>
  <c r="N1049" i="109"/>
  <c r="N1016" i="109"/>
  <c r="N1019" i="109"/>
  <c r="I1146" i="109"/>
  <c r="I1261" i="109"/>
  <c r="I735" i="109"/>
  <c r="I1142" i="109"/>
  <c r="I1257" i="109"/>
  <c r="I1144" i="109"/>
  <c r="I1259" i="109"/>
  <c r="J733" i="109"/>
  <c r="L725" i="109"/>
  <c r="K718" i="109"/>
  <c r="K717" i="109"/>
  <c r="K716" i="109"/>
  <c r="L719" i="109"/>
  <c r="K1168" i="109"/>
  <c r="O1137" i="109"/>
  <c r="O1127" i="109"/>
  <c r="O703" i="109"/>
  <c r="O1132" i="109"/>
  <c r="O1150" i="109"/>
  <c r="O1152" i="109"/>
  <c r="M1052" i="109"/>
  <c r="M1160" i="109"/>
  <c r="M1188" i="109"/>
  <c r="M912" i="109" a="1"/>
  <c r="M912" i="109"/>
  <c r="M1221" i="109"/>
  <c r="M914" i="109" a="1"/>
  <c r="M914" i="109"/>
  <c r="M1223" i="109"/>
  <c r="M909" i="109"/>
  <c r="M913" i="109" a="1"/>
  <c r="M913" i="109"/>
  <c r="M1222" i="109"/>
  <c r="L1224" i="109"/>
  <c r="L1205" i="109"/>
  <c r="L1159" i="109"/>
  <c r="L1197" i="109"/>
  <c r="L1207" i="109"/>
  <c r="I1168" i="109"/>
  <c r="N1134" i="109"/>
  <c r="M976" i="109" a="1"/>
  <c r="M976" i="109"/>
  <c r="M1213" i="109"/>
  <c r="M1173" i="109"/>
  <c r="M1183" i="109"/>
  <c r="M973" i="109"/>
  <c r="M977" i="109" a="1"/>
  <c r="M977" i="109"/>
  <c r="M1214" i="109"/>
  <c r="M978" i="109" a="1"/>
  <c r="M978" i="109"/>
  <c r="M1215" i="109"/>
  <c r="O780" i="109" a="1"/>
  <c r="O780" i="109"/>
  <c r="O788" i="109" a="1"/>
  <c r="O788" i="109"/>
  <c r="O787" i="109" a="1"/>
  <c r="O787" i="109"/>
  <c r="O781" i="109" a="1"/>
  <c r="O781" i="109"/>
  <c r="O785" i="109" a="1"/>
  <c r="O785" i="109"/>
  <c r="O784" i="109" a="1"/>
  <c r="O784" i="109"/>
  <c r="O782" i="109" a="1"/>
  <c r="O782" i="109"/>
  <c r="O783" i="109" a="1"/>
  <c r="O783" i="109"/>
  <c r="O786" i="109" a="1"/>
  <c r="O786" i="109"/>
  <c r="O776" i="109"/>
  <c r="BL55" i="29"/>
  <c r="V97" i="29"/>
  <c r="T71" i="29"/>
  <c r="W96" i="29"/>
  <c r="AB71" i="29"/>
  <c r="Q15" i="29"/>
  <c r="G40" i="29"/>
  <c r="G109" i="29"/>
  <c r="BF40" i="29"/>
  <c r="BC109" i="29"/>
  <c r="O1151" i="109"/>
  <c r="BL11" i="29"/>
  <c r="S40" i="29"/>
  <c r="AK15" i="29"/>
  <c r="N1166" i="109"/>
  <c r="L1208" i="109"/>
  <c r="O906" i="109"/>
  <c r="O1195" i="109"/>
  <c r="O1025" i="109"/>
  <c r="O902" i="109"/>
  <c r="O1190" i="109"/>
  <c r="O1021" i="109"/>
  <c r="O905" i="109"/>
  <c r="O1193" i="109"/>
  <c r="O1164" i="109"/>
  <c r="O1024" i="109"/>
  <c r="O907" i="109"/>
  <c r="O1026" i="109"/>
  <c r="O789" i="109"/>
  <c r="O900" i="109"/>
  <c r="O1019" i="109"/>
  <c r="M1224" i="109"/>
  <c r="M1205" i="109"/>
  <c r="O1139" i="109"/>
  <c r="K1143" i="109"/>
  <c r="M724" i="109"/>
  <c r="K1147" i="109"/>
  <c r="K732" i="109"/>
  <c r="K1145" i="109"/>
  <c r="K734" i="109"/>
  <c r="M726" i="109"/>
  <c r="N1188" i="109"/>
  <c r="N914" i="109" a="1"/>
  <c r="N914" i="109"/>
  <c r="N1223" i="109"/>
  <c r="N913" i="109" a="1"/>
  <c r="N913" i="109"/>
  <c r="N1222" i="109"/>
  <c r="N912" i="109" a="1"/>
  <c r="N912" i="109"/>
  <c r="N1221" i="109"/>
  <c r="N909" i="109"/>
  <c r="N976" i="109" a="1"/>
  <c r="N976" i="109"/>
  <c r="N1213" i="109"/>
  <c r="N1173" i="109"/>
  <c r="N1183" i="109"/>
  <c r="N973" i="109"/>
  <c r="N977" i="109" a="1"/>
  <c r="N977" i="109"/>
  <c r="N1214" i="109"/>
  <c r="N978" i="109" a="1"/>
  <c r="N978" i="109"/>
  <c r="N1215" i="109"/>
  <c r="N1162" i="109"/>
  <c r="L727" i="109"/>
  <c r="N1052" i="109"/>
  <c r="O903" i="109"/>
  <c r="O1191" i="109"/>
  <c r="O1022" i="109"/>
  <c r="O904" i="109"/>
  <c r="O1192" i="109"/>
  <c r="O1023" i="109"/>
  <c r="O901" i="109"/>
  <c r="O1189" i="109"/>
  <c r="O1020" i="109"/>
  <c r="O908" i="109"/>
  <c r="O1027" i="109"/>
  <c r="M1216" i="109"/>
  <c r="L1168" i="109"/>
  <c r="M1206" i="109"/>
  <c r="M1207" i="109"/>
  <c r="M1159" i="109"/>
  <c r="M1197" i="109"/>
  <c r="O1134" i="109"/>
  <c r="O1129" i="109"/>
  <c r="L718" i="109"/>
  <c r="L717" i="109"/>
  <c r="L716" i="109"/>
  <c r="M719" i="109"/>
  <c r="K733" i="109"/>
  <c r="M725" i="109"/>
  <c r="N1054" i="109"/>
  <c r="N1241" i="109"/>
  <c r="N1028" i="109"/>
  <c r="O976" i="109" a="1"/>
  <c r="O976" i="109"/>
  <c r="O1213" i="109"/>
  <c r="O978" i="109" a="1"/>
  <c r="O978" i="109"/>
  <c r="O1215" i="109"/>
  <c r="O973" i="109"/>
  <c r="O977" i="109" a="1"/>
  <c r="O977" i="109"/>
  <c r="O1214" i="109"/>
  <c r="O1173" i="109"/>
  <c r="O1183" i="109"/>
  <c r="O1166" i="109"/>
  <c r="N1160" i="109"/>
  <c r="N1163" i="109"/>
  <c r="N1161" i="109"/>
  <c r="N1167" i="109"/>
  <c r="J735" i="109"/>
  <c r="J1144" i="109"/>
  <c r="J1259" i="109"/>
  <c r="J1142" i="109"/>
  <c r="J1257" i="109"/>
  <c r="J1146" i="109"/>
  <c r="J1261" i="109"/>
  <c r="AB72" i="29"/>
  <c r="AB84" i="29"/>
  <c r="AB109" i="29"/>
  <c r="T72" i="29"/>
  <c r="AK71" i="29"/>
  <c r="V98" i="29"/>
  <c r="BH96" i="29"/>
  <c r="F15" i="59"/>
  <c r="BH71" i="29"/>
  <c r="U96" i="29"/>
  <c r="F18" i="59"/>
  <c r="S90" i="29"/>
  <c r="S109" i="29"/>
  <c r="AK40" i="29"/>
  <c r="S101" i="29"/>
  <c r="S74" i="29"/>
  <c r="Q109" i="29"/>
  <c r="Q40" i="29"/>
  <c r="BL15" i="29"/>
  <c r="BH99" i="29"/>
  <c r="BJ99" i="29"/>
  <c r="BJ96" i="29"/>
  <c r="AK96" i="29"/>
  <c r="O1216" i="109"/>
  <c r="L1145" i="109"/>
  <c r="N724" i="109"/>
  <c r="L1143" i="109"/>
  <c r="L732" i="109"/>
  <c r="L1147" i="109"/>
  <c r="N726" i="109"/>
  <c r="L734" i="109"/>
  <c r="M1168" i="109"/>
  <c r="N1216" i="109"/>
  <c r="N1224" i="109"/>
  <c r="N1205" i="109"/>
  <c r="N1207" i="109"/>
  <c r="M1208" i="109"/>
  <c r="O1028" i="109"/>
  <c r="O1054" i="109"/>
  <c r="O1241" i="109"/>
  <c r="O1196" i="109"/>
  <c r="O1161" i="109"/>
  <c r="N719" i="109"/>
  <c r="M716" i="109"/>
  <c r="M717" i="109"/>
  <c r="M718" i="109"/>
  <c r="N725" i="109"/>
  <c r="L733" i="109"/>
  <c r="O1160" i="109"/>
  <c r="O1162" i="109"/>
  <c r="N1206" i="109"/>
  <c r="N1159" i="109"/>
  <c r="N1197" i="109"/>
  <c r="O1163" i="109"/>
  <c r="K1142" i="109"/>
  <c r="K1257" i="109"/>
  <c r="K735" i="109"/>
  <c r="K1146" i="109"/>
  <c r="K1261" i="109"/>
  <c r="K1144" i="109"/>
  <c r="K1259" i="109"/>
  <c r="M727" i="109"/>
  <c r="O912" i="109" a="1"/>
  <c r="O912" i="109"/>
  <c r="O1221" i="109"/>
  <c r="O914" i="109" a="1"/>
  <c r="O914" i="109"/>
  <c r="O1223" i="109"/>
  <c r="O1188" i="109"/>
  <c r="O913" i="109" a="1"/>
  <c r="O913" i="109"/>
  <c r="O1222" i="109"/>
  <c r="O909" i="109"/>
  <c r="BJ71" i="29"/>
  <c r="BL71" i="29"/>
  <c r="BH72" i="29"/>
  <c r="BJ72" i="29"/>
  <c r="V99" i="29"/>
  <c r="BL96" i="29"/>
  <c r="AK72" i="29"/>
  <c r="S78" i="29"/>
  <c r="S80" i="29"/>
  <c r="BL40" i="29"/>
  <c r="O1206" i="109"/>
  <c r="O1207" i="109"/>
  <c r="N1168" i="109"/>
  <c r="M733" i="109"/>
  <c r="O725" i="109"/>
  <c r="N716" i="109"/>
  <c r="N717" i="109"/>
  <c r="N718" i="109"/>
  <c r="O1167" i="109"/>
  <c r="N1208" i="109"/>
  <c r="L1142" i="109"/>
  <c r="L1257" i="109"/>
  <c r="L735" i="109"/>
  <c r="L1144" i="109"/>
  <c r="L1259" i="109"/>
  <c r="L1146" i="109"/>
  <c r="L1261" i="109"/>
  <c r="N727" i="109"/>
  <c r="O1159" i="109"/>
  <c r="O1197" i="109"/>
  <c r="O1205" i="109"/>
  <c r="O1224" i="109"/>
  <c r="O726" i="109"/>
  <c r="M734" i="109"/>
  <c r="M1147" i="109"/>
  <c r="M1143" i="109"/>
  <c r="M732" i="109"/>
  <c r="O724" i="109"/>
  <c r="M1145" i="109"/>
  <c r="BL72" i="29"/>
  <c r="V101" i="29"/>
  <c r="O1208" i="109"/>
  <c r="O727" i="109"/>
  <c r="N734" i="109"/>
  <c r="O734" i="109"/>
  <c r="N1143" i="109"/>
  <c r="N1147" i="109"/>
  <c r="N1145" i="109"/>
  <c r="N732" i="109"/>
  <c r="O732" i="109"/>
  <c r="M1146" i="109"/>
  <c r="M1261" i="109"/>
  <c r="M1142" i="109"/>
  <c r="M1257" i="109"/>
  <c r="M1144" i="109"/>
  <c r="M1259" i="109"/>
  <c r="M735" i="109"/>
  <c r="O1168" i="109"/>
  <c r="N733" i="109"/>
  <c r="O733" i="109"/>
  <c r="F922" i="109"/>
  <c r="F921" i="109"/>
  <c r="T91" i="29"/>
  <c r="BI91" i="29"/>
  <c r="BJ91" i="29"/>
  <c r="AK91" i="29"/>
  <c r="BL91" i="29"/>
  <c r="T93" i="29"/>
  <c r="T74" i="29"/>
  <c r="O1146" i="109"/>
  <c r="O1261" i="109"/>
  <c r="O1144" i="109"/>
  <c r="O1259" i="109"/>
  <c r="O1142" i="109"/>
  <c r="O1257" i="109"/>
  <c r="O735" i="109"/>
  <c r="N1146" i="109"/>
  <c r="N1261" i="109"/>
  <c r="N735" i="109"/>
  <c r="N1144" i="109"/>
  <c r="N1259" i="109"/>
  <c r="N1142" i="109"/>
  <c r="N1257" i="109"/>
  <c r="V102" i="29"/>
  <c r="Y102" i="29"/>
  <c r="T78" i="29"/>
  <c r="T80" i="29"/>
  <c r="V104" i="29"/>
  <c r="V106" i="29"/>
  <c r="V109" i="29"/>
  <c r="Y103" i="29"/>
  <c r="AT103" i="29"/>
  <c r="AT104" i="29"/>
  <c r="AT106" i="29"/>
  <c r="AT109" i="29"/>
  <c r="G921" i="109"/>
  <c r="G922" i="109"/>
  <c r="Y104" i="29"/>
  <c r="Y106" i="29"/>
  <c r="Y109" i="29"/>
  <c r="H921" i="109"/>
  <c r="H922" i="109"/>
  <c r="I922" i="109"/>
  <c r="I921" i="109"/>
  <c r="J921" i="109"/>
  <c r="J922" i="109"/>
  <c r="K921" i="109"/>
  <c r="K922" i="109"/>
  <c r="T81" i="29"/>
  <c r="T82" i="29"/>
  <c r="T84" i="29"/>
  <c r="T101" i="29"/>
  <c r="T103" i="29"/>
  <c r="L921" i="109"/>
  <c r="L922" i="109"/>
  <c r="W81" i="29"/>
  <c r="BI81" i="29"/>
  <c r="U81" i="29"/>
  <c r="U82" i="29"/>
  <c r="AK81" i="29"/>
  <c r="BI82" i="29"/>
  <c r="BI84" i="29"/>
  <c r="W82" i="29"/>
  <c r="W84" i="29"/>
  <c r="T104" i="29"/>
  <c r="T106" i="29"/>
  <c r="AQ103" i="29"/>
  <c r="AQ104" i="29"/>
  <c r="AQ106" i="29"/>
  <c r="AQ109" i="29"/>
  <c r="M922" i="109"/>
  <c r="M921" i="109"/>
  <c r="T109" i="29"/>
  <c r="BQ81" i="29"/>
  <c r="BP81" i="29"/>
  <c r="BH81" i="29"/>
  <c r="BO81" i="29"/>
  <c r="DH81" i="29"/>
  <c r="BO82" i="29"/>
  <c r="BH82" i="29"/>
  <c r="BJ81" i="29"/>
  <c r="BP82" i="29"/>
  <c r="BP84" i="29"/>
  <c r="BQ82" i="29"/>
  <c r="BQ84" i="29"/>
  <c r="BL81" i="29"/>
  <c r="U84" i="29"/>
  <c r="AK82" i="29"/>
  <c r="N922" i="109"/>
  <c r="N921" i="109"/>
  <c r="DH113" i="29"/>
  <c r="DH82" i="29"/>
  <c r="BO84" i="29"/>
  <c r="DH84" i="29"/>
  <c r="U95" i="29"/>
  <c r="AK84" i="29"/>
  <c r="BH84" i="29"/>
  <c r="BJ84" i="29"/>
  <c r="BJ82" i="29"/>
  <c r="BL82" i="29"/>
  <c r="O922" i="109"/>
  <c r="O921" i="109"/>
  <c r="BL84" i="29"/>
  <c r="U97" i="29"/>
  <c r="DH112" i="29"/>
  <c r="DH114" i="29"/>
  <c r="G923" i="109"/>
  <c r="G931" i="109"/>
  <c r="G932" i="109"/>
  <c r="G924" i="109"/>
  <c r="H931" i="109"/>
  <c r="H923" i="109"/>
  <c r="H932" i="109"/>
  <c r="H924" i="109"/>
  <c r="U98" i="29"/>
  <c r="U99" i="29"/>
  <c r="J923" i="109"/>
  <c r="J932" i="109"/>
  <c r="J924" i="109"/>
  <c r="I923" i="109"/>
  <c r="I932" i="109"/>
  <c r="I931" i="109"/>
  <c r="I924" i="109"/>
  <c r="CY98" i="29"/>
  <c r="DH98" i="29"/>
  <c r="J931" i="109"/>
  <c r="U101" i="29"/>
  <c r="F923" i="109"/>
  <c r="F924" i="109"/>
  <c r="F931" i="109"/>
  <c r="F932" i="109"/>
  <c r="K932" i="109"/>
  <c r="K931" i="109"/>
  <c r="K923" i="109"/>
  <c r="K924" i="109"/>
  <c r="O924" i="109"/>
  <c r="O923" i="109"/>
  <c r="O931" i="109"/>
  <c r="O932" i="109"/>
  <c r="L923" i="109"/>
  <c r="L932" i="109"/>
  <c r="L931" i="109"/>
  <c r="L924" i="109"/>
  <c r="BH8" i="60"/>
  <c r="N932" i="109"/>
  <c r="N931" i="109"/>
  <c r="U102" i="29"/>
  <c r="X102" i="29"/>
  <c r="X103" i="29"/>
  <c r="U104" i="29"/>
  <c r="U106" i="29"/>
  <c r="U109" i="29"/>
  <c r="N924" i="109"/>
  <c r="N923" i="109"/>
  <c r="M931" i="109"/>
  <c r="M923" i="109"/>
  <c r="M932" i="109"/>
  <c r="M924" i="109"/>
  <c r="BH9" i="60"/>
  <c r="BI92" i="29"/>
  <c r="X104" i="29"/>
  <c r="X106" i="29"/>
  <c r="X109" i="29"/>
  <c r="AS103" i="29"/>
  <c r="AS104" i="29"/>
  <c r="AS106" i="29"/>
  <c r="AS109" i="29"/>
  <c r="BI93" i="29"/>
  <c r="W92" i="29"/>
  <c r="BH92" i="29"/>
  <c r="BJ8" i="60"/>
  <c r="BJ92" i="29"/>
  <c r="BH93" i="29"/>
  <c r="W93" i="29"/>
  <c r="AK92" i="29"/>
  <c r="BH10" i="60"/>
  <c r="BI8" i="60"/>
  <c r="BI9" i="60"/>
  <c r="BQ92" i="29"/>
  <c r="BO92" i="29"/>
  <c r="BP92" i="29"/>
  <c r="BO93" i="29"/>
  <c r="BO106" i="29"/>
  <c r="BQ93" i="29"/>
  <c r="BQ106" i="29"/>
  <c r="BQ109" i="29"/>
  <c r="BP93" i="29"/>
  <c r="BP106" i="29"/>
  <c r="BP109" i="29"/>
  <c r="BK8" i="60"/>
  <c r="BL92" i="29"/>
  <c r="BJ93" i="29"/>
  <c r="BH106" i="29"/>
  <c r="AK93" i="29"/>
  <c r="W95" i="29"/>
  <c r="DH93" i="29"/>
  <c r="BL93" i="29"/>
  <c r="BJ9" i="60"/>
  <c r="BK9" i="60"/>
  <c r="BI10" i="60"/>
  <c r="W97" i="29"/>
  <c r="BH109" i="29"/>
  <c r="BO109" i="29"/>
  <c r="BJ10" i="60"/>
  <c r="CY96" i="29"/>
  <c r="BK10" i="60"/>
  <c r="CY99" i="29"/>
  <c r="DH96" i="29"/>
  <c r="AP98" i="29"/>
  <c r="W98" i="29"/>
  <c r="AP99" i="29"/>
  <c r="BF98" i="29"/>
  <c r="W99" i="29"/>
  <c r="AK98" i="29"/>
  <c r="DH99" i="29"/>
  <c r="CY106" i="29"/>
  <c r="BL98" i="29"/>
  <c r="G930" i="109"/>
  <c r="G920" i="109"/>
  <c r="G917" i="109"/>
  <c r="G918" i="109"/>
  <c r="G929" i="109"/>
  <c r="G919" i="109"/>
  <c r="BF99" i="29"/>
  <c r="AP106" i="29"/>
  <c r="CY109" i="29"/>
  <c r="DH106" i="29"/>
  <c r="AK99" i="29"/>
  <c r="BL99" i="29"/>
  <c r="W101" i="29"/>
  <c r="DH109" i="29"/>
  <c r="AP109" i="29"/>
  <c r="F929" i="109"/>
  <c r="F926" i="109"/>
  <c r="F927" i="109"/>
  <c r="F918" i="109"/>
  <c r="F919" i="109"/>
  <c r="O928" i="109"/>
  <c r="O925" i="109"/>
  <c r="O926" i="109"/>
  <c r="J927" i="109"/>
  <c r="J926" i="109"/>
  <c r="I928" i="109"/>
  <c r="I926" i="109"/>
  <c r="H926" i="109"/>
  <c r="H927" i="109"/>
  <c r="H928" i="109"/>
  <c r="F930" i="109"/>
  <c r="F925" i="109"/>
  <c r="F928" i="109"/>
  <c r="F917" i="109"/>
  <c r="F920" i="109"/>
  <c r="O927" i="109"/>
  <c r="J928" i="109"/>
  <c r="J925" i="109"/>
  <c r="I927" i="109"/>
  <c r="I925" i="109"/>
  <c r="H925" i="109"/>
  <c r="K926" i="109"/>
  <c r="K927" i="109"/>
  <c r="G925" i="109"/>
  <c r="G927" i="109"/>
  <c r="G928" i="109"/>
  <c r="K925" i="109"/>
  <c r="K928" i="109"/>
  <c r="G926" i="109"/>
  <c r="L928" i="109"/>
  <c r="L926" i="109"/>
  <c r="L925" i="109"/>
  <c r="L927" i="109"/>
  <c r="M926" i="109"/>
  <c r="M927" i="109"/>
  <c r="M928" i="109"/>
  <c r="M925" i="109"/>
  <c r="N927" i="109"/>
  <c r="N925" i="109"/>
  <c r="N926" i="109"/>
  <c r="N928" i="109"/>
  <c r="G939" i="109"/>
  <c r="G1231" i="109"/>
  <c r="G937" i="109"/>
  <c r="G1229" i="109"/>
  <c r="G938" i="109"/>
  <c r="G1230" i="109"/>
  <c r="G933" i="109"/>
  <c r="G934" i="109"/>
  <c r="F937" i="109"/>
  <c r="F1229" i="109"/>
  <c r="F933" i="109"/>
  <c r="F934" i="109"/>
  <c r="F940" i="109"/>
  <c r="F1232" i="109"/>
  <c r="F939" i="109"/>
  <c r="F1231" i="109"/>
  <c r="F938" i="109"/>
  <c r="F1230" i="109"/>
  <c r="G940" i="109"/>
  <c r="G1232" i="109"/>
  <c r="H917" i="109"/>
  <c r="H919" i="109"/>
  <c r="H918" i="109"/>
  <c r="H920" i="109"/>
  <c r="H929" i="109"/>
  <c r="H930" i="109"/>
  <c r="BI102" i="29"/>
  <c r="W102" i="29"/>
  <c r="W104" i="29"/>
  <c r="BI104" i="29"/>
  <c r="BJ102" i="29"/>
  <c r="J930" i="109"/>
  <c r="J920" i="109"/>
  <c r="J929" i="109"/>
  <c r="J918" i="109"/>
  <c r="J917" i="109"/>
  <c r="J919" i="109"/>
  <c r="I919" i="109"/>
  <c r="I920" i="109"/>
  <c r="I930" i="109"/>
  <c r="I929" i="109"/>
  <c r="I917" i="109"/>
  <c r="I918" i="109"/>
  <c r="H938" i="109"/>
  <c r="H1230" i="109"/>
  <c r="H940" i="109"/>
  <c r="H1232" i="109"/>
  <c r="H933" i="109"/>
  <c r="H934" i="109"/>
  <c r="H939" i="109"/>
  <c r="H1231" i="109"/>
  <c r="H937" i="109"/>
  <c r="H1229" i="109"/>
  <c r="Z102" i="29"/>
  <c r="L930" i="109"/>
  <c r="L918" i="109"/>
  <c r="L919" i="109"/>
  <c r="L917" i="109"/>
  <c r="L920" i="109"/>
  <c r="L929" i="109"/>
  <c r="AK102" i="29"/>
  <c r="BL102" i="29"/>
  <c r="Z103" i="29"/>
  <c r="Z104" i="29"/>
  <c r="J937" i="109"/>
  <c r="J1229" i="109"/>
  <c r="J938" i="109"/>
  <c r="J1230" i="109"/>
  <c r="J933" i="109"/>
  <c r="J934" i="109"/>
  <c r="J940" i="109"/>
  <c r="J1232" i="109"/>
  <c r="J939" i="109"/>
  <c r="J1231" i="109"/>
  <c r="BJ104" i="29"/>
  <c r="BI106" i="29"/>
  <c r="I939" i="109"/>
  <c r="I1231" i="109"/>
  <c r="I937" i="109"/>
  <c r="I1229" i="109"/>
  <c r="I938" i="109"/>
  <c r="I1230" i="109"/>
  <c r="I933" i="109"/>
  <c r="I934" i="109"/>
  <c r="I940" i="109"/>
  <c r="I1232" i="109"/>
  <c r="W106" i="29"/>
  <c r="AK103" i="29"/>
  <c r="AU103" i="29"/>
  <c r="AU104" i="29"/>
  <c r="K929" i="109"/>
  <c r="K920" i="109"/>
  <c r="K917" i="109"/>
  <c r="K919" i="109"/>
  <c r="K918" i="109"/>
  <c r="K930" i="109"/>
  <c r="L933" i="109"/>
  <c r="L934" i="109"/>
  <c r="L939" i="109"/>
  <c r="L1231" i="109"/>
  <c r="L940" i="109"/>
  <c r="L1232" i="109"/>
  <c r="L937" i="109"/>
  <c r="L1229" i="109"/>
  <c r="L938" i="109"/>
  <c r="L1230" i="109"/>
  <c r="O919" i="109"/>
  <c r="O929" i="109"/>
  <c r="O918" i="109"/>
  <c r="O930" i="109"/>
  <c r="O920" i="109"/>
  <c r="O917" i="109"/>
  <c r="Z106" i="29"/>
  <c r="Z109" i="29"/>
  <c r="AK104" i="29"/>
  <c r="W109" i="29"/>
  <c r="BI109" i="29"/>
  <c r="BJ106" i="29"/>
  <c r="M920" i="109"/>
  <c r="M929" i="109"/>
  <c r="M918" i="109"/>
  <c r="M930" i="109"/>
  <c r="M919" i="109"/>
  <c r="M917" i="109"/>
  <c r="BF103" i="29"/>
  <c r="BL103" i="29"/>
  <c r="K940" i="109"/>
  <c r="K1232" i="109"/>
  <c r="K933" i="109"/>
  <c r="K934" i="109"/>
  <c r="K939" i="109"/>
  <c r="K1231" i="109"/>
  <c r="K938" i="109"/>
  <c r="K1230" i="109"/>
  <c r="K937" i="109"/>
  <c r="K1229" i="109"/>
  <c r="O938" i="109"/>
  <c r="O1230" i="109"/>
  <c r="O939" i="109"/>
  <c r="O1231" i="109"/>
  <c r="O933" i="109"/>
  <c r="O934" i="109"/>
  <c r="O940" i="109"/>
  <c r="O1232" i="109"/>
  <c r="O937" i="109"/>
  <c r="O1229" i="109"/>
  <c r="AK106" i="29"/>
  <c r="M933" i="109"/>
  <c r="M934" i="109"/>
  <c r="M940" i="109"/>
  <c r="M1232" i="109"/>
  <c r="M938" i="109"/>
  <c r="M1230" i="109"/>
  <c r="M937" i="109"/>
  <c r="M1229" i="109"/>
  <c r="M939" i="109"/>
  <c r="M1231" i="109"/>
  <c r="AK109" i="29"/>
  <c r="BJ109" i="29"/>
  <c r="AU106" i="29"/>
  <c r="BF104" i="29"/>
  <c r="BL104" i="29"/>
  <c r="AU109" i="29"/>
  <c r="BF106" i="29"/>
  <c r="BL106" i="29"/>
  <c r="N920" i="109"/>
  <c r="N917" i="109"/>
  <c r="N919" i="109"/>
  <c r="N929" i="109"/>
  <c r="N930" i="109"/>
  <c r="N918" i="109"/>
  <c r="N933" i="109"/>
  <c r="N934" i="109"/>
  <c r="N938" i="109"/>
  <c r="N1230" i="109"/>
  <c r="N940" i="109"/>
  <c r="N1232" i="109"/>
  <c r="N939" i="109"/>
  <c r="N1231" i="109"/>
  <c r="N937" i="109"/>
  <c r="N1229" i="109"/>
  <c r="BF109" i="29"/>
  <c r="BL109" i="29"/>
</calcChain>
</file>

<file path=xl/comments1.xml><?xml version="1.0" encoding="utf-8"?>
<comments xmlns="http://schemas.openxmlformats.org/spreadsheetml/2006/main">
  <authors>
    <author>kpharris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11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12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F1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1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1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19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19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25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28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28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36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36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37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37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42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42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43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43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46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K46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  <comment ref="J57" authorId="0">
      <text>
        <r>
          <rPr>
            <b/>
            <sz val="8"/>
            <color indexed="81"/>
            <rFont val="Tahoma"/>
            <family val="2"/>
          </rPr>
          <t>kpharris:</t>
        </r>
        <r>
          <rPr>
            <sz val="8"/>
            <color indexed="81"/>
            <rFont val="Tahoma"/>
            <family val="2"/>
          </rPr>
          <t xml:space="preserve">
corrected Sep 09</t>
        </r>
      </text>
    </comment>
  </commentList>
</comments>
</file>

<file path=xl/sharedStrings.xml><?xml version="1.0" encoding="utf-8"?>
<sst xmlns="http://schemas.openxmlformats.org/spreadsheetml/2006/main" count="4528" uniqueCount="1900">
  <si>
    <t>Nuclear</t>
  </si>
  <si>
    <t>Wind</t>
  </si>
  <si>
    <t>Wave</t>
  </si>
  <si>
    <t>Geothermal</t>
  </si>
  <si>
    <t>Imports</t>
  </si>
  <si>
    <t>Electricity</t>
  </si>
  <si>
    <t>H.01</t>
  </si>
  <si>
    <t>N.01</t>
  </si>
  <si>
    <t>R.02</t>
  </si>
  <si>
    <t>R.03</t>
  </si>
  <si>
    <t>R.04</t>
  </si>
  <si>
    <t>R.05</t>
  </si>
  <si>
    <t>R.06</t>
  </si>
  <si>
    <t>I.01</t>
  </si>
  <si>
    <t>Gas</t>
  </si>
  <si>
    <t>Solar</t>
  </si>
  <si>
    <t>Heat</t>
  </si>
  <si>
    <t>Energy vectors</t>
  </si>
  <si>
    <r>
      <t>H</t>
    </r>
    <r>
      <rPr>
        <vertAlign val="subscript"/>
        <sz val="10"/>
        <color theme="1"/>
        <rFont val="Cambria"/>
        <family val="1"/>
        <scheme val="minor"/>
      </rPr>
      <t>2</t>
    </r>
  </si>
  <si>
    <t>Hydro</t>
  </si>
  <si>
    <t>Conversion losses</t>
  </si>
  <si>
    <t>Distribution losses and own use</t>
  </si>
  <si>
    <t xml:space="preserve">Transport </t>
  </si>
  <si>
    <t>Road</t>
  </si>
  <si>
    <t>Rail</t>
  </si>
  <si>
    <t>Balancing</t>
  </si>
  <si>
    <t>Heating</t>
  </si>
  <si>
    <t>Lighting &amp; appliances</t>
  </si>
  <si>
    <t>Unallocated</t>
  </si>
  <si>
    <t>Food</t>
  </si>
  <si>
    <t>R.01</t>
  </si>
  <si>
    <t>X.01</t>
  </si>
  <si>
    <t>X.02</t>
  </si>
  <si>
    <t>T.01</t>
  </si>
  <si>
    <t>T.02</t>
  </si>
  <si>
    <t>T.03</t>
  </si>
  <si>
    <t>T.04</t>
  </si>
  <si>
    <t>F.01</t>
  </si>
  <si>
    <t>Domestic</t>
  </si>
  <si>
    <t>Industry</t>
  </si>
  <si>
    <t>V.01</t>
  </si>
  <si>
    <t>V.02</t>
  </si>
  <si>
    <t>V.03</t>
  </si>
  <si>
    <t>Net imports</t>
  </si>
  <si>
    <t>V.04</t>
  </si>
  <si>
    <t>V.05</t>
  </si>
  <si>
    <t>Renewables</t>
  </si>
  <si>
    <t>Commercial</t>
  </si>
  <si>
    <t>Waste</t>
  </si>
  <si>
    <t>W.01</t>
  </si>
  <si>
    <t>Electricity imports</t>
  </si>
  <si>
    <t>L.01</t>
  </si>
  <si>
    <t>Losses</t>
  </si>
  <si>
    <t>Y.01</t>
  </si>
  <si>
    <t>Y.02</t>
  </si>
  <si>
    <t>Z.01</t>
  </si>
  <si>
    <t>Solid hydrocarbons</t>
  </si>
  <si>
    <t>Liquid hydrocarbons</t>
  </si>
  <si>
    <t>C.01</t>
  </si>
  <si>
    <t>C.02</t>
  </si>
  <si>
    <t>C.03</t>
  </si>
  <si>
    <t>Electricity (delivered to end user)</t>
  </si>
  <si>
    <t>Solar PV</t>
  </si>
  <si>
    <t>Hydroelectric</t>
  </si>
  <si>
    <t>Tidal</t>
  </si>
  <si>
    <t>Lighting and appliances</t>
  </si>
  <si>
    <t>Supply</t>
  </si>
  <si>
    <t>Demand</t>
  </si>
  <si>
    <t>I</t>
  </si>
  <si>
    <t>II</t>
  </si>
  <si>
    <t>III</t>
  </si>
  <si>
    <t>IV</t>
  </si>
  <si>
    <t>Vector</t>
  </si>
  <si>
    <t>Description</t>
  </si>
  <si>
    <t>Comment</t>
  </si>
  <si>
    <t>Category</t>
  </si>
  <si>
    <t>Subcategory</t>
  </si>
  <si>
    <t>Code</t>
  </si>
  <si>
    <t>Joules</t>
  </si>
  <si>
    <t>Unit</t>
  </si>
  <si>
    <t>PJ</t>
  </si>
  <si>
    <t>TWh</t>
  </si>
  <si>
    <t>kWh</t>
  </si>
  <si>
    <t>Mtoe</t>
  </si>
  <si>
    <t>toe</t>
  </si>
  <si>
    <t>therm</t>
  </si>
  <si>
    <t>Btu</t>
  </si>
  <si>
    <t>calorie</t>
  </si>
  <si>
    <t>GW y</t>
  </si>
  <si>
    <t>Unit.PJ</t>
  </si>
  <si>
    <t>Unit.kWh</t>
  </si>
  <si>
    <t>Unit.TWh</t>
  </si>
  <si>
    <t>Unit.toe</t>
  </si>
  <si>
    <t>Unit.Mtoe</t>
  </si>
  <si>
    <t>Unit.therm</t>
  </si>
  <si>
    <t>Unit.Btu</t>
  </si>
  <si>
    <t>Unit.calorie</t>
  </si>
  <si>
    <t>Unit.GWyear</t>
  </si>
  <si>
    <t>R.07</t>
  </si>
  <si>
    <t>Biomatter</t>
  </si>
  <si>
    <t>Hydrogen</t>
  </si>
  <si>
    <t>V.06</t>
  </si>
  <si>
    <t>[1]</t>
  </si>
  <si>
    <t>TJ</t>
  </si>
  <si>
    <t>Unit.TJ</t>
  </si>
  <si>
    <t>Conversion Calculator</t>
  </si>
  <si>
    <t>is equivalent to</t>
  </si>
  <si>
    <t>Space heating</t>
  </si>
  <si>
    <t>Cooking</t>
  </si>
  <si>
    <t>[2]</t>
  </si>
  <si>
    <t>[3]</t>
  </si>
  <si>
    <t>Computing</t>
  </si>
  <si>
    <t>Cooling and ventilation</t>
  </si>
  <si>
    <t>Lighting</t>
  </si>
  <si>
    <t>Other</t>
  </si>
  <si>
    <t>Autogenerators</t>
  </si>
  <si>
    <t>Blast furnaces</t>
  </si>
  <si>
    <t>High temperature process</t>
  </si>
  <si>
    <t>Low temperature process</t>
  </si>
  <si>
    <t>Drying/separation</t>
  </si>
  <si>
    <t>Motors</t>
  </si>
  <si>
    <t>Compressed air</t>
  </si>
  <si>
    <t>Refrigeration</t>
  </si>
  <si>
    <t>Gaseous waste</t>
  </si>
  <si>
    <t>1.2 Aggregate energy balance 2007</t>
  </si>
  <si>
    <t>Thousand tonnes of oil equivalent</t>
  </si>
  <si>
    <t>Coal</t>
  </si>
  <si>
    <r>
      <t>Manufactured fuel</t>
    </r>
    <r>
      <rPr>
        <i/>
        <sz val="8.5"/>
        <rFont val="Arial"/>
        <family val="2"/>
      </rPr>
      <t>(1)</t>
    </r>
  </si>
  <si>
    <t>Primary oils</t>
  </si>
  <si>
    <t>Petroleum products</t>
  </si>
  <si>
    <r>
      <t>Natural gas</t>
    </r>
    <r>
      <rPr>
        <i/>
        <sz val="8.5"/>
        <rFont val="Arial"/>
        <family val="2"/>
      </rPr>
      <t>(2)</t>
    </r>
  </si>
  <si>
    <r>
      <t>Renewable &amp; waste</t>
    </r>
    <r>
      <rPr>
        <i/>
        <sz val="8.5"/>
        <rFont val="Arial"/>
        <family val="2"/>
      </rPr>
      <t>(3)</t>
    </r>
  </si>
  <si>
    <t>Primary electricity</t>
  </si>
  <si>
    <t>Total</t>
  </si>
  <si>
    <t xml:space="preserve">Supply </t>
  </si>
  <si>
    <t>Indigenous production</t>
  </si>
  <si>
    <t>Exports</t>
  </si>
  <si>
    <t>Marine bunkers</t>
  </si>
  <si>
    <r>
      <t>Stock change</t>
    </r>
    <r>
      <rPr>
        <i/>
        <sz val="8"/>
        <rFont val="Arial"/>
        <family val="2"/>
      </rPr>
      <t>(4)</t>
    </r>
  </si>
  <si>
    <t>Primary supply</t>
  </si>
  <si>
    <r>
      <t>Statistical difference</t>
    </r>
    <r>
      <rPr>
        <i/>
        <sz val="8.5"/>
        <rFont val="Arial"/>
        <family val="2"/>
      </rPr>
      <t>(5)</t>
    </r>
  </si>
  <si>
    <t>Primary demand</t>
  </si>
  <si>
    <t>Transfers</t>
  </si>
  <si>
    <t>Transformation</t>
  </si>
  <si>
    <t>Electricity generation</t>
  </si>
  <si>
    <t>Major power producers</t>
  </si>
  <si>
    <t>Heat generation</t>
  </si>
  <si>
    <t>Petroleum refineries</t>
  </si>
  <si>
    <t>Coke manufacture</t>
  </si>
  <si>
    <t>Patent fuel manufacture</t>
  </si>
  <si>
    <t>Energy industry use</t>
  </si>
  <si>
    <t>Oil and gas extraction</t>
  </si>
  <si>
    <t>Coal extraction</t>
  </si>
  <si>
    <t>Pumped storage</t>
  </si>
  <si>
    <t>Final consumption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</si>
  <si>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</si>
  <si>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</si>
  <si>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</si>
  <si>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</si>
  <si>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</si>
  <si>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</si>
  <si>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</si>
  <si>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</si>
  <si>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</si>
  <si>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</si>
  <si>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</si>
  <si>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</si>
  <si>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</si>
  <si>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r>
      <t xml:space="preserve">Transport </t>
    </r>
    <r>
      <rPr>
        <i/>
        <sz val="8.5"/>
        <rFont val="Arial"/>
        <family val="2"/>
      </rPr>
      <t>(6)</t>
    </r>
  </si>
  <si>
    <t>Air</t>
  </si>
  <si>
    <t>National navigation</t>
  </si>
  <si>
    <t>Pipelines</t>
  </si>
  <si>
    <t>Public administration</t>
  </si>
  <si>
    <t>Agriculture</t>
  </si>
  <si>
    <t>Miscellaneous</t>
  </si>
  <si>
    <t>Non energy use</t>
  </si>
  <si>
    <t>(1)  Includes all manufactured solid fuels, benzole, tars, coke oven gas and blast furnace gas.</t>
  </si>
  <si>
    <t>(2)  Includes colliery methane.</t>
  </si>
  <si>
    <t>(3)  Includes geothermal and solar heat.</t>
  </si>
  <si>
    <t>(4)  Stock fall (+), stock rise (-).</t>
  </si>
  <si>
    <t>(5)  Primary supply minus primary demand.</t>
  </si>
  <si>
    <t>(6)  See paragraphs 5.11 regarding electricity use in transport and 7.25 regarding renewables use in transport.</t>
  </si>
  <si>
    <t>ktoe</t>
  </si>
  <si>
    <t>Unit.ktoe</t>
  </si>
  <si>
    <t>Table 1.14: Overall energy consumption for heat and other end use by fuel 2007</t>
  </si>
  <si>
    <t>Sector</t>
  </si>
  <si>
    <t>End use</t>
  </si>
  <si>
    <t>Oil</t>
  </si>
  <si>
    <t>Solid fuel</t>
  </si>
  <si>
    <t>Water heating</t>
  </si>
  <si>
    <t>Cooking/catering</t>
  </si>
  <si>
    <t>Heat total</t>
  </si>
  <si>
    <t>-</t>
  </si>
  <si>
    <r>
      <t xml:space="preserve">Overall total </t>
    </r>
    <r>
      <rPr>
        <vertAlign val="superscript"/>
        <sz val="10"/>
        <rFont val="Arial"/>
        <family val="2"/>
      </rPr>
      <t>1</t>
    </r>
  </si>
  <si>
    <t>Service</t>
  </si>
  <si>
    <r>
      <t>Industry</t>
    </r>
    <r>
      <rPr>
        <vertAlign val="superscript"/>
        <sz val="10"/>
        <rFont val="Arial"/>
        <family val="2"/>
      </rPr>
      <t>2</t>
    </r>
  </si>
  <si>
    <r>
      <t>Overall total</t>
    </r>
    <r>
      <rPr>
        <sz val="10"/>
        <rFont val="Arial"/>
        <family val="2"/>
      </rPr>
      <t>²</t>
    </r>
  </si>
  <si>
    <t>Process use</t>
  </si>
  <si>
    <t>Dryling/separation</t>
  </si>
  <si>
    <t>Non-heat total</t>
  </si>
  <si>
    <t>Overall total</t>
  </si>
  <si>
    <t>1. Total does not include heat sold and renewables.</t>
  </si>
  <si>
    <t>2. Does not include heat sold, blast furnace gas, coke oven gas or renewables and waste.</t>
  </si>
  <si>
    <t xml:space="preserve">Source: Department of Energy and Climate Change - secondary analysis of data from the Digest of UK Energy </t>
  </si>
  <si>
    <t xml:space="preserve">            Statistics, Office of National Statistics (Purchases Inquiry) and the Building Research Establishment</t>
  </si>
  <si>
    <t>7.2  Commodity balances 2007</t>
  </si>
  <si>
    <t>7.2  Commodity balances 2007 (continued)</t>
  </si>
  <si>
    <t xml:space="preserve">             Renewables and waste</t>
  </si>
  <si>
    <t>Wood</t>
  </si>
  <si>
    <t xml:space="preserve">Poultry litter, meat </t>
  </si>
  <si>
    <t xml:space="preserve">Straw, SRC, and </t>
  </si>
  <si>
    <t>Sewage</t>
  </si>
  <si>
    <t>Landfill gas</t>
  </si>
  <si>
    <r>
      <t>Waste</t>
    </r>
    <r>
      <rPr>
        <i/>
        <sz val="8.5"/>
        <rFont val="Arial"/>
        <family val="2"/>
      </rPr>
      <t>(4)</t>
    </r>
  </si>
  <si>
    <t xml:space="preserve">Geothermal </t>
  </si>
  <si>
    <t>Liquid</t>
  </si>
  <si>
    <t>waste</t>
  </si>
  <si>
    <t xml:space="preserve"> and bone,  and</t>
  </si>
  <si>
    <t>other plant-based</t>
  </si>
  <si>
    <t>gas</t>
  </si>
  <si>
    <t xml:space="preserve"> and </t>
  </si>
  <si>
    <t xml:space="preserve">and active </t>
  </si>
  <si>
    <t>and wave</t>
  </si>
  <si>
    <t>biofuels</t>
  </si>
  <si>
    <t>renewables</t>
  </si>
  <si>
    <t xml:space="preserve">farm waste </t>
  </si>
  <si>
    <r>
      <t xml:space="preserve">biomass </t>
    </r>
    <r>
      <rPr>
        <sz val="8.5"/>
        <color indexed="8"/>
        <rFont val="Arial"/>
        <family val="2"/>
      </rPr>
      <t>(3)</t>
    </r>
  </si>
  <si>
    <t>tyres</t>
  </si>
  <si>
    <t>solar heat</t>
  </si>
  <si>
    <t>(5)</t>
  </si>
  <si>
    <t>Production</t>
  </si>
  <si>
    <t>Other sources</t>
  </si>
  <si>
    <r>
      <t xml:space="preserve">Stock change </t>
    </r>
    <r>
      <rPr>
        <i/>
        <sz val="8"/>
        <rFont val="Arial"/>
        <family val="2"/>
      </rPr>
      <t>(1)</t>
    </r>
  </si>
  <si>
    <r>
      <t xml:space="preserve">Stock change </t>
    </r>
    <r>
      <rPr>
        <i/>
        <sz val="8"/>
        <color indexed="8"/>
        <rFont val="Arial"/>
        <family val="2"/>
      </rPr>
      <t>(1)</t>
    </r>
  </si>
  <si>
    <t>Total supply</t>
  </si>
  <si>
    <r>
      <t>Statistical difference</t>
    </r>
    <r>
      <rPr>
        <i/>
        <sz val="8.5"/>
        <rFont val="Arial"/>
        <family val="2"/>
      </rPr>
      <t xml:space="preserve"> (2)</t>
    </r>
  </si>
  <si>
    <r>
      <t>Statistical difference</t>
    </r>
    <r>
      <rPr>
        <i/>
        <sz val="8.5"/>
        <color indexed="8"/>
        <rFont val="Arial"/>
        <family val="2"/>
      </rPr>
      <t xml:space="preserve"> (2)</t>
    </r>
  </si>
  <si>
    <t>Total demand</t>
  </si>
  <si>
    <t xml:space="preserve">   Major power producers</t>
  </si>
  <si>
    <t xml:space="preserve">   Autogenerators</t>
  </si>
  <si>
    <t>Mechanical engineering, etc</t>
  </si>
  <si>
    <t>Electrical engineering, etc</t>
  </si>
  <si>
    <t>Food, beverages, etc</t>
  </si>
  <si>
    <t>Textiles, leather, etc</t>
  </si>
  <si>
    <t>Paper, printing, etc</t>
  </si>
  <si>
    <t>Transport</t>
  </si>
  <si>
    <t>(1)  Stock fall (+), stock rise (-).</t>
  </si>
  <si>
    <t>(4) Municipal solid waste, general industrial waste and hospital waste.</t>
  </si>
  <si>
    <t>(2) Total supply minus total demand.</t>
  </si>
  <si>
    <t>(5) The amount of shoreline wave included is less than 0.05 ktoe.</t>
  </si>
  <si>
    <t>(3) SRC is short rotation coppice.</t>
  </si>
  <si>
    <t>Includes syngas (coke oven gas)</t>
  </si>
  <si>
    <t>Carbon-based fuels</t>
  </si>
  <si>
    <t>Blast furnace gas</t>
  </si>
  <si>
    <t>Table: 4.1:  Industrial energy consumption by fuel 1970 to 2008</t>
  </si>
  <si>
    <t>Coke and breeze</t>
  </si>
  <si>
    <t>Other solid fuels</t>
  </si>
  <si>
    <t>Blast Furnace Gas</t>
  </si>
  <si>
    <t>Coke oven gas</t>
  </si>
  <si>
    <t>Town gas</t>
  </si>
  <si>
    <t>Natural gas</t>
  </si>
  <si>
    <t>Heat sold</t>
  </si>
  <si>
    <t>Petroleum</t>
  </si>
  <si>
    <t xml:space="preserve">      Total</t>
  </si>
  <si>
    <t>..</t>
  </si>
  <si>
    <r>
      <t>1995</t>
    </r>
    <r>
      <rPr>
        <vertAlign val="superscript"/>
        <sz val="10"/>
        <rFont val="Arial"/>
        <family val="2"/>
      </rPr>
      <t xml:space="preserve"> 1</t>
    </r>
  </si>
  <si>
    <r>
      <t xml:space="preserve">1996 </t>
    </r>
    <r>
      <rPr>
        <vertAlign val="superscript"/>
        <sz val="10"/>
        <rFont val="Arial"/>
        <family val="2"/>
      </rPr>
      <t>1</t>
    </r>
  </si>
  <si>
    <t>1. Energy used in transformation activities is excluded from the total from 1996 onwards.</t>
  </si>
  <si>
    <t xml:space="preserve">Source: Department of Energy and Climate Change - Digest of UK Energy Statistics Annex, Table 1.1.5 </t>
  </si>
  <si>
    <t>kWh/p/d (UK)</t>
  </si>
  <si>
    <t>Unit.kWh.p.d</t>
  </si>
  <si>
    <t>A.1  Estimated average calorific values of fuels 2008</t>
  </si>
  <si>
    <t xml:space="preserve"> </t>
  </si>
  <si>
    <t>GJ per tonne</t>
  </si>
  <si>
    <t>net</t>
  </si>
  <si>
    <t>gross</t>
  </si>
  <si>
    <t>Coal:</t>
  </si>
  <si>
    <t>Renewable sources:</t>
  </si>
  <si>
    <r>
      <t xml:space="preserve">All consumers (weighted average) </t>
    </r>
    <r>
      <rPr>
        <i/>
        <sz val="8.5"/>
        <rFont val="Arial"/>
        <family val="2"/>
      </rPr>
      <t>(1)</t>
    </r>
  </si>
  <si>
    <r>
      <t xml:space="preserve">    Domestic wood</t>
    </r>
    <r>
      <rPr>
        <i/>
        <sz val="8.5"/>
        <rFont val="Arial"/>
        <family val="2"/>
      </rPr>
      <t xml:space="preserve"> (2)</t>
    </r>
  </si>
  <si>
    <r>
      <t xml:space="preserve">  Power stations</t>
    </r>
    <r>
      <rPr>
        <i/>
        <sz val="8.5"/>
        <rFont val="Arial"/>
        <family val="2"/>
      </rPr>
      <t xml:space="preserve"> (1)</t>
    </r>
  </si>
  <si>
    <r>
      <t xml:space="preserve">    Industrial wood</t>
    </r>
    <r>
      <rPr>
        <i/>
        <sz val="8.5"/>
        <rFont val="Arial"/>
        <family val="2"/>
      </rPr>
      <t xml:space="preserve"> (3)</t>
    </r>
  </si>
  <si>
    <r>
      <t xml:space="preserve">  Coke ovens</t>
    </r>
    <r>
      <rPr>
        <i/>
        <sz val="8.5"/>
        <rFont val="Arial"/>
        <family val="2"/>
      </rPr>
      <t xml:space="preserve"> (1)</t>
    </r>
  </si>
  <si>
    <t xml:space="preserve">    Straw</t>
  </si>
  <si>
    <t xml:space="preserve">  Low temperature carbonisation plants </t>
  </si>
  <si>
    <t xml:space="preserve">    Poultry litter</t>
  </si>
  <si>
    <t xml:space="preserve">    and manufactured fuel plants</t>
  </si>
  <si>
    <t xml:space="preserve">    Meat and bone</t>
  </si>
  <si>
    <t xml:space="preserve">  Collieries</t>
  </si>
  <si>
    <t xml:space="preserve">    General industrial waste</t>
  </si>
  <si>
    <t xml:space="preserve">  Agriculture</t>
  </si>
  <si>
    <t xml:space="preserve">    Hospital waste</t>
  </si>
  <si>
    <t xml:space="preserve">  Iron and steel</t>
  </si>
  <si>
    <r>
      <t xml:space="preserve">    Municipal solid waste</t>
    </r>
    <r>
      <rPr>
        <i/>
        <sz val="8.5"/>
        <rFont val="Arial"/>
        <family val="2"/>
      </rPr>
      <t xml:space="preserve"> (4)</t>
    </r>
  </si>
  <si>
    <t xml:space="preserve">  Other industries (weighted average)</t>
  </si>
  <si>
    <r>
      <t xml:space="preserve">    Refuse derived waste</t>
    </r>
    <r>
      <rPr>
        <i/>
        <sz val="8.5"/>
        <rFont val="Arial"/>
        <family val="2"/>
      </rPr>
      <t xml:space="preserve"> (4)</t>
    </r>
  </si>
  <si>
    <t xml:space="preserve">     Non-ferrous metals</t>
  </si>
  <si>
    <r>
      <t xml:space="preserve">    Short rotation coppice</t>
    </r>
    <r>
      <rPr>
        <i/>
        <sz val="8.5"/>
        <rFont val="Arial"/>
        <family val="2"/>
      </rPr>
      <t xml:space="preserve"> (5)</t>
    </r>
  </si>
  <si>
    <t xml:space="preserve">     Food, beverages and tobacco</t>
  </si>
  <si>
    <t xml:space="preserve">    Tyres</t>
  </si>
  <si>
    <t xml:space="preserve">     Chemicals</t>
  </si>
  <si>
    <t xml:space="preserve">     Textiles, clothing, leather etc. </t>
  </si>
  <si>
    <t>Petroleum:</t>
  </si>
  <si>
    <t xml:space="preserve">     Pulp, paper, printing etc.</t>
  </si>
  <si>
    <t xml:space="preserve">    Crude oil (weighted average)</t>
  </si>
  <si>
    <t xml:space="preserve">     Mineral products</t>
  </si>
  <si>
    <t xml:space="preserve">    Petroleum products (weighted average)</t>
  </si>
  <si>
    <t xml:space="preserve">     Engineering (mechanical and </t>
  </si>
  <si>
    <t xml:space="preserve">    Ethane</t>
  </si>
  <si>
    <t xml:space="preserve">       electrical engineering and</t>
  </si>
  <si>
    <t xml:space="preserve">       vehicles)</t>
  </si>
  <si>
    <t xml:space="preserve">    Butane and propane (LPG)</t>
  </si>
  <si>
    <t xml:space="preserve">     Other industries</t>
  </si>
  <si>
    <t xml:space="preserve">    Light distillate feedstock for gasworks</t>
  </si>
  <si>
    <t xml:space="preserve">    Aviation spirit and wide cut gasoline</t>
  </si>
  <si>
    <t xml:space="preserve">    Aviation turbine fuel</t>
  </si>
  <si>
    <t xml:space="preserve">    Motor spirit</t>
  </si>
  <si>
    <t xml:space="preserve">     House coal</t>
  </si>
  <si>
    <t xml:space="preserve">    Burning oil</t>
  </si>
  <si>
    <t xml:space="preserve">     Anthracite and dry steam coal</t>
  </si>
  <si>
    <t xml:space="preserve">    Gas/diesel oil (DERV)</t>
  </si>
  <si>
    <t>Other consumers</t>
  </si>
  <si>
    <t xml:space="preserve">    Fuel oil</t>
  </si>
  <si>
    <t>Imported coal (weighted average)</t>
  </si>
  <si>
    <t xml:space="preserve">    Power station oil</t>
  </si>
  <si>
    <t>Exports (weighted average)</t>
  </si>
  <si>
    <t xml:space="preserve">    Non-fuel products (notional value)</t>
  </si>
  <si>
    <t>MJ per cubic metre</t>
  </si>
  <si>
    <t>Coke (including low temperature</t>
  </si>
  <si>
    <r>
      <t>Natural gas</t>
    </r>
    <r>
      <rPr>
        <i/>
        <sz val="8.5"/>
        <rFont val="Arial"/>
        <family val="2"/>
      </rPr>
      <t xml:space="preserve"> </t>
    </r>
    <r>
      <rPr>
        <sz val="8.5"/>
        <rFont val="Arial"/>
        <family val="2"/>
      </rPr>
      <t>produced</t>
    </r>
    <r>
      <rPr>
        <i/>
        <sz val="8.5"/>
        <rFont val="Arial"/>
        <family val="2"/>
      </rPr>
      <t xml:space="preserve"> (6)</t>
    </r>
  </si>
  <si>
    <t xml:space="preserve">      carbonisation cokes)</t>
  </si>
  <si>
    <r>
      <t>Natural gas</t>
    </r>
    <r>
      <rPr>
        <i/>
        <sz val="8.5"/>
        <rFont val="Arial"/>
        <family val="2"/>
      </rPr>
      <t xml:space="preserve"> </t>
    </r>
    <r>
      <rPr>
        <sz val="8.5"/>
        <rFont val="Arial"/>
        <family val="2"/>
      </rPr>
      <t>consumed</t>
    </r>
    <r>
      <rPr>
        <i/>
        <sz val="8.5"/>
        <rFont val="Arial"/>
        <family val="2"/>
      </rPr>
      <t xml:space="preserve"> (7)</t>
    </r>
  </si>
  <si>
    <t>Coke breeze</t>
  </si>
  <si>
    <t>Other manufactured solid fuel</t>
  </si>
  <si>
    <r>
      <t xml:space="preserve">Landfill gas </t>
    </r>
    <r>
      <rPr>
        <i/>
        <sz val="8.5"/>
        <rFont val="Arial"/>
        <family val="2"/>
      </rPr>
      <t>(8)</t>
    </r>
  </si>
  <si>
    <t>19-23</t>
  </si>
  <si>
    <t>21-25</t>
  </si>
  <si>
    <r>
      <t xml:space="preserve">Sewage gas </t>
    </r>
    <r>
      <rPr>
        <i/>
        <sz val="8.5"/>
        <rFont val="Arial"/>
        <family val="2"/>
      </rPr>
      <t>(8)</t>
    </r>
  </si>
  <si>
    <t>(1)  Applicable to UK consumption - based on calorific value for home produced coal plus imports and, for “All consumers” net of</t>
  </si>
  <si>
    <t xml:space="preserve">       exports.</t>
  </si>
  <si>
    <t>(2)  On an “as received” basis; seasoned logs at 25% moisture content. On a “dry” basis 18.6 GJ per tonne.</t>
  </si>
  <si>
    <t xml:space="preserve">(3)  Average figure covering a range of possible feedstock; at 25% moisture content. On a “dry” basis 18.6 GJ per tonne. </t>
  </si>
  <si>
    <t>(4)  Average figure based on survey returns.</t>
  </si>
  <si>
    <t>(5)  On an “as received” basis; at 40% moisture content. On a “dry” basis 18.6 GJ per tonne.</t>
  </si>
  <si>
    <t xml:space="preserve">(6)  The gross calorific value of natural gas can also be expressed as 11.018 kWh per cubic metre.  This value represents the </t>
  </si>
  <si>
    <t xml:space="preserve">       average calorific value seen for gas when extracted.  At this point it contains not just methane, but also some other</t>
  </si>
  <si>
    <t xml:space="preserve">       hydrocarbon gases (ethane, butane, propane).  These gases are removed before the gas enters the National Transmission </t>
  </si>
  <si>
    <t xml:space="preserve">      System for sale to final consumers.  </t>
  </si>
  <si>
    <t xml:space="preserve">(7) Home produced and imported gas. This weighted average of calorific values will approximate the average for the year that </t>
  </si>
  <si>
    <t xml:space="preserve">      readers will see quoted on their gas bills. It can also be expressed as 10.953 kWh per cubic metre.</t>
  </si>
  <si>
    <t>(8) Calorific value varies depending on the methane content of the gas.</t>
  </si>
  <si>
    <t>Note:  The above estimated average calorific values apply only to the year 2008.  For calorific values of fuels in earlier years see</t>
  </si>
  <si>
    <t xml:space="preserve">Tables A.2 and A.3 and previous issues of this Digest.  See the notes in Chapter 1, paragraph 1.52 regarding net calorific values. </t>
  </si>
  <si>
    <t xml:space="preserve">The calorific values for coal other than imported coal are based on estimates provided by the main coal producers, but with some  </t>
  </si>
  <si>
    <t xml:space="preserve">exceptions as noted on Table A.2. The calorific values for petroleum products have been calculated using the method described in </t>
  </si>
  <si>
    <t>Chapter 1, paragraph 1.29.  The calorific values for coke oven gas, blast furnace gas, coke and coke breeze are currently being</t>
  </si>
  <si>
    <t xml:space="preserve"> reviewed jointly by DECC and the Iron and Steel Statistics Bureau (ISSB).</t>
  </si>
  <si>
    <t xml:space="preserve">Data reported in this Digest in 'thousand tonnes of oil equivalent' have been prepared on the basis of 1 tonne of oil equivalent </t>
  </si>
  <si>
    <t>having an energy content of 41.868 gigajoules (GJ), (1 GJ = 9.478 therms) - see notes in Chapter 1, paragraphs 1.26 to 1.27.</t>
  </si>
  <si>
    <t>Coal (weighted average of all consumers)</t>
  </si>
  <si>
    <t>GJ</t>
  </si>
  <si>
    <t>Unit.GJ</t>
  </si>
  <si>
    <t>Coke</t>
  </si>
  <si>
    <t>Solid fuels</t>
  </si>
  <si>
    <t>Gasses</t>
  </si>
  <si>
    <t>Natural gas consumed</t>
  </si>
  <si>
    <t>Sewage gas</t>
  </si>
  <si>
    <t>Gross calorific values of selected fuels</t>
  </si>
  <si>
    <t>MJ</t>
  </si>
  <si>
    <t>Unit.MJ</t>
  </si>
  <si>
    <t>2.5   Commodity balances 2007</t>
  </si>
  <si>
    <t xml:space="preserve">              Manufactured fuels</t>
  </si>
  <si>
    <t>Thousand tonnes</t>
  </si>
  <si>
    <t>GWh</t>
  </si>
  <si>
    <t xml:space="preserve">Other </t>
  </si>
  <si>
    <t xml:space="preserve">Total </t>
  </si>
  <si>
    <t>Benzole</t>
  </si>
  <si>
    <t>Blast</t>
  </si>
  <si>
    <t>oven</t>
  </si>
  <si>
    <t>breeze</t>
  </si>
  <si>
    <t>manuf.</t>
  </si>
  <si>
    <t xml:space="preserve">manuf. </t>
  </si>
  <si>
    <t>and</t>
  </si>
  <si>
    <t>furnace</t>
  </si>
  <si>
    <t>coke</t>
  </si>
  <si>
    <t>solid fuel</t>
  </si>
  <si>
    <r>
      <t>tars</t>
    </r>
    <r>
      <rPr>
        <b/>
        <i/>
        <sz val="8.5"/>
        <rFont val="Arial"/>
        <family val="2"/>
      </rPr>
      <t xml:space="preserve"> </t>
    </r>
    <r>
      <rPr>
        <i/>
        <sz val="8.5"/>
        <rFont val="Arial"/>
        <family val="2"/>
      </rPr>
      <t>(5)</t>
    </r>
  </si>
  <si>
    <r>
      <t xml:space="preserve">Production </t>
    </r>
    <r>
      <rPr>
        <i/>
        <sz val="8.5"/>
        <rFont val="Arial"/>
        <family val="2"/>
      </rPr>
      <t>(1)</t>
    </r>
  </si>
  <si>
    <r>
      <t xml:space="preserve">Stock change </t>
    </r>
    <r>
      <rPr>
        <i/>
        <sz val="8.5"/>
        <rFont val="Arial"/>
        <family val="2"/>
      </rPr>
      <t>(2)</t>
    </r>
  </si>
  <si>
    <r>
      <t xml:space="preserve">Transfers </t>
    </r>
    <r>
      <rPr>
        <i/>
        <sz val="8.5"/>
        <rFont val="Arial"/>
        <family val="2"/>
      </rPr>
      <t>(3)</t>
    </r>
  </si>
  <si>
    <r>
      <t xml:space="preserve">Statistical difference </t>
    </r>
    <r>
      <rPr>
        <b/>
        <i/>
        <sz val="8.5"/>
        <rFont val="Arial"/>
        <family val="2"/>
      </rPr>
      <t>(4)</t>
    </r>
  </si>
  <si>
    <t>Low temperature carbonisation</t>
  </si>
  <si>
    <t>(1)  See paragraph 2.26</t>
  </si>
  <si>
    <t>(4)  Total supply minus total demand.</t>
  </si>
  <si>
    <t>(2)  Stock fall (+), stock rise (-).</t>
  </si>
  <si>
    <t xml:space="preserve">(5)  Because of the small number of benzole suppliers, figures for </t>
  </si>
  <si>
    <t>(3)  Coke oven gas and blast furnace gas transfers are</t>
  </si>
  <si>
    <t xml:space="preserve">       benzole and tars cannot be given separately.</t>
  </si>
  <si>
    <t xml:space="preserve">       for synthetic coke oven gas, see paragraph 2.48. </t>
  </si>
  <si>
    <t>Unit.GWh</t>
  </si>
  <si>
    <t>Name</t>
  </si>
  <si>
    <t>Name in formulae</t>
  </si>
  <si>
    <t>Petajoules</t>
  </si>
  <si>
    <t>Terajoules</t>
  </si>
  <si>
    <t>Gigajoules</t>
  </si>
  <si>
    <t>Megajoules</t>
  </si>
  <si>
    <t>Kilowatt-hours</t>
  </si>
  <si>
    <t>Kilowatt-hours per person per day</t>
  </si>
  <si>
    <t>Terawatt-hours</t>
  </si>
  <si>
    <t>Gigawatt-hours</t>
  </si>
  <si>
    <t>Tonnes of oil equivalent</t>
  </si>
  <si>
    <t>Kilotonnes of oil equivalent</t>
  </si>
  <si>
    <t>Megatonnes of oil equivalent</t>
  </si>
  <si>
    <t>Therms</t>
  </si>
  <si>
    <t>British Thermal Unit</t>
  </si>
  <si>
    <t>Calorie (NOT food calorie)</t>
  </si>
  <si>
    <t>Gigawatt-years</t>
  </si>
  <si>
    <t>Electricity (supplied to grid)</t>
  </si>
  <si>
    <t>Includes solid manufactured fuels (eg, coke)</t>
  </si>
  <si>
    <t>Includes refined liquid biofuels</t>
  </si>
  <si>
    <t>Heat as an energy source for heat pumps</t>
  </si>
  <si>
    <t>[4]</t>
  </si>
  <si>
    <t>Notes</t>
  </si>
  <si>
    <t>The energy content of the steam generated in the reactor</t>
  </si>
  <si>
    <t>Geosequestration</t>
  </si>
  <si>
    <t>[5]</t>
  </si>
  <si>
    <t>Industrial processes</t>
  </si>
  <si>
    <t>[6]</t>
  </si>
  <si>
    <t>[7]</t>
  </si>
  <si>
    <t>Hydrocarbon fuel power generation</t>
  </si>
  <si>
    <t>Nuclear power generation</t>
  </si>
  <si>
    <t>National renewable power generation</t>
  </si>
  <si>
    <t xml:space="preserve">Commodity balances </t>
  </si>
  <si>
    <t>Total electricity</t>
  </si>
  <si>
    <r>
      <t>Other sources</t>
    </r>
    <r>
      <rPr>
        <i/>
        <sz val="8"/>
        <rFont val="Arial"/>
        <family val="2"/>
      </rPr>
      <t xml:space="preserve"> (1)</t>
    </r>
  </si>
  <si>
    <t xml:space="preserve"> - </t>
  </si>
  <si>
    <r>
      <t>Stock change</t>
    </r>
    <r>
      <rPr>
        <i/>
        <sz val="8"/>
        <rFont val="Arial"/>
        <family val="2"/>
      </rPr>
      <t xml:space="preserve"> </t>
    </r>
  </si>
  <si>
    <r>
      <t xml:space="preserve">Statistical difference </t>
    </r>
    <r>
      <rPr>
        <i/>
        <sz val="8.5"/>
        <rFont val="Arial"/>
        <family val="2"/>
      </rPr>
      <t>(2)</t>
    </r>
  </si>
  <si>
    <t xml:space="preserve">   Other generators</t>
  </si>
  <si>
    <t>Coal extraction and coke manufacture</t>
  </si>
  <si>
    <r>
      <t>Rail</t>
    </r>
    <r>
      <rPr>
        <i/>
        <sz val="8"/>
        <rFont val="Arial"/>
        <family val="2"/>
      </rPr>
      <t xml:space="preserve"> (3)</t>
    </r>
  </si>
  <si>
    <t>Commodity balances (continued)</t>
  </si>
  <si>
    <t>Electricity production</t>
  </si>
  <si>
    <r>
      <t>Total production</t>
    </r>
    <r>
      <rPr>
        <i/>
        <sz val="8.5"/>
        <rFont val="Arial"/>
        <family val="2"/>
      </rPr>
      <t xml:space="preserve"> (4)</t>
    </r>
  </si>
  <si>
    <t xml:space="preserve">  Major power producers</t>
  </si>
  <si>
    <t xml:space="preserve">   Nuclear</t>
  </si>
  <si>
    <r>
      <t xml:space="preserve">   Large scale hydro</t>
    </r>
    <r>
      <rPr>
        <i/>
        <sz val="8"/>
        <rFont val="Arial"/>
        <family val="2"/>
      </rPr>
      <t xml:space="preserve"> (4)</t>
    </r>
  </si>
  <si>
    <r>
      <t xml:space="preserve">   Small scale hydro</t>
    </r>
    <r>
      <rPr>
        <i/>
        <sz val="8"/>
        <rFont val="Arial"/>
        <family val="2"/>
      </rPr>
      <t xml:space="preserve"> </t>
    </r>
  </si>
  <si>
    <r>
      <t>..</t>
    </r>
    <r>
      <rPr>
        <i/>
        <sz val="8"/>
        <color indexed="8"/>
        <rFont val="Arial"/>
        <family val="2"/>
      </rPr>
      <t>(7)</t>
    </r>
  </si>
  <si>
    <r>
      <t xml:space="preserve">    Wind  </t>
    </r>
    <r>
      <rPr>
        <i/>
        <sz val="8"/>
        <rFont val="Arial"/>
        <family val="2"/>
      </rPr>
      <t>(5)</t>
    </r>
  </si>
  <si>
    <t xml:space="preserve">  Other generators</t>
  </si>
  <si>
    <t xml:space="preserve">   Large scale hydro</t>
  </si>
  <si>
    <r>
      <t>204</t>
    </r>
    <r>
      <rPr>
        <i/>
        <sz val="8"/>
        <color indexed="8"/>
        <rFont val="Arial"/>
        <family val="2"/>
      </rPr>
      <t>(7)</t>
    </r>
  </si>
  <si>
    <r>
      <t xml:space="preserve">   Wind</t>
    </r>
    <r>
      <rPr>
        <i/>
        <sz val="8"/>
        <rFont val="Arial"/>
        <family val="2"/>
      </rPr>
      <t xml:space="preserve"> (5)</t>
    </r>
  </si>
  <si>
    <t>Secondary electricity</t>
  </si>
  <si>
    <t xml:space="preserve">   Coal</t>
  </si>
  <si>
    <t xml:space="preserve">   Oil</t>
  </si>
  <si>
    <t xml:space="preserve">   Gas</t>
  </si>
  <si>
    <t xml:space="preserve">   Renewables</t>
  </si>
  <si>
    <t xml:space="preserve">   Other</t>
  </si>
  <si>
    <r>
      <t>Primary and secondary production</t>
    </r>
    <r>
      <rPr>
        <i/>
        <sz val="8.5"/>
        <rFont val="Arial"/>
        <family val="2"/>
      </rPr>
      <t xml:space="preserve"> (6)</t>
    </r>
  </si>
  <si>
    <t xml:space="preserve">Wind </t>
  </si>
  <si>
    <t>Other renewables</t>
  </si>
  <si>
    <t>Total production</t>
  </si>
  <si>
    <t>(1)  Pumped storage production.</t>
  </si>
  <si>
    <t>(2)  Total supply minus total demand.</t>
  </si>
  <si>
    <t>(3)  See paragraph 5.11.</t>
  </si>
  <si>
    <t>(4)  Excludes pumped storage production.</t>
  </si>
  <si>
    <t>(5)  From 2007, major wind farm companies are included under Major Power Producers, see paragraph 5.3</t>
  </si>
  <si>
    <t xml:space="preserve">(6)  These figures are the same as the electricity generated figures in Table 5.6 except that they exclude </t>
  </si>
  <si>
    <t xml:space="preserve">       pumped storage production.  Table 5.6 shows that electricity used on works is deducted to obtain </t>
  </si>
  <si>
    <t xml:space="preserve">      electricity supplied.  It is electricity supplied that is used to produce Chart 5.3 showing each fuel's share </t>
  </si>
  <si>
    <t xml:space="preserve">      of electricity output (see paragraph 5.28).</t>
  </si>
  <si>
    <t xml:space="preserve">(7)  A re-assessment in 2004 showed that some small scale hydro output previously classified to Other </t>
  </si>
  <si>
    <t xml:space="preserve">      Generators should be classified to Major Power Producers.  This re-classification cannot be</t>
  </si>
  <si>
    <t xml:space="preserve">      extended back to earlier years.</t>
  </si>
  <si>
    <r>
      <t>5.6</t>
    </r>
    <r>
      <rPr>
        <b/>
        <sz val="18"/>
        <color indexed="12"/>
        <rFont val="Arial"/>
        <family val="2"/>
      </rPr>
      <t xml:space="preserve">  Electricity fuel use, generation and supply</t>
    </r>
  </si>
  <si>
    <t>Thermal sources</t>
  </si>
  <si>
    <t>Non-thermal sources</t>
  </si>
  <si>
    <t>Renew-</t>
  </si>
  <si>
    <t>Hydro-</t>
  </si>
  <si>
    <t>ables</t>
  </si>
  <si>
    <t>(3)</t>
  </si>
  <si>
    <t>natural</t>
  </si>
  <si>
    <t>pumped</t>
  </si>
  <si>
    <t>(4)</t>
  </si>
  <si>
    <t>All</t>
  </si>
  <si>
    <t>(1)</t>
  </si>
  <si>
    <t>flow</t>
  </si>
  <si>
    <t>storage</t>
  </si>
  <si>
    <t>sources</t>
  </si>
  <si>
    <r>
      <t>Major power producers</t>
    </r>
    <r>
      <rPr>
        <i/>
        <sz val="8.5"/>
        <rFont val="Arial"/>
        <family val="2"/>
      </rPr>
      <t xml:space="preserve"> (2)</t>
    </r>
  </si>
  <si>
    <t xml:space="preserve">Fuel used </t>
  </si>
  <si>
    <t>Generation</t>
  </si>
  <si>
    <t>Used on works</t>
  </si>
  <si>
    <t>Supplied (gross)</t>
  </si>
  <si>
    <t>Used in pumping</t>
  </si>
  <si>
    <t>Supplied (net)</t>
  </si>
  <si>
    <r>
      <t>Other generators</t>
    </r>
    <r>
      <rPr>
        <i/>
        <sz val="8.5"/>
        <rFont val="Arial"/>
        <family val="2"/>
      </rPr>
      <t xml:space="preserve"> (2)</t>
    </r>
  </si>
  <si>
    <t xml:space="preserve">Generation </t>
  </si>
  <si>
    <t xml:space="preserve">Supplied </t>
  </si>
  <si>
    <t>All generating companies</t>
  </si>
  <si>
    <t>Fuel used</t>
  </si>
  <si>
    <r>
      <t xml:space="preserve">Major power producers </t>
    </r>
    <r>
      <rPr>
        <i/>
        <sz val="8.5"/>
        <rFont val="Arial"/>
        <family val="2"/>
      </rPr>
      <t>(2)</t>
    </r>
  </si>
  <si>
    <r>
      <t>Other generators</t>
    </r>
    <r>
      <rPr>
        <sz val="8.5"/>
        <rFont val="Arial"/>
        <family val="2"/>
      </rPr>
      <t xml:space="preserve"> </t>
    </r>
    <r>
      <rPr>
        <i/>
        <sz val="8.5"/>
        <rFont val="Arial"/>
        <family val="2"/>
      </rPr>
      <t>(2)</t>
    </r>
  </si>
  <si>
    <t xml:space="preserve"> -   </t>
  </si>
  <si>
    <r>
      <t xml:space="preserve">Other generators </t>
    </r>
    <r>
      <rPr>
        <i/>
        <sz val="8.5"/>
        <rFont val="Arial"/>
        <family val="2"/>
      </rPr>
      <t>(2)</t>
    </r>
  </si>
  <si>
    <r>
      <t>Major power producers</t>
    </r>
    <r>
      <rPr>
        <sz val="8.5"/>
        <rFont val="Arial"/>
        <family val="2"/>
      </rPr>
      <t xml:space="preserve"> </t>
    </r>
    <r>
      <rPr>
        <i/>
        <sz val="8.5"/>
        <rFont val="Arial"/>
        <family val="2"/>
      </rPr>
      <t>(2)</t>
    </r>
  </si>
  <si>
    <r>
      <t>5.6</t>
    </r>
    <r>
      <rPr>
        <b/>
        <sz val="18"/>
        <color indexed="12"/>
        <rFont val="Arial"/>
        <family val="2"/>
      </rPr>
      <t xml:space="preserve">  Electricity fuel use, generation and supply (continued)</t>
    </r>
  </si>
  <si>
    <r>
      <t>Major power producers</t>
    </r>
    <r>
      <rPr>
        <sz val="8.5"/>
        <rFont val="Arial"/>
        <family val="2"/>
      </rPr>
      <t xml:space="preserve"> </t>
    </r>
    <r>
      <rPr>
        <i/>
        <sz val="8.5"/>
        <rFont val="Arial"/>
        <family val="2"/>
      </rPr>
      <t>(2) (5)</t>
    </r>
  </si>
  <si>
    <r>
      <t>Other generators</t>
    </r>
    <r>
      <rPr>
        <i/>
        <sz val="8.5"/>
        <rFont val="Arial"/>
        <family val="2"/>
      </rPr>
      <t xml:space="preserve"> (2) (5)</t>
    </r>
  </si>
  <si>
    <t>Conv-</t>
  </si>
  <si>
    <t>CCGT</t>
  </si>
  <si>
    <t>entional</t>
  </si>
  <si>
    <t>thermal</t>
  </si>
  <si>
    <t>(6)</t>
  </si>
  <si>
    <r>
      <t>Major power producers</t>
    </r>
    <r>
      <rPr>
        <b/>
        <i/>
        <sz val="8.5"/>
        <rFont val="Arial"/>
        <family val="2"/>
      </rPr>
      <t xml:space="preserve"> </t>
    </r>
    <r>
      <rPr>
        <i/>
        <sz val="8.5"/>
        <rFont val="Arial"/>
        <family val="2"/>
      </rPr>
      <t>(2)</t>
    </r>
  </si>
  <si>
    <t>Generated</t>
  </si>
  <si>
    <t>Other generators</t>
  </si>
  <si>
    <t>(1)  Thermal renewable sources are those included under biofuels and non-biodegradable wastes in Chapter 7.</t>
  </si>
  <si>
    <t>(2)  See paragraphs 5.57 to 5.59 on companies covered.</t>
  </si>
  <si>
    <t>(3)  Other thermal sources include coke oven gas, blast furnace gas and waste products from chemical processes.</t>
  </si>
  <si>
    <t>(4)  Other non-thermal sources include wind, wave and solar photovoltaics.</t>
  </si>
  <si>
    <t xml:space="preserve">(6)  Includes gas turbines, oil engines and plants producing electricity from thermal renewable sources; also stations with some CCGT </t>
  </si>
  <si>
    <t xml:space="preserve">      capacity but mainly operate in conventional thermal mode.</t>
  </si>
  <si>
    <t>Nuclear power stations</t>
  </si>
  <si>
    <t>Consumption</t>
  </si>
  <si>
    <t>Net balance</t>
  </si>
  <si>
    <t>Total consumption</t>
  </si>
  <si>
    <t>Combustion emissions factors</t>
  </si>
  <si>
    <t>Industrial coal</t>
  </si>
  <si>
    <t>Diesel</t>
  </si>
  <si>
    <t>Commodity selected</t>
  </si>
  <si>
    <t>Heat energy as an energy transport vector (Includes Heat Sold in DUKES terminology)</t>
  </si>
  <si>
    <t>Includes both food and biofuels. The sign convention is that imports are negative (think of it as the change in stock held abroad)</t>
  </si>
  <si>
    <t>Gaseous hydrocarbons</t>
  </si>
  <si>
    <t>Global warming potentials</t>
  </si>
  <si>
    <t>GWP</t>
  </si>
  <si>
    <t>Carbon dioxide</t>
  </si>
  <si>
    <t>Methane</t>
  </si>
  <si>
    <t>Nitrous oxide</t>
  </si>
  <si>
    <t>HFCs</t>
  </si>
  <si>
    <t>PFCs</t>
  </si>
  <si>
    <r>
      <t>SF</t>
    </r>
    <r>
      <rPr>
        <vertAlign val="subscript"/>
        <sz val="10"/>
        <color theme="1"/>
        <rFont val="Cambria"/>
        <family val="1"/>
        <scheme val="minor"/>
      </rPr>
      <t>6</t>
    </r>
  </si>
  <si>
    <t>140 to 11,700</t>
  </si>
  <si>
    <t>6,500 to 9,200</t>
  </si>
  <si>
    <t>Review of Carbon Emissions Factors 2002 (Blast furnace gas)</t>
  </si>
  <si>
    <t>DUKES 2009 Annex A</t>
  </si>
  <si>
    <t xml:space="preserve">Sources: </t>
  </si>
  <si>
    <t>Source:</t>
  </si>
  <si>
    <t>UK GHG Inventory 2009, Table 1.1</t>
  </si>
  <si>
    <t>Note:</t>
  </si>
  <si>
    <t>GHG Inventory 2009, Table 1.A(a)</t>
  </si>
  <si>
    <t>CH4 and N2O emissions have been estimated using the ratios of emissions of each</t>
  </si>
  <si>
    <t>to the emissions of CO2 implied by Table 1.A(a) in the GHG inventory. This has</t>
  </si>
  <si>
    <t>been done separately for each form of fuel listed above</t>
  </si>
  <si>
    <r>
      <t>CO</t>
    </r>
    <r>
      <rPr>
        <b/>
        <vertAlign val="subscript"/>
        <sz val="10"/>
        <color theme="1"/>
        <rFont val="Cambria"/>
        <family val="1"/>
        <scheme val="minor"/>
      </rPr>
      <t>2</t>
    </r>
    <r>
      <rPr>
        <b/>
        <sz val="10"/>
        <color theme="1"/>
        <rFont val="Cambria"/>
        <family val="1"/>
        <scheme val="minor"/>
      </rPr>
      <t xml:space="preserve"> (Mt)</t>
    </r>
  </si>
  <si>
    <r>
      <t>CH</t>
    </r>
    <r>
      <rPr>
        <b/>
        <vertAlign val="subscript"/>
        <sz val="10"/>
        <color theme="1"/>
        <rFont val="Cambria"/>
        <family val="1"/>
        <scheme val="minor"/>
      </rPr>
      <t>4</t>
    </r>
    <r>
      <rPr>
        <b/>
        <sz val="10"/>
        <color theme="1"/>
        <rFont val="Cambria"/>
        <family val="1"/>
        <scheme val="minor"/>
      </rPr>
      <t xml:space="preserve"> (Mt CO</t>
    </r>
    <r>
      <rPr>
        <b/>
        <vertAlign val="subscript"/>
        <sz val="10"/>
        <color theme="1"/>
        <rFont val="Cambria"/>
        <family val="1"/>
        <scheme val="minor"/>
      </rPr>
      <t>2</t>
    </r>
    <r>
      <rPr>
        <b/>
        <sz val="10"/>
        <color theme="1"/>
        <rFont val="Cambria"/>
        <family val="1"/>
        <scheme val="minor"/>
      </rPr>
      <t>e)</t>
    </r>
  </si>
  <si>
    <r>
      <t>N</t>
    </r>
    <r>
      <rPr>
        <b/>
        <vertAlign val="subscript"/>
        <sz val="10"/>
        <color theme="1"/>
        <rFont val="Cambria"/>
        <family val="1"/>
        <scheme val="minor"/>
      </rPr>
      <t>2</t>
    </r>
    <r>
      <rPr>
        <b/>
        <sz val="10"/>
        <color theme="1"/>
        <rFont val="Cambria"/>
        <family val="1"/>
        <scheme val="minor"/>
      </rPr>
      <t>O (Mt CO</t>
    </r>
    <r>
      <rPr>
        <b/>
        <vertAlign val="subscript"/>
        <sz val="10"/>
        <color theme="1"/>
        <rFont val="Cambria"/>
        <family val="1"/>
        <scheme val="minor"/>
      </rPr>
      <t>2</t>
    </r>
    <r>
      <rPr>
        <b/>
        <sz val="10"/>
        <color theme="1"/>
        <rFont val="Cambria"/>
        <family val="1"/>
        <scheme val="minor"/>
      </rPr>
      <t>e)</t>
    </r>
  </si>
  <si>
    <t>Workstreams</t>
  </si>
  <si>
    <t>Workstream</t>
  </si>
  <si>
    <t>Comments</t>
  </si>
  <si>
    <t>V</t>
  </si>
  <si>
    <t>VI</t>
  </si>
  <si>
    <t>VII</t>
  </si>
  <si>
    <t>VIII</t>
  </si>
  <si>
    <t>XIV</t>
  </si>
  <si>
    <t>IX</t>
  </si>
  <si>
    <t>X</t>
  </si>
  <si>
    <t>XI</t>
  </si>
  <si>
    <t>XII</t>
  </si>
  <si>
    <t>XIII</t>
  </si>
  <si>
    <t>H2 Production</t>
  </si>
  <si>
    <t>Inputs</t>
  </si>
  <si>
    <t>Outputs</t>
  </si>
  <si>
    <t>Total secondary sources</t>
  </si>
  <si>
    <t>Total primary sources</t>
  </si>
  <si>
    <t>Secondary sources</t>
  </si>
  <si>
    <t>2007</t>
  </si>
  <si>
    <t>2010</t>
  </si>
  <si>
    <t>Energy is measured in:</t>
  </si>
  <si>
    <t>Power is measured in:</t>
  </si>
  <si>
    <t>Energy conversions</t>
  </si>
  <si>
    <t>Power conversions</t>
  </si>
  <si>
    <t>Watts</t>
  </si>
  <si>
    <t>GW</t>
  </si>
  <si>
    <t>kW</t>
  </si>
  <si>
    <t>Gigawatts</t>
  </si>
  <si>
    <t>Kilowatts</t>
  </si>
  <si>
    <t>Unit.GW</t>
  </si>
  <si>
    <t>Unit.kW</t>
  </si>
  <si>
    <t>MW</t>
  </si>
  <si>
    <t>Megawatts</t>
  </si>
  <si>
    <t>Unit.MW</t>
  </si>
  <si>
    <t>Mtoe/y</t>
  </si>
  <si>
    <t>Mtoe per year</t>
  </si>
  <si>
    <t>Unit.Mtoe.y</t>
  </si>
  <si>
    <t>Time conversions</t>
  </si>
  <si>
    <t>Seconds</t>
  </si>
  <si>
    <t>y</t>
  </si>
  <si>
    <t>Year</t>
  </si>
  <si>
    <t>Unit.year</t>
  </si>
  <si>
    <t>Fuel</t>
  </si>
  <si>
    <t>Notes:</t>
  </si>
  <si>
    <t>2015</t>
  </si>
  <si>
    <t>2020</t>
  </si>
  <si>
    <t>2025</t>
  </si>
  <si>
    <t>2030</t>
  </si>
  <si>
    <t>2035</t>
  </si>
  <si>
    <t>2040</t>
  </si>
  <si>
    <t>2045</t>
  </si>
  <si>
    <t>2050</t>
  </si>
  <si>
    <t>Methodology</t>
  </si>
  <si>
    <t>Equivalent to</t>
  </si>
  <si>
    <t>J</t>
  </si>
  <si>
    <t>Unit.J</t>
  </si>
  <si>
    <t>W</t>
  </si>
  <si>
    <t>Unit.W</t>
  </si>
  <si>
    <t>Modules</t>
  </si>
  <si>
    <t>I.a</t>
  </si>
  <si>
    <t>Module</t>
  </si>
  <si>
    <t>WS Code</t>
  </si>
  <si>
    <t>Primary source</t>
  </si>
  <si>
    <t>Fossil fuels</t>
  </si>
  <si>
    <t>Uses</t>
  </si>
  <si>
    <t>V.07</t>
  </si>
  <si>
    <t>V.08</t>
  </si>
  <si>
    <t>V.09</t>
  </si>
  <si>
    <t>II.a</t>
  </si>
  <si>
    <t>Load factor</t>
  </si>
  <si>
    <t>VII.a</t>
  </si>
  <si>
    <t>Electricity grid distribution</t>
  </si>
  <si>
    <t>VII.b</t>
  </si>
  <si>
    <t>Fixed assumptions</t>
  </si>
  <si>
    <t>VII.c</t>
  </si>
  <si>
    <t>*</t>
  </si>
  <si>
    <t>Y.03</t>
  </si>
  <si>
    <t>Eg, pumped storage</t>
  </si>
  <si>
    <t>III.b</t>
  </si>
  <si>
    <t>Natural flow hydro (ie, excludes pumped storage)</t>
  </si>
  <si>
    <t>III.c</t>
  </si>
  <si>
    <t>III.d</t>
  </si>
  <si>
    <t>III.e</t>
  </si>
  <si>
    <t>Derived assumptions</t>
  </si>
  <si>
    <t>Population</t>
  </si>
  <si>
    <t>Households</t>
  </si>
  <si>
    <t>Global assumptions for all sectors</t>
  </si>
  <si>
    <t>GDP:</t>
  </si>
  <si>
    <t>GDP (2005 £m)</t>
  </si>
  <si>
    <t>Households:</t>
  </si>
  <si>
    <t>Populations:</t>
  </si>
  <si>
    <t>ONS 2008-based Population Projections. Populations beyond 2033 are interpolated based on given average annual changes</t>
  </si>
  <si>
    <t>Sources</t>
  </si>
  <si>
    <t>IX.a</t>
  </si>
  <si>
    <t>Component</t>
  </si>
  <si>
    <t>Technology</t>
  </si>
  <si>
    <t>°C</t>
  </si>
  <si>
    <t>W / °C</t>
  </si>
  <si>
    <t xml:space="preserve">CLG Household estimates and projections 1961-2033 (2006-based). </t>
  </si>
  <si>
    <t>Years prior to 2031 linearly interpolated from figures given; Post 2031, growth is assumed to be 1.00% pa, consistent with average trend 2006-2031</t>
  </si>
  <si>
    <t>Temperature projections based on Defra's UK Climate Projections, whose 50% probability level ("central case") estimate, under a medium emissions</t>
  </si>
  <si>
    <r>
      <t>°</t>
    </r>
    <r>
      <rPr>
        <sz val="10"/>
        <color theme="1"/>
        <rFont val="Cambria"/>
        <family val="1"/>
        <scheme val="minor"/>
      </rPr>
      <t>C</t>
    </r>
  </si>
  <si>
    <t>×</t>
  </si>
  <si>
    <t>Rate of heat loss per house</t>
  </si>
  <si>
    <t>=</t>
  </si>
  <si>
    <t>Total energy required</t>
  </si>
  <si>
    <t>Mean winter temperature differential</t>
  </si>
  <si>
    <t>Watts / °C</t>
  </si>
  <si>
    <t>%</t>
  </si>
  <si>
    <t>Resisitive heating</t>
  </si>
  <si>
    <t>Solid-fuel boiler</t>
  </si>
  <si>
    <t>Oil-fired boiler</t>
  </si>
  <si>
    <t>District heating</t>
  </si>
  <si>
    <t>Balance</t>
  </si>
  <si>
    <t>Heat transport</t>
  </si>
  <si>
    <t>Winter</t>
  </si>
  <si>
    <t>Spring</t>
  </si>
  <si>
    <t>Summer</t>
  </si>
  <si>
    <t>Autumn</t>
  </si>
  <si>
    <t>Number of households</t>
  </si>
  <si>
    <t>Source: 2007 temperature from The Met Office: http://www.metoffice.gov.uk/climate/uk/index.html</t>
  </si>
  <si>
    <t>Duration of winter (Dec-Feb)</t>
  </si>
  <si>
    <t>Mean spring temperature differential</t>
  </si>
  <si>
    <t>Mean summer temperature differential</t>
  </si>
  <si>
    <t>Mean autumn temperature differential</t>
  </si>
  <si>
    <t>−</t>
  </si>
  <si>
    <t>Total per household losses</t>
  </si>
  <si>
    <t>Winter losses / household</t>
  </si>
  <si>
    <t>Spring losses / household</t>
  </si>
  <si>
    <t>Summer losses / household</t>
  </si>
  <si>
    <t>Autumn losses / household</t>
  </si>
  <si>
    <t>Duration of  spring (Mar-May)</t>
  </si>
  <si>
    <t>Duration of summer (Jun-Aug)</t>
  </si>
  <si>
    <t>Duration of autumn (Sep-Nov)</t>
  </si>
  <si>
    <t>Convert to energy demand by vector</t>
  </si>
  <si>
    <t>I.b</t>
  </si>
  <si>
    <t>Onshore wind</t>
  </si>
  <si>
    <t>Offshore wind</t>
  </si>
  <si>
    <t>IX.b</t>
  </si>
  <si>
    <t>XI.a</t>
  </si>
  <si>
    <t>Seasonal external temperature</t>
  </si>
  <si>
    <t>Emissions</t>
  </si>
  <si>
    <t>XII.a</t>
  </si>
  <si>
    <t>Liquids</t>
  </si>
  <si>
    <t>Petroleum products (weighted average)</t>
  </si>
  <si>
    <t>DUKES 2009 (figures are for fuels in 2008)</t>
  </si>
  <si>
    <t>kg / litre</t>
  </si>
  <si>
    <t>Motor spirit</t>
  </si>
  <si>
    <t>Diesel (DERV)</t>
  </si>
  <si>
    <t>Densities of selected fuels</t>
  </si>
  <si>
    <t>Liquid fuels</t>
  </si>
  <si>
    <t>DUKES 2009, Annex A</t>
  </si>
  <si>
    <t>Motor spirit (all grades)</t>
  </si>
  <si>
    <t>DERV</t>
  </si>
  <si>
    <t>XII.b</t>
  </si>
  <si>
    <t>XII.c</t>
  </si>
  <si>
    <t>Aviation turbine fuel (ATF)</t>
  </si>
  <si>
    <t>VI.a</t>
  </si>
  <si>
    <t>Includes plant and animal biomass</t>
  </si>
  <si>
    <t>Includes manure, sewage sludge, domestic food waste</t>
  </si>
  <si>
    <t>All built environment non-heating electricity demand plus cooking</t>
  </si>
  <si>
    <t>V.10</t>
  </si>
  <si>
    <t>XIII.a</t>
  </si>
  <si>
    <t>None in 2007</t>
  </si>
  <si>
    <t>Total adjust.</t>
  </si>
  <si>
    <t>Adjustments</t>
  </si>
  <si>
    <t>IX.c</t>
  </si>
  <si>
    <t>IX.d</t>
  </si>
  <si>
    <t>Total Domestic</t>
  </si>
  <si>
    <t>Total Commercial</t>
  </si>
  <si>
    <t>Total uses</t>
  </si>
  <si>
    <t>X.a</t>
  </si>
  <si>
    <t>X.b</t>
  </si>
  <si>
    <t>Domestic lighting, appliances, and cooking</t>
  </si>
  <si>
    <t>Commercial lighting, appliances, and catering</t>
  </si>
  <si>
    <t>XII.d</t>
  </si>
  <si>
    <t>International aviation</t>
  </si>
  <si>
    <t>Domestic aviation</t>
  </si>
  <si>
    <t>XII.e</t>
  </si>
  <si>
    <t>International shipping (maritime bunkers)</t>
  </si>
  <si>
    <t>XII.f</t>
  </si>
  <si>
    <t>Total Aviation</t>
  </si>
  <si>
    <t>Total Shipping</t>
  </si>
  <si>
    <t>XIV.a</t>
  </si>
  <si>
    <t>V.a</t>
  </si>
  <si>
    <t>VI.b</t>
  </si>
  <si>
    <t>T.05</t>
  </si>
  <si>
    <t>T.06</t>
  </si>
  <si>
    <t>International shipping</t>
  </si>
  <si>
    <t>XV</t>
  </si>
  <si>
    <t>Fossil fuel production</t>
  </si>
  <si>
    <t>XV.a</t>
  </si>
  <si>
    <t>IV.a</t>
  </si>
  <si>
    <t>VIII.a</t>
  </si>
  <si>
    <t>Distribution, storage, and balancing</t>
  </si>
  <si>
    <t>XV.b</t>
  </si>
  <si>
    <t>Indigenous fossil-fuel production</t>
  </si>
  <si>
    <t>Y.04</t>
  </si>
  <si>
    <t>Y.05</t>
  </si>
  <si>
    <t>Y.06</t>
  </si>
  <si>
    <t>Reserves</t>
  </si>
  <si>
    <t>Q.01</t>
  </si>
  <si>
    <t>Q.02</t>
  </si>
  <si>
    <t>Q.03</t>
  </si>
  <si>
    <t>Coal reserves</t>
  </si>
  <si>
    <t>Oil reserves</t>
  </si>
  <si>
    <t>XVI</t>
  </si>
  <si>
    <t>XVI.a</t>
  </si>
  <si>
    <t>XVI.b</t>
  </si>
  <si>
    <t>Fossil fuel transfers</t>
  </si>
  <si>
    <t>Total Dist'n, storage, and balancing</t>
  </si>
  <si>
    <t>Computed within this worksheet</t>
  </si>
  <si>
    <t>Road transport</t>
  </si>
  <si>
    <t>Rail transport</t>
  </si>
  <si>
    <t>Gas reserves</t>
  </si>
  <si>
    <t>A.01</t>
  </si>
  <si>
    <t>Food and biomatter production</t>
  </si>
  <si>
    <t>http://www.communities.gov.uk/housing/housingresearch/housingstatistics/housingstatisticsby/householdestimates/livetables-households/</t>
  </si>
  <si>
    <t>Crude oil (weighted average)</t>
  </si>
  <si>
    <t>Natural gas produced</t>
  </si>
  <si>
    <t>IPCC Sector</t>
  </si>
  <si>
    <t>Fuel Combustion</t>
  </si>
  <si>
    <t>Industrial Processes</t>
  </si>
  <si>
    <t>Solvent and Other Product Use</t>
  </si>
  <si>
    <t>Sector_code</t>
  </si>
  <si>
    <t>Sector_description</t>
  </si>
  <si>
    <t>IPCC Emissions Sectors</t>
  </si>
  <si>
    <t>X1</t>
  </si>
  <si>
    <t>X2</t>
  </si>
  <si>
    <t>Greenhouse gasses</t>
  </si>
  <si>
    <t>GHG_code</t>
  </si>
  <si>
    <t>GHG_description</t>
  </si>
  <si>
    <t>CO2</t>
  </si>
  <si>
    <t>CH4</t>
  </si>
  <si>
    <t>N2O</t>
  </si>
  <si>
    <t>F</t>
  </si>
  <si>
    <t>CO_2</t>
  </si>
  <si>
    <t>CH_4</t>
  </si>
  <si>
    <t>N_2O</t>
  </si>
  <si>
    <t>HFCs, PFCs, and SF_6</t>
  </si>
  <si>
    <t>Primary Sources</t>
  </si>
  <si>
    <t>1B</t>
  </si>
  <si>
    <t>1A</t>
  </si>
  <si>
    <t>Fugitive Emissions from Fuels</t>
  </si>
  <si>
    <r>
      <t>Emissions (Mt CO</t>
    </r>
    <r>
      <rPr>
        <b/>
        <vertAlign val="subscript"/>
        <sz val="18"/>
        <color theme="1"/>
        <rFont val="Calibri"/>
        <family val="2"/>
        <scheme val="major"/>
      </rPr>
      <t>2</t>
    </r>
    <r>
      <rPr>
        <b/>
        <sz val="18"/>
        <color theme="1"/>
        <rFont val="Calibri"/>
        <family val="2"/>
        <scheme val="major"/>
      </rPr>
      <t>e)</t>
    </r>
  </si>
  <si>
    <t>Assumed combustion emissions factors</t>
  </si>
  <si>
    <t>Industrial coal EF</t>
  </si>
  <si>
    <t>Diesel EF</t>
  </si>
  <si>
    <t>Natural gas EF</t>
  </si>
  <si>
    <t>GHG</t>
  </si>
  <si>
    <t>Mt CO2e</t>
  </si>
  <si>
    <r>
      <t>Mt CO</t>
    </r>
    <r>
      <rPr>
        <vertAlign val="subscript"/>
        <sz val="10"/>
        <color theme="1"/>
        <rFont val="Cambria"/>
        <family val="1"/>
        <scheme val="minor"/>
      </rPr>
      <t>2</t>
    </r>
    <r>
      <rPr>
        <sz val="10"/>
        <color theme="1"/>
        <rFont val="Cambria"/>
        <family val="1"/>
        <scheme val="minor"/>
      </rPr>
      <t>e</t>
    </r>
  </si>
  <si>
    <t>X3</t>
  </si>
  <si>
    <t xml:space="preserve">1.9  Fuels consumed for electricity generation </t>
  </si>
  <si>
    <r>
      <t xml:space="preserve">      (autogeneration) by main industrial groups</t>
    </r>
    <r>
      <rPr>
        <i/>
        <vertAlign val="superscript"/>
        <sz val="18"/>
        <color indexed="12"/>
        <rFont val="Arial"/>
        <family val="2"/>
      </rPr>
      <t>(1)</t>
    </r>
  </si>
  <si>
    <t xml:space="preserve">Thousand tonnes of oil equivalent </t>
  </si>
  <si>
    <t>(except where shown otherwise)</t>
  </si>
  <si>
    <t>Iron and steel and non-ferrous metals</t>
  </si>
  <si>
    <t xml:space="preserve">   Blast furnace gas </t>
  </si>
  <si>
    <t xml:space="preserve">   Coke oven gas</t>
  </si>
  <si>
    <t xml:space="preserve">   Natural gas</t>
  </si>
  <si>
    <t xml:space="preserve">   Petroleum</t>
  </si>
  <si>
    <r>
      <t xml:space="preserve">   Other (including renewables)</t>
    </r>
    <r>
      <rPr>
        <i/>
        <sz val="8"/>
        <rFont val="Arial"/>
        <family val="2"/>
      </rPr>
      <t xml:space="preserve"> (2)</t>
    </r>
  </si>
  <si>
    <r>
      <t>Total fuel input</t>
    </r>
    <r>
      <rPr>
        <i/>
        <sz val="8.5"/>
        <rFont val="Arial"/>
        <family val="2"/>
      </rPr>
      <t xml:space="preserve"> (3)</t>
    </r>
  </si>
  <si>
    <t>Electricity generated by iron &amp; steel and non-ferrous</t>
  </si>
  <si>
    <r>
      <t xml:space="preserve">metals </t>
    </r>
    <r>
      <rPr>
        <i/>
        <sz val="8.5"/>
        <rFont val="Arial"/>
        <family val="2"/>
      </rPr>
      <t>(4)                                                                     (in GWh)</t>
    </r>
  </si>
  <si>
    <t>Electricity consumed by iron and steel and non-ferrous</t>
  </si>
  <si>
    <r>
      <t>metals from own generation</t>
    </r>
    <r>
      <rPr>
        <i/>
        <sz val="8.5"/>
        <rFont val="Arial"/>
        <family val="2"/>
      </rPr>
      <t xml:space="preserve"> (5)                             (in GWh)</t>
    </r>
  </si>
  <si>
    <r>
      <t>Electricity generated by chemicals</t>
    </r>
    <r>
      <rPr>
        <i/>
        <sz val="8.5"/>
        <rFont val="Arial"/>
        <family val="2"/>
      </rPr>
      <t xml:space="preserve"> (4)</t>
    </r>
  </si>
  <si>
    <r>
      <t xml:space="preserve">                                                                                      </t>
    </r>
    <r>
      <rPr>
        <i/>
        <sz val="8"/>
        <rFont val="Arial"/>
        <family val="2"/>
      </rPr>
      <t xml:space="preserve"> (in GWh)</t>
    </r>
  </si>
  <si>
    <r>
      <t>Electricity consumed by chemicals from own generation</t>
    </r>
    <r>
      <rPr>
        <i/>
        <sz val="8.5"/>
        <rFont val="Arial"/>
        <family val="2"/>
      </rPr>
      <t xml:space="preserve"> (5)</t>
    </r>
  </si>
  <si>
    <t xml:space="preserve">                                                                                       (in GWh)</t>
  </si>
  <si>
    <t>Metal products, machinery and equipment</t>
  </si>
  <si>
    <r>
      <t xml:space="preserve">   Other (including renewables) </t>
    </r>
    <r>
      <rPr>
        <i/>
        <sz val="8"/>
        <rFont val="Arial"/>
        <family val="2"/>
      </rPr>
      <t>(2)</t>
    </r>
  </si>
  <si>
    <r>
      <t xml:space="preserve">Total fuel input </t>
    </r>
    <r>
      <rPr>
        <i/>
        <sz val="8.5"/>
        <rFont val="Arial"/>
        <family val="2"/>
      </rPr>
      <t>(3)</t>
    </r>
  </si>
  <si>
    <t>Electricity generated by metal products, machinery</t>
  </si>
  <si>
    <r>
      <t xml:space="preserve">and equipment </t>
    </r>
    <r>
      <rPr>
        <i/>
        <sz val="8.5"/>
        <rFont val="Arial"/>
        <family val="2"/>
      </rPr>
      <t>(4)                                                      (in GWh)</t>
    </r>
  </si>
  <si>
    <t xml:space="preserve">Electricity consumed by metal products, machinery </t>
  </si>
  <si>
    <r>
      <t xml:space="preserve">and equipment from own generation </t>
    </r>
    <r>
      <rPr>
        <i/>
        <sz val="8.5"/>
        <rFont val="Arial"/>
        <family val="2"/>
      </rPr>
      <t>(5)              (in GWh)</t>
    </r>
  </si>
  <si>
    <t>Food, beverages and tobacco</t>
  </si>
  <si>
    <r>
      <t>Electricity generated by food, beverages and tobacco</t>
    </r>
    <r>
      <rPr>
        <i/>
        <sz val="8.5"/>
        <rFont val="Arial"/>
        <family val="2"/>
      </rPr>
      <t xml:space="preserve"> (4)</t>
    </r>
  </si>
  <si>
    <t>Electricity consumed by food, beverages and tobacco</t>
  </si>
  <si>
    <r>
      <t xml:space="preserve">from own generation </t>
    </r>
    <r>
      <rPr>
        <i/>
        <sz val="8.5"/>
        <rFont val="Arial"/>
        <family val="2"/>
      </rPr>
      <t>(5) (6)                                         (in GWh)</t>
    </r>
  </si>
  <si>
    <t>(1)  Industrial categories used are described in Table 1G.</t>
  </si>
  <si>
    <t>(2)  Includes hydro electricity, solid and gaseous renewables and waste.</t>
  </si>
  <si>
    <t>(3)  Total fuels used for generation of electricity.  Consistent with figures for fuels used by other generators in Table 5.4.</t>
  </si>
  <si>
    <r>
      <t xml:space="preserve">       (autogeneration) by main industrial groups</t>
    </r>
    <r>
      <rPr>
        <i/>
        <vertAlign val="superscript"/>
        <sz val="18"/>
        <color indexed="12"/>
        <rFont val="Arial"/>
        <family val="2"/>
      </rPr>
      <t>(1)</t>
    </r>
    <r>
      <rPr>
        <b/>
        <sz val="18"/>
        <color indexed="12"/>
        <rFont val="Arial"/>
        <family val="2"/>
      </rPr>
      <t xml:space="preserve"> </t>
    </r>
  </si>
  <si>
    <t xml:space="preserve">       (continued)</t>
  </si>
  <si>
    <t>Paper, printing and publishing</t>
  </si>
  <si>
    <r>
      <t xml:space="preserve">Electricity generated by paper, printing and publishing </t>
    </r>
    <r>
      <rPr>
        <i/>
        <sz val="8.5"/>
        <rFont val="Arial"/>
        <family val="2"/>
      </rPr>
      <t>(4)</t>
    </r>
  </si>
  <si>
    <r>
      <t xml:space="preserve">                                                                                       </t>
    </r>
    <r>
      <rPr>
        <i/>
        <sz val="8"/>
        <rFont val="Arial"/>
        <family val="2"/>
      </rPr>
      <t xml:space="preserve"> (in GWh)</t>
    </r>
  </si>
  <si>
    <t xml:space="preserve">Electricity consumed by paper, printing and publishing </t>
  </si>
  <si>
    <r>
      <t xml:space="preserve">from own generation </t>
    </r>
    <r>
      <rPr>
        <i/>
        <sz val="8.5"/>
        <rFont val="Arial"/>
        <family val="2"/>
      </rPr>
      <t>(5)                                           (in GWh)</t>
    </r>
  </si>
  <si>
    <r>
      <t xml:space="preserve">Electricity generated by other industries </t>
    </r>
    <r>
      <rPr>
        <i/>
        <sz val="8.5"/>
        <rFont val="Arial"/>
        <family val="2"/>
      </rPr>
      <t>(4)</t>
    </r>
  </si>
  <si>
    <r>
      <t xml:space="preserve">                                                                                        </t>
    </r>
    <r>
      <rPr>
        <i/>
        <sz val="8"/>
        <rFont val="Arial"/>
        <family val="2"/>
      </rPr>
      <t xml:space="preserve"> (in GWh)</t>
    </r>
  </si>
  <si>
    <t xml:space="preserve">Electricity consumed by other industries from own </t>
  </si>
  <si>
    <r>
      <t>generation</t>
    </r>
    <r>
      <rPr>
        <i/>
        <sz val="8.5"/>
        <rFont val="Arial"/>
        <family val="2"/>
      </rPr>
      <t xml:space="preserve"> (5)                                                             (in GWh)</t>
    </r>
  </si>
  <si>
    <t xml:space="preserve">   Natural gas </t>
  </si>
  <si>
    <r>
      <t>Electricity generated</t>
    </r>
    <r>
      <rPr>
        <i/>
        <sz val="8.5"/>
        <rFont val="Arial"/>
        <family val="2"/>
      </rPr>
      <t xml:space="preserve"> (4)</t>
    </r>
  </si>
  <si>
    <r>
      <t xml:space="preserve">                                                                                       </t>
    </r>
    <r>
      <rPr>
        <i/>
        <sz val="8"/>
        <rFont val="Arial"/>
        <family val="2"/>
      </rPr>
      <t>(in GWh)</t>
    </r>
  </si>
  <si>
    <r>
      <t xml:space="preserve">Electricity consumed from own generation </t>
    </r>
    <r>
      <rPr>
        <i/>
        <sz val="8.5"/>
        <rFont val="Arial"/>
        <family val="2"/>
      </rPr>
      <t>(5)</t>
    </r>
  </si>
  <si>
    <t>(4) Combined heat and power (CHP) generation (ie electrical output from Table 6.8) plus non-chp generation, so that</t>
  </si>
  <si>
    <t xml:space="preserve">     the total electricity generated is consistent with the "other generators" figures in Table 5.6. </t>
  </si>
  <si>
    <t>(5) This is the electricity consumed by the industrial sector from its own generation and is consistent with the other</t>
  </si>
  <si>
    <t xml:space="preserve">     generators final users figures used within the electricity balances (Tables 5.1 and 5.2).  These figures are less than </t>
  </si>
  <si>
    <t xml:space="preserve">      the total generated because some of the electricity is sold to the public distribution system and other users.</t>
  </si>
  <si>
    <t xml:space="preserve">(6) 2007 figure is likley to change. Inconsistencies which occurred during the reclassification of CHP schemes </t>
  </si>
  <si>
    <t xml:space="preserve">      are currently being investigated. </t>
  </si>
  <si>
    <t>(7) The figures presented here are consistent with other figures presented elsewhere in this publication as detailed at</t>
  </si>
  <si>
    <t xml:space="preserve">     (3), (4), and (5) above but are further dissaggregated.  Overall totals  covering all autogenerators can be derived by </t>
  </si>
  <si>
    <t xml:space="preserve">     adding in figures for transport, services and the fuel industries.  These can be summarised as follows:</t>
  </si>
  <si>
    <t>Fuel input</t>
  </si>
  <si>
    <t xml:space="preserve">   All industry</t>
  </si>
  <si>
    <t xml:space="preserve">   Fuel industries</t>
  </si>
  <si>
    <t xml:space="preserve">   Transport, Commerce and Administration</t>
  </si>
  <si>
    <t xml:space="preserve">   Services</t>
  </si>
  <si>
    <t>Total fuel input</t>
  </si>
  <si>
    <t>Electricity generated</t>
  </si>
  <si>
    <t>Electricity consumed</t>
  </si>
  <si>
    <t>Assumed constant</t>
  </si>
  <si>
    <t>Not applicable to the UK</t>
  </si>
  <si>
    <t>Compute emissions</t>
  </si>
  <si>
    <t>EMISSIONS</t>
  </si>
  <si>
    <t>Emissions notes</t>
  </si>
  <si>
    <t>Fugitive emissions from fuels</t>
  </si>
  <si>
    <t>1B2a</t>
  </si>
  <si>
    <t>1B2b</t>
  </si>
  <si>
    <t>Natural Gas</t>
  </si>
  <si>
    <t>1B1a</t>
  </si>
  <si>
    <t>Coal Mining and Handling</t>
  </si>
  <si>
    <t>1B1b</t>
  </si>
  <si>
    <t>Solid Fuel Transformation</t>
  </si>
  <si>
    <t>1B1c</t>
  </si>
  <si>
    <t>1B2c</t>
  </si>
  <si>
    <t>1B2d</t>
  </si>
  <si>
    <t>Venting and Flaring</t>
  </si>
  <si>
    <t>Majority are methane emissions from coal mining</t>
  </si>
  <si>
    <t>Small compared to 1B1a</t>
  </si>
  <si>
    <t>Small compared to 1B2b and 1B2c</t>
  </si>
  <si>
    <t>Majority are CO2 emissions from flaring</t>
  </si>
  <si>
    <t>Modelled driver is coal production</t>
  </si>
  <si>
    <t>Modelled driver is oil production</t>
  </si>
  <si>
    <t>Majority are methane emissions from distributed gas</t>
  </si>
  <si>
    <t>Modelled driver is gas consumption</t>
  </si>
  <si>
    <t>Includes distribution losses for gas</t>
  </si>
  <si>
    <t>Electricity Generation</t>
  </si>
  <si>
    <t>Max</t>
  </si>
  <si>
    <t>Technology package</t>
  </si>
  <si>
    <t>Start year</t>
  </si>
  <si>
    <t>Technology penetration</t>
  </si>
  <si>
    <t>% of households</t>
  </si>
  <si>
    <t>Total households</t>
  </si>
  <si>
    <t>New households since last period</t>
  </si>
  <si>
    <t>Nuclear fission</t>
  </si>
  <si>
    <t>UK incident solar energy, annual average</t>
  </si>
  <si>
    <t>Assumption</t>
  </si>
  <si>
    <t>Units</t>
  </si>
  <si>
    <t>Value</t>
  </si>
  <si>
    <r>
      <t>W / m</t>
    </r>
    <r>
      <rPr>
        <vertAlign val="superscript"/>
        <sz val="10"/>
        <color theme="1"/>
        <rFont val="Cambria"/>
        <family val="1"/>
        <scheme val="minor"/>
      </rPr>
      <t>2</t>
    </r>
  </si>
  <si>
    <t>Solar energy:</t>
  </si>
  <si>
    <r>
      <t xml:space="preserve">MacKay, </t>
    </r>
    <r>
      <rPr>
        <i/>
        <sz val="10"/>
        <color theme="1"/>
        <rFont val="Cambria"/>
        <family val="1"/>
        <scheme val="minor"/>
      </rPr>
      <t>Sustainable Energy -- without the hot air</t>
    </r>
    <r>
      <rPr>
        <sz val="10"/>
        <color theme="1"/>
        <rFont val="Cambria"/>
        <family val="1"/>
        <scheme val="minor"/>
      </rPr>
      <t xml:space="preserve">; originally from NASA, </t>
    </r>
    <r>
      <rPr>
        <i/>
        <sz val="10"/>
        <color theme="1"/>
        <rFont val="Cambria"/>
        <family val="1"/>
        <scheme val="minor"/>
      </rPr>
      <t>Surface meteorology and Solar Energy</t>
    </r>
  </si>
  <si>
    <t>UK incident solar energy, south-facing roof</t>
  </si>
  <si>
    <t>(ii) Housing thermal efficiency</t>
  </si>
  <si>
    <t>(ii) Housing insulation: Average heat loss per house</t>
  </si>
  <si>
    <t>Growth rate pa</t>
  </si>
  <si>
    <t>Domestic space heating and hot water</t>
  </si>
  <si>
    <t>Gas boiler (old)</t>
  </si>
  <si>
    <t>Gas boiler (new)</t>
  </si>
  <si>
    <t>% of input energy</t>
  </si>
  <si>
    <t>Stirling engine μCHP</t>
  </si>
  <si>
    <t>Air-source heat pump</t>
  </si>
  <si>
    <t>Ground-source heat pump</t>
  </si>
  <si>
    <t>District heating from power stations</t>
  </si>
  <si>
    <t>Includes solid biomass boilers, wood-burning stoves, biomass-fired community heating</t>
  </si>
  <si>
    <t>Includes community CHP</t>
  </si>
  <si>
    <t>Mix of "new" and "old" gas boilers estimated from % of gas/oil boilers that are condensing boilers.</t>
  </si>
  <si>
    <t>Chosen</t>
  </si>
  <si>
    <t>Installations per year, following period</t>
  </si>
  <si>
    <t>Assumed to grow at same rate as number of households</t>
  </si>
  <si>
    <t>Supply hot water with solar thermal (if any)</t>
  </si>
  <si>
    <t>Hot water demand</t>
  </si>
  <si>
    <t>Hot water demand per household</t>
  </si>
  <si>
    <t>Total space heating demand</t>
  </si>
  <si>
    <t>Residual hot water demand</t>
  </si>
  <si>
    <t>Supply residual hot water with given technologies</t>
  </si>
  <si>
    <t>Supply space heating with given technologies</t>
  </si>
  <si>
    <t>Compute seasonal space heating demand</t>
  </si>
  <si>
    <t>Compute total energy demand by vector</t>
  </si>
  <si>
    <t>See module writeup</t>
  </si>
  <si>
    <r>
      <t xml:space="preserve">Source: Estimated from BRE </t>
    </r>
    <r>
      <rPr>
        <i/>
        <sz val="10"/>
        <color theme="1"/>
        <rFont val="Cambria"/>
        <family val="1"/>
        <scheme val="minor"/>
      </rPr>
      <t>Domestic Energy Fact File 2008</t>
    </r>
    <r>
      <rPr>
        <sz val="10"/>
        <color theme="1"/>
        <rFont val="Cambria"/>
        <family val="1"/>
        <scheme val="minor"/>
      </rPr>
      <t>, figure 36, assuming 20m households</t>
    </r>
  </si>
  <si>
    <t>Useful heat gains per household, estimated</t>
  </si>
  <si>
    <t>Metabolic</t>
  </si>
  <si>
    <t>Estimated internal gains</t>
  </si>
  <si>
    <t>Household demand net of internal gains</t>
  </si>
  <si>
    <t>Scaled by L&amp;A demand</t>
  </si>
  <si>
    <t>Scaled by hot water demand</t>
  </si>
  <si>
    <t>Total internal gains</t>
  </si>
  <si>
    <t>Commercial heating and cooling</t>
  </si>
  <si>
    <t>IV.b</t>
  </si>
  <si>
    <t>Domestic solar thermal</t>
  </si>
  <si>
    <t>V.11</t>
  </si>
  <si>
    <t>Solar thermal heat, used for hot water</t>
  </si>
  <si>
    <t>Used solar thermal heating</t>
  </si>
  <si>
    <t>Total electricity supply (demand) to this point</t>
  </si>
  <si>
    <t>Total electricity supply (demand) prior to generation</t>
  </si>
  <si>
    <t>XVII</t>
  </si>
  <si>
    <t>District heating effective demand</t>
  </si>
  <si>
    <t>XVII.a</t>
  </si>
  <si>
    <t>Converts heat demand to equivalent electric demand</t>
  </si>
  <si>
    <t>Total heatsupply (demand) to this point</t>
  </si>
  <si>
    <t>Trajectory</t>
  </si>
  <si>
    <t>Trajectory choice</t>
  </si>
  <si>
    <t>Trajectory assumptions</t>
  </si>
  <si>
    <t>Trajectory selection</t>
  </si>
  <si>
    <t>Trajectory forecast a rise in mean winter / spring / summer / autumn  temperature of approx. 2 / 2.25 / 2.5 / 2.25 °C by 2050 compared to 1960-1990 average</t>
  </si>
  <si>
    <t>Domestic passenger transport</t>
  </si>
  <si>
    <t>Domestic freight</t>
  </si>
  <si>
    <r>
      <t xml:space="preserve">In our model, </t>
    </r>
    <r>
      <rPr>
        <i/>
        <sz val="10"/>
        <color theme="1"/>
        <rFont val="Cambria"/>
        <family val="1"/>
        <scheme val="minor"/>
      </rPr>
      <t>includes</t>
    </r>
    <r>
      <rPr>
        <sz val="10"/>
        <color theme="1"/>
        <rFont val="Cambria"/>
        <family val="1"/>
        <scheme val="minor"/>
      </rPr>
      <t xml:space="preserve"> biofuel combustion emissions. See sector X2</t>
    </r>
  </si>
  <si>
    <t>Sequestration due to bioenergy crops should be included under X2</t>
  </si>
  <si>
    <t>X1 is not an IPCC sectoral code. Includes domestic aviation</t>
  </si>
  <si>
    <t>Oil and petroleum products</t>
  </si>
  <si>
    <t>LULUCF</t>
  </si>
  <si>
    <t>B</t>
  </si>
  <si>
    <t>C</t>
  </si>
  <si>
    <t>D</t>
  </si>
  <si>
    <t>Waste arising</t>
  </si>
  <si>
    <t>Solid</t>
  </si>
  <si>
    <t>All forms of waste</t>
  </si>
  <si>
    <t>V.12</t>
  </si>
  <si>
    <t>X2 is not an IPCC sectoral code. CO2 "credit" from bioenergy</t>
  </si>
  <si>
    <t>IV.c</t>
  </si>
  <si>
    <t>HOT WATER DEMAND</t>
  </si>
  <si>
    <t>SPACE HEATING DEMAND</t>
  </si>
  <si>
    <t>SUPPLY SPACE HEATING DEMAND WITH GIVEN TECHNOLOGIES</t>
  </si>
  <si>
    <t>TOTAL ENERGY DEMAND BY VECTOR</t>
  </si>
  <si>
    <t>[7b]</t>
  </si>
  <si>
    <t>Technologies: 2007 penetrations; Max penetration; and start year for roll-out [7]</t>
  </si>
  <si>
    <t>[7a]</t>
  </si>
  <si>
    <r>
      <t xml:space="preserve">2007 penetrations from BRE </t>
    </r>
    <r>
      <rPr>
        <i/>
        <sz val="10"/>
        <color theme="1"/>
        <rFont val="Cambria"/>
        <family val="1"/>
        <scheme val="minor"/>
      </rPr>
      <t>Domestic Energy Fact File,</t>
    </r>
    <r>
      <rPr>
        <sz val="10"/>
        <color theme="1"/>
        <rFont val="Cambria"/>
        <family val="1"/>
        <scheme val="minor"/>
      </rPr>
      <t xml:space="preserve"> and are actually 2006 figures for Great Britain. Figures are rounded to the nearest percentage</t>
    </r>
  </si>
  <si>
    <t>Resitive heating not expected to be rolled out except to parallel heat pump roll-out as part of general electrification</t>
  </si>
  <si>
    <t>Distributed renewable power generation</t>
  </si>
  <si>
    <t>Distributed solar PV</t>
  </si>
  <si>
    <t>Distributed solar thermal</t>
  </si>
  <si>
    <t>Micro wind</t>
  </si>
  <si>
    <t>Nuclear power</t>
  </si>
  <si>
    <t>SUPPLY HOT WATER DEMAND WITH GIVEN TECHNOLOGIES</t>
  </si>
  <si>
    <t>Compute cooling demand</t>
  </si>
  <si>
    <t>COOLING DEMAND</t>
  </si>
  <si>
    <t>Heating and cooling</t>
  </si>
  <si>
    <t>Heat energy demand (eg, for space heating, water heating) and cooling</t>
  </si>
  <si>
    <t>Total supply / (demand) to this point</t>
  </si>
  <si>
    <t>Combustion + CCS</t>
  </si>
  <si>
    <t>Used as a holding vector for converting demand net production into imports</t>
  </si>
  <si>
    <t>Includes refined petroleums</t>
  </si>
  <si>
    <t>Energy source / use charts</t>
  </si>
  <si>
    <t>Use</t>
  </si>
  <si>
    <t>V.b</t>
  </si>
  <si>
    <t>Bioenergy imports</t>
  </si>
  <si>
    <t>% of actual</t>
  </si>
  <si>
    <t>Subtotal.XVII.a</t>
  </si>
  <si>
    <t>Subtotal.II.a</t>
  </si>
  <si>
    <t>Subtotal.I.b</t>
  </si>
  <si>
    <t>Subtotal.I.a</t>
  </si>
  <si>
    <t>Subtotal.VII.b</t>
  </si>
  <si>
    <t>Subtotal.V.a</t>
  </si>
  <si>
    <t>Subtotal.V.b</t>
  </si>
  <si>
    <t>Subtotal.XVI.a</t>
  </si>
  <si>
    <t>III.a.1</t>
  </si>
  <si>
    <t>III.a.2</t>
  </si>
  <si>
    <t>7.4  Capacity of, and electricity generated from,</t>
  </si>
  <si>
    <t xml:space="preserve">       renewable sources</t>
  </si>
  <si>
    <r>
      <t xml:space="preserve">Installed Capacity (MWe) </t>
    </r>
    <r>
      <rPr>
        <b/>
        <i/>
        <sz val="9"/>
        <rFont val="Arial"/>
        <family val="2"/>
      </rPr>
      <t>(1)</t>
    </r>
  </si>
  <si>
    <t xml:space="preserve">   Wind:</t>
  </si>
  <si>
    <t xml:space="preserve">       Onshore</t>
  </si>
  <si>
    <r>
      <t xml:space="preserve">       Offshore </t>
    </r>
    <r>
      <rPr>
        <i/>
        <sz val="8"/>
        <rFont val="Arial"/>
        <family val="2"/>
      </rPr>
      <t>(2)</t>
    </r>
  </si>
  <si>
    <t xml:space="preserve">   Shoreline wave</t>
  </si>
  <si>
    <t xml:space="preserve">   Solar photovoltaics</t>
  </si>
  <si>
    <t xml:space="preserve">   Hydro:</t>
  </si>
  <si>
    <t xml:space="preserve">       Small scale </t>
  </si>
  <si>
    <r>
      <t xml:space="preserve">       Large scale </t>
    </r>
    <r>
      <rPr>
        <i/>
        <sz val="8"/>
        <rFont val="Arial"/>
        <family val="2"/>
      </rPr>
      <t>(3)</t>
    </r>
  </si>
  <si>
    <t>Biomass:</t>
  </si>
  <si>
    <t xml:space="preserve">      Landfill gas </t>
  </si>
  <si>
    <t xml:space="preserve">      Sewage sludge digestion</t>
  </si>
  <si>
    <t xml:space="preserve">      Municipal solid waste combustion</t>
  </si>
  <si>
    <r>
      <t xml:space="preserve">      Animal Biomass </t>
    </r>
    <r>
      <rPr>
        <i/>
        <sz val="8"/>
        <rFont val="Arial"/>
        <family val="2"/>
      </rPr>
      <t>(4)</t>
    </r>
  </si>
  <si>
    <r>
      <t xml:space="preserve">      Plant Biomass </t>
    </r>
    <r>
      <rPr>
        <i/>
        <sz val="8"/>
        <rFont val="Arial"/>
        <family val="2"/>
      </rPr>
      <t>(5)</t>
    </r>
  </si>
  <si>
    <t xml:space="preserve">   Total biomass and wastes</t>
  </si>
  <si>
    <r>
      <t xml:space="preserve">Co-firing </t>
    </r>
    <r>
      <rPr>
        <i/>
        <sz val="8.5"/>
        <rFont val="Arial"/>
        <family val="2"/>
      </rPr>
      <t>(6)</t>
    </r>
  </si>
  <si>
    <t>Generation (GWh)</t>
  </si>
  <si>
    <r>
      <t xml:space="preserve">       Onshore </t>
    </r>
    <r>
      <rPr>
        <i/>
        <sz val="8"/>
        <rFont val="Arial"/>
        <family val="2"/>
      </rPr>
      <t>(7)</t>
    </r>
  </si>
  <si>
    <r>
      <t xml:space="preserve">       Offshore </t>
    </r>
    <r>
      <rPr>
        <i/>
        <sz val="8"/>
        <rFont val="Arial"/>
        <family val="2"/>
      </rPr>
      <t>(8)</t>
    </r>
  </si>
  <si>
    <r>
      <t xml:space="preserve">       Large scale</t>
    </r>
    <r>
      <rPr>
        <i/>
        <sz val="8"/>
        <rFont val="Arial"/>
        <family val="2"/>
      </rPr>
      <t xml:space="preserve"> (3)</t>
    </r>
  </si>
  <si>
    <t xml:space="preserve">       Landfill gas </t>
  </si>
  <si>
    <t xml:space="preserve">       Sewage sludge digestion</t>
  </si>
  <si>
    <r>
      <t xml:space="preserve">       Municipal solid waste combustion </t>
    </r>
    <r>
      <rPr>
        <i/>
        <sz val="8"/>
        <rFont val="Arial"/>
        <family val="2"/>
      </rPr>
      <t>(9)</t>
    </r>
  </si>
  <si>
    <t xml:space="preserve">       Co-firing with fossil fuels</t>
  </si>
  <si>
    <r>
      <t xml:space="preserve">       Animal Biomass</t>
    </r>
    <r>
      <rPr>
        <i/>
        <sz val="8"/>
        <rFont val="Arial"/>
        <family val="2"/>
      </rPr>
      <t xml:space="preserve"> (10)</t>
    </r>
  </si>
  <si>
    <r>
      <t xml:space="preserve">       Plant Biomass </t>
    </r>
    <r>
      <rPr>
        <i/>
        <sz val="8"/>
        <rFont val="Arial"/>
        <family val="2"/>
      </rPr>
      <t>(11)</t>
    </r>
  </si>
  <si>
    <t xml:space="preserve">   Total biomass</t>
  </si>
  <si>
    <t xml:space="preserve">Total generation </t>
  </si>
  <si>
    <r>
      <t xml:space="preserve">Non-biodegradable wastes </t>
    </r>
    <r>
      <rPr>
        <i/>
        <sz val="8.5"/>
        <rFont val="Arial"/>
        <family val="2"/>
      </rPr>
      <t>(12)</t>
    </r>
  </si>
  <si>
    <r>
      <t xml:space="preserve">Load factors (per cent) </t>
    </r>
    <r>
      <rPr>
        <b/>
        <i/>
        <sz val="8.5"/>
        <rFont val="Arial"/>
        <family val="2"/>
      </rPr>
      <t>(13)</t>
    </r>
  </si>
  <si>
    <t xml:space="preserve">   Onshore wind</t>
  </si>
  <si>
    <t xml:space="preserve">   Offshore wind</t>
  </si>
  <si>
    <t xml:space="preserve">..   </t>
  </si>
  <si>
    <t xml:space="preserve">   Hydro</t>
  </si>
  <si>
    <t xml:space="preserve">   Biomass (excluding co-firing)</t>
  </si>
  <si>
    <t>Total (including wastes)</t>
  </si>
  <si>
    <r>
      <t xml:space="preserve">Load factors on an unchanged configuration basis (per cent) </t>
    </r>
    <r>
      <rPr>
        <b/>
        <i/>
        <sz val="8"/>
        <rFont val="Arial"/>
        <family val="2"/>
      </rPr>
      <t>(14)</t>
    </r>
  </si>
  <si>
    <t xml:space="preserve">   Offshore wind (from 2006 only)</t>
  </si>
  <si>
    <t>(1)    Capacity on a DNC basis is shown in Long Term Trends Table 7.1.1 available on the DECC web site - see paragraph 7.74.</t>
  </si>
  <si>
    <t>(2)    In 2007 and 2008 excludes Beatrice (10 MW) which was only supplying an offshore oil platform.</t>
  </si>
  <si>
    <t xml:space="preserve">(3)    Excluding pumped storage stations.  Capacities are as at the end of December. </t>
  </si>
  <si>
    <t xml:space="preserve">(4)    Includes the use of farm waste digestion, poultry litter and meat and bone. </t>
  </si>
  <si>
    <t xml:space="preserve">(5)    Includes the use of waste tyres, straw combustion, short rotation coppice and hospital waste. </t>
  </si>
  <si>
    <t>(6)   This is the amount of fossil fuelled capacity used for co-firing of renewables based on the proportion of generation accounted</t>
  </si>
  <si>
    <t xml:space="preserve">        for by the renewable source.</t>
  </si>
  <si>
    <t>(7)    Actual generation figures are given where available, but otherwise are estimated using a typical load factor or the design</t>
  </si>
  <si>
    <t xml:space="preserve">        load factor, where known.</t>
  </si>
  <si>
    <t xml:space="preserve">(8)    Latest years include electricity from shoreline wave but this amounts to less than 0.05 GWh.  Generation by Beatrice excluded </t>
  </si>
  <si>
    <t xml:space="preserve">        (see note 2).</t>
  </si>
  <si>
    <t>(9)    Biodegradable part only.</t>
  </si>
  <si>
    <t xml:space="preserve">(10)  Includes the use of farm waste digestion, poultry litter combustion and meat and bone combustion. </t>
  </si>
  <si>
    <t xml:space="preserve">(11)  Includes the use of straw and energy crops. </t>
  </si>
  <si>
    <t>(12)  Non-biodegradable part of municipal solid waste plus waste tyres, hosptal waste and general industrial waste.</t>
  </si>
  <si>
    <t>(13)  Load factors are calculated based on installed capacity at the beginning and the end of the year - see paragraph 7.75.</t>
  </si>
  <si>
    <t>(14)  For a definition see paragraphs 7.76 and 7.77.</t>
  </si>
  <si>
    <t>V.13</t>
  </si>
  <si>
    <t>Includes wood, straw, and other plant-based biomass, wood chips, garden waste, and MSW. Does not include energy crops, including SRC</t>
  </si>
  <si>
    <t>Consumption of solid hydrocarbons</t>
  </si>
  <si>
    <t>Consumption of liquid hydrocarbons</t>
  </si>
  <si>
    <t>Bioenergy contextual data</t>
  </si>
  <si>
    <t>Subtotal.Consumption</t>
  </si>
  <si>
    <t>Subtotal.Supply</t>
  </si>
  <si>
    <t>Subtotal.Balancing</t>
  </si>
  <si>
    <t>Used in transport</t>
  </si>
  <si>
    <t>Used in CCS power plants</t>
  </si>
  <si>
    <t>Supplied from liquid biofuels</t>
  </si>
  <si>
    <t>Supplied from solid bioenergy</t>
  </si>
  <si>
    <t>Used in industry</t>
  </si>
  <si>
    <t>Source / Use</t>
  </si>
  <si>
    <t>Energy supply and demand</t>
  </si>
  <si>
    <t>Community scale gas CHP</t>
  </si>
  <si>
    <t>Community scale solid-fuel CHP</t>
  </si>
  <si>
    <t>District</t>
  </si>
  <si>
    <t>Low</t>
  </si>
  <si>
    <t>Medium</t>
  </si>
  <si>
    <t>High</t>
  </si>
  <si>
    <t>(i) Heating / cooling comfort level</t>
  </si>
  <si>
    <t>(iv) Target technology penetrations, cooling (must be less than maximum penetration) [1]</t>
  </si>
  <si>
    <t>Absorption chiller</t>
  </si>
  <si>
    <t>Technology efficiencies -- cooling</t>
  </si>
  <si>
    <r>
      <t xml:space="preserve">Total cooling demand, </t>
    </r>
    <r>
      <rPr>
        <b/>
        <i/>
        <sz val="10"/>
        <color theme="1"/>
        <rFont val="Cambria"/>
        <family val="1"/>
        <scheme val="minor"/>
      </rPr>
      <t>of which</t>
    </r>
  </si>
  <si>
    <t>Convert to energy demand by physical vector</t>
  </si>
  <si>
    <t>Rewrite cooling demand as energy required as input to the cooling system</t>
  </si>
  <si>
    <t>Mixed / None</t>
  </si>
  <si>
    <t>Heating systems</t>
  </si>
  <si>
    <t>Cooling systems</t>
  </si>
  <si>
    <t>Maximum installation rate (including new builds) [5]</t>
  </si>
  <si>
    <t>(iv) Non-electric fuel direction</t>
  </si>
  <si>
    <t>(iv) Primary non-electric source</t>
  </si>
  <si>
    <t>(iii) Electrification level</t>
  </si>
  <si>
    <t>X3 is not an IPPC sectoral code. All CCS, including industry</t>
  </si>
  <si>
    <t>Carbon capture</t>
  </si>
  <si>
    <t>Bioenergy credit</t>
  </si>
  <si>
    <t>Consumption of gaseous hydrocarbons</t>
  </si>
  <si>
    <t>Used in commercial heating</t>
  </si>
  <si>
    <t>Used in domestic heating</t>
  </si>
  <si>
    <r>
      <t>Modelled emissions, net of capture, by sector (Mt CO</t>
    </r>
    <r>
      <rPr>
        <b/>
        <vertAlign val="subscript"/>
        <sz val="18"/>
        <color theme="1"/>
        <rFont val="Calibri"/>
        <family val="2"/>
        <scheme val="major"/>
      </rPr>
      <t>2</t>
    </r>
    <r>
      <rPr>
        <b/>
        <sz val="18"/>
        <color theme="1"/>
        <rFont val="Calibri"/>
        <family val="2"/>
        <scheme val="major"/>
      </rPr>
      <t>e)</t>
    </r>
  </si>
  <si>
    <t>Area conversions</t>
  </si>
  <si>
    <t>ha</t>
  </si>
  <si>
    <t>Hectares</t>
  </si>
  <si>
    <t>Unit.ha</t>
  </si>
  <si>
    <t>Acres</t>
  </si>
  <si>
    <t>acres</t>
  </si>
  <si>
    <t>Unit.acre</t>
  </si>
  <si>
    <t>km^2</t>
  </si>
  <si>
    <t>m^2</t>
  </si>
  <si>
    <t>Square kilometres</t>
  </si>
  <si>
    <t>Square metres</t>
  </si>
  <si>
    <t>Unit.km2</t>
  </si>
  <si>
    <t>Unit.m2</t>
  </si>
  <si>
    <t>Wales</t>
  </si>
  <si>
    <t>Unit.Wales</t>
  </si>
  <si>
    <t>Area is measured in:</t>
  </si>
  <si>
    <t>Subtotal.VIII.a</t>
  </si>
  <si>
    <t>Total supply (demand) to this point</t>
  </si>
  <si>
    <t>Storage, demand shifting, backup</t>
  </si>
  <si>
    <t>Days</t>
  </si>
  <si>
    <t>Unit.day</t>
  </si>
  <si>
    <t>d</t>
  </si>
  <si>
    <t>h</t>
  </si>
  <si>
    <t>Hours</t>
  </si>
  <si>
    <t>Unit.hour</t>
  </si>
  <si>
    <t>m</t>
  </si>
  <si>
    <t>Minutes</t>
  </si>
  <si>
    <t>Unit.minute</t>
  </si>
  <si>
    <t>Power to energy conversion</t>
  </si>
  <si>
    <t>Average power for given energy</t>
  </si>
  <si>
    <t>Conversion.to.average.power</t>
  </si>
  <si>
    <t>From unit</t>
  </si>
  <si>
    <t>To unit</t>
  </si>
  <si>
    <t>Factor</t>
  </si>
  <si>
    <t>Annual energy for given power</t>
  </si>
  <si>
    <t>Conversion.to.annual.energy</t>
  </si>
  <si>
    <t>Energy per second for given power</t>
  </si>
  <si>
    <t>Conversion.to.energy.per.second</t>
  </si>
  <si>
    <t>M ha</t>
  </si>
  <si>
    <t>Million hectares</t>
  </si>
  <si>
    <t>Unit.Mha</t>
  </si>
  <si>
    <t>Includes use of energy in agriculture</t>
  </si>
  <si>
    <t>Balancing imports</t>
  </si>
  <si>
    <t>(Not used)</t>
  </si>
  <si>
    <t>Coal and fossil waste</t>
  </si>
  <si>
    <t>Marine algae</t>
  </si>
  <si>
    <t>VI.c</t>
  </si>
  <si>
    <t>Environmental heat</t>
  </si>
  <si>
    <t>Energy crops (second generation)</t>
  </si>
  <si>
    <t>V.14</t>
  </si>
  <si>
    <t>Second-generation crops grown for energy use</t>
  </si>
  <si>
    <t>First-generation crops grown for energy use</t>
  </si>
  <si>
    <t>V.15</t>
  </si>
  <si>
    <t>Methane from waste</t>
  </si>
  <si>
    <t>Energy crops (first generation)</t>
  </si>
  <si>
    <t>Used in heating</t>
  </si>
  <si>
    <t>Used in refineries</t>
  </si>
  <si>
    <t>Supplied from biogas</t>
  </si>
  <si>
    <t>In the event of a 5 day peak in heating and drop in wind</t>
  </si>
  <si>
    <t>Used in unabated power plants</t>
  </si>
  <si>
    <t>Lookup of technology pathway</t>
  </si>
  <si>
    <t>Pathway chosen is …</t>
  </si>
  <si>
    <t>Fixed proportion of losses</t>
  </si>
  <si>
    <t>No longer used</t>
  </si>
  <si>
    <t>Electric air conditioner (old)</t>
  </si>
  <si>
    <t>Electric air conditioner (new)</t>
  </si>
  <si>
    <t>Wave and Tidal</t>
  </si>
  <si>
    <t>Very low</t>
  </si>
  <si>
    <t>% of base yr</t>
  </si>
  <si>
    <t>Demonstration plants only; no roll-out of CCS</t>
  </si>
  <si>
    <t>No development of macro-algae cultivation</t>
  </si>
  <si>
    <t>The dominant non-electric heating fuel is coal (biomass if available)</t>
  </si>
  <si>
    <t>The dominant non-electric heat source is heat from power stations</t>
  </si>
  <si>
    <t>Space heating demand increases by 50%, hot water demand by 60%, cooling demand by 250%</t>
  </si>
  <si>
    <t>Space heating demand increases by 30%, hot water demand by 50%, cooling demand by 60%</t>
  </si>
  <si>
    <t>100% electric</t>
  </si>
  <si>
    <t>Energy demand for lights &amp; appliances increases by 33%. Energy for cooking is stable</t>
  </si>
  <si>
    <t>60% electricity and 40% gas (no change from 2007)</t>
  </si>
  <si>
    <t>Carbon dioxide sequestration rate of 1 million tonnes per annum by 2050</t>
  </si>
  <si>
    <t>Used in electricity</t>
  </si>
  <si>
    <t>Matching electricity</t>
  </si>
  <si>
    <t>emissions factor</t>
  </si>
  <si>
    <t>Bioenergy</t>
  </si>
  <si>
    <t>Agriculture and land use</t>
  </si>
  <si>
    <t>Example pathways</t>
  </si>
  <si>
    <t>No new nuclear power installed; estimated closure of final plant in 2035</t>
  </si>
  <si>
    <t>No deployment of geothermal electricity generation</t>
  </si>
  <si>
    <t>No significant solar PV capacity is installed</t>
  </si>
  <si>
    <t>No electricity imports, other than for balancing</t>
  </si>
  <si>
    <t>Today’s 3.5 GW storage &amp; 4 GW interconnection with Europe for balancing</t>
  </si>
  <si>
    <t>4 GW storage &amp; 10 GW interconnection with Europe for balancing</t>
  </si>
  <si>
    <t>7 GW storage with 2 more pumped storage, 15 GW interconnection &amp; some demand shifting</t>
  </si>
  <si>
    <t>20 GW storage with large lagoons, 30 GW interconnection &amp; substantial demand shifting</t>
  </si>
  <si>
    <t>Average room temperature increases to 20°C (a 2.5°C increase on 2007)</t>
  </si>
  <si>
    <t>Average room temperature increases to 18°C (a 0.5°C increase on 2007)</t>
  </si>
  <si>
    <t>Average room temperature decreases to 17°C (a 0.5°C decrease on 2007)</t>
  </si>
  <si>
    <t>The dominant non-electric heat source is gas (biogas if available)</t>
  </si>
  <si>
    <t>The dominant non-electric heat source is coal (biomass if available)</t>
  </si>
  <si>
    <t>The dominant non-electric heat source is waste heat from power stations</t>
  </si>
  <si>
    <t>Space heating demand stable, hot water demand increases by 25%, cooling demand stable</t>
  </si>
  <si>
    <t>Space heating demand drops by 25%, hot water demand by 10%, cooling demand by 60%</t>
  </si>
  <si>
    <t>The proportion of non-domestic heat supplied using electricity is 0-10%, as today</t>
  </si>
  <si>
    <t>The proportion of non-domestic heat supplied using electricity is 20%</t>
  </si>
  <si>
    <t>The proportion of non-domestic heat supplied using electricity is 30-60%</t>
  </si>
  <si>
    <t>The proportion of non-domestic heat supplied using electricity is 80-100%</t>
  </si>
  <si>
    <t>A mixture of gas/biogas, coal/biomass, and heat from power stations</t>
  </si>
  <si>
    <t>Energy demand for domestic lights and appliances increases by 20% (relative to 2007)</t>
  </si>
  <si>
    <t>Energy demand for domestic lights and appliances is stable</t>
  </si>
  <si>
    <t>Energy demand for domestic lights and appliances decreases by 40%</t>
  </si>
  <si>
    <t>Energy demand for lights &amp; appliances decreases by 5%; decreases by 20% for cooking</t>
  </si>
  <si>
    <t>Energy demand for lights &amp; appliances decreases by 30%; decreases by 25% for cooking</t>
  </si>
  <si>
    <t>Road haulage makes up 73% of distance, using conventional engines. Rail all diesel</t>
  </si>
  <si>
    <t>No geosequestration</t>
  </si>
  <si>
    <t>Energy demand for lights &amp; appliances increases by 15%; decreases by 5% for cooking</t>
  </si>
  <si>
    <t>(Derived from data in "Constants")</t>
  </si>
  <si>
    <t>NB: Emissions (in blue) are modelled from energy consumption and may not agree precisely</t>
  </si>
  <si>
    <t>constant factor so that 2007 modelled emissions match 2007 actual emissions.</t>
  </si>
  <si>
    <t>NB: Modelled emissions adjusted to match 2007 actuals. See note below emission table.</t>
  </si>
  <si>
    <t>with 2007 actuals.  However, % of base year figures (in black) have been adjusted  by a</t>
  </si>
  <si>
    <t>Food consumption [UNUSED]</t>
  </si>
  <si>
    <t>Domestic aviation [UNUSED - see XII.a]</t>
  </si>
  <si>
    <t>National navigation [UNUSED - see XII.a]</t>
  </si>
  <si>
    <t>Tidal [UNUSED - See III.c]</t>
  </si>
  <si>
    <t>Domestic hot water [UNUSED - See IX.a]</t>
  </si>
  <si>
    <t>Commercial hot water [UNUSED - See IX.c]</t>
  </si>
  <si>
    <t>Total food consumption. Not presently used</t>
  </si>
  <si>
    <t>Some shift from road to rail and water, and more efficient engines</t>
  </si>
  <si>
    <t>1 (or A)</t>
  </si>
  <si>
    <t>2 (or B)</t>
  </si>
  <si>
    <t>3 (or C)</t>
  </si>
  <si>
    <t>~240 TWh/yr from 25-40 CCS power stations; comparable to current gas &amp; coal generation</t>
  </si>
  <si>
    <t>~340 TWh/yr from 35-60 CCS power stations; comparable to total current demand</t>
  </si>
  <si>
    <t xml:space="preserve">~8,000 turbines in 2050, delivering ~50 TWh/yr. </t>
  </si>
  <si>
    <t>~13,000 turbines in 2050, delivering ~80 TWh/yr</t>
  </si>
  <si>
    <t>~10,000 turbines in 2050, delivering ~180 TWh/yr</t>
  </si>
  <si>
    <t>~17,000 turbines in 2050, delivering ~310 TWh/yr</t>
  </si>
  <si>
    <t>Supply of electricity is maintained at current levels of 5 TWh/yr</t>
  </si>
  <si>
    <t>Supply grows slowly, reaching 7 TWh/yr by 2050</t>
  </si>
  <si>
    <t>Supply grows more quickly, reaching 8 TWh/yr by 2030 and is sustained</t>
  </si>
  <si>
    <t>Supply of geothermal electricity grows slowly to 7 TWh/yr in 2035 and is sustained</t>
  </si>
  <si>
    <t>Supply grows quickly reaching 21 TWh/yr by 2030 and is sustained</t>
  </si>
  <si>
    <t>4m2 of photovoltaic panels per person in 2050, supplying ~60 TWh/yr of electricity</t>
  </si>
  <si>
    <t xml:space="preserve"> 5.4m2 of photovoltaic panels per person in 2050, supplying ~80 TWh/yr</t>
  </si>
  <si>
    <t>As today, a negligible proportion of buildings have solar thermal in 2050</t>
  </si>
  <si>
    <t>~30% of suitable buildings get ~30% of their hot water from solar thermal</t>
  </si>
  <si>
    <t>All suitable buildings get ~30% of their hot water from solar thermal</t>
  </si>
  <si>
    <t>As today, no discernable supply of electricity from micro-wind turbines</t>
  </si>
  <si>
    <t>Supply increases to 1.3 TWh/yr by 2020 and is sustained</t>
  </si>
  <si>
    <t>Installed in all ~450,000 suitable domestic properties; supplies 3.5 TWh/year from 2020</t>
  </si>
  <si>
    <t>30 TWh/yr of electricity imported from Southern Europe</t>
  </si>
  <si>
    <t xml:space="preserve">70 TWh/yr imported from UK 10% share of international desert solar project </t>
  </si>
  <si>
    <t>The proportion of domestic heat supplied using electricity is 0-10%, as today</t>
  </si>
  <si>
    <t>Greater modal shift to rail and water; more efficient HGVs; more efficient logistics</t>
  </si>
  <si>
    <t>Carbon dioxide sequestration rate of ~30 million tonnes per annum by 2050</t>
  </si>
  <si>
    <t>Carbon dioxide sequestration rate of ~110 million tonnes per annum by 2050</t>
  </si>
  <si>
    <t>Biomass</t>
  </si>
  <si>
    <t>Coal, biomass, gas, and oil-fired; non-CCS</t>
  </si>
  <si>
    <t>Conventional thermal plant</t>
  </si>
  <si>
    <t>III.c.Wave</t>
  </si>
  <si>
    <t>III.c.TidalStream</t>
  </si>
  <si>
    <t>III.c.TidalRange</t>
  </si>
  <si>
    <t>Carbon Capture Storage (CCS)</t>
  </si>
  <si>
    <t>Information</t>
  </si>
  <si>
    <t>Information type</t>
  </si>
  <si>
    <t>B.01</t>
  </si>
  <si>
    <t>Installed Capacity</t>
  </si>
  <si>
    <t>Number of units</t>
  </si>
  <si>
    <t>Information summary</t>
  </si>
  <si>
    <t xml:space="preserve">Installed Capacity </t>
  </si>
  <si>
    <t>B.02</t>
  </si>
  <si>
    <t>B.03</t>
  </si>
  <si>
    <t>H2 Production for Transport</t>
  </si>
  <si>
    <t xml:space="preserve">Solid wall insulation </t>
  </si>
  <si>
    <t>Cavity wall insulation</t>
  </si>
  <si>
    <t xml:space="preserve">Floor insulation </t>
  </si>
  <si>
    <t>Superglazing</t>
  </si>
  <si>
    <t>Lofts</t>
  </si>
  <si>
    <t>Draughtproofing</t>
  </si>
  <si>
    <t>B.04</t>
  </si>
  <si>
    <t>mcm/d</t>
  </si>
  <si>
    <t>mcm/d natural gas</t>
  </si>
  <si>
    <t>Unit.mcm.d</t>
  </si>
  <si>
    <t>Bioenergy Supply</t>
  </si>
  <si>
    <t>Balancing &amp; Storage</t>
  </si>
  <si>
    <t>Used in Industry</t>
  </si>
  <si>
    <t>Used in unabated power generation</t>
  </si>
  <si>
    <t>Used in CCS power generation</t>
  </si>
  <si>
    <t>Oversupply and Imports needed</t>
  </si>
  <si>
    <t>Edible biomass</t>
  </si>
  <si>
    <t>Dry biomass and waste</t>
  </si>
  <si>
    <t>Wet biomass and waste</t>
  </si>
  <si>
    <t>Gas oversupply (imports)</t>
  </si>
  <si>
    <t>Biomass oversupply (imports)</t>
  </si>
  <si>
    <t>Electricity oversupply (imports)</t>
  </si>
  <si>
    <t>Petroleum products oversupply</t>
  </si>
  <si>
    <t>Coal oversupply (imports)</t>
  </si>
  <si>
    <t>Oil and petroleum products oversupply (imports)</t>
  </si>
  <si>
    <t>4 (or D)</t>
  </si>
  <si>
    <t>~510 TWh/yr  from 50-90 CCS power stations; build rate of gas plants in the 1990s</t>
  </si>
  <si>
    <t>9.5m2 of photovoltaic panels per person – all suitable roof and facade space used</t>
  </si>
  <si>
    <t>140 TWh/yr imported from UK 20% share of international desert solar project</t>
  </si>
  <si>
    <t>~20,000 turbines in 2050, delivering ~130 TWh/yr</t>
  </si>
  <si>
    <t>Supply grows rapidly reaching 35 TWh/yr by 2030 and is sustained</t>
  </si>
  <si>
    <t>Supply grows rapidly reaching 13 TWh/yr by 2035 and is sustained</t>
  </si>
  <si>
    <t>Installed in all suitable domestic and non-domestic sties; 8.9 TWh/year from 2020</t>
  </si>
  <si>
    <t>Biomass mainly converted to biogas fuel</t>
  </si>
  <si>
    <t>Biomass converted to a mixture of solid, liquid and gas biofuels</t>
  </si>
  <si>
    <t>Biomass mainly converted to solid biofuel</t>
  </si>
  <si>
    <t>Biomass mainly converted to liquid biofuel</t>
  </si>
  <si>
    <t>Livestock numbers decrease by 10%</t>
  </si>
  <si>
    <t>Livestock numbers decrease by 20%</t>
  </si>
  <si>
    <t>Livestock numbers increase by 10%</t>
  </si>
  <si>
    <t xml:space="preserve">Road modal share falls to half; greater hybridisation. Rail freight is all electric </t>
  </si>
  <si>
    <t>Average room temperature decreases to 16°C (a 1.5°C decrease on 2007)</t>
  </si>
  <si>
    <t>A mixture of gas/biogas; coal/biomass; and heat from power stations</t>
  </si>
  <si>
    <t>All suitable buildings get ~60% of their hot water from solar thermal</t>
  </si>
  <si>
    <t>Energy demand for domestic lights and appliances decreases by 60%</t>
  </si>
  <si>
    <t>Total energy produced and required</t>
  </si>
  <si>
    <t>FOR INFORMATION: ENERGY DEMAND AND EMISSIONS FROM CHP</t>
  </si>
  <si>
    <t>Emissions from CHP</t>
  </si>
  <si>
    <t>For information: outputs from CHP ONLY</t>
  </si>
  <si>
    <t>For information: outputs excluding CHP</t>
  </si>
  <si>
    <t>IX.a.CHP</t>
  </si>
  <si>
    <t>CHP related heating sources</t>
  </si>
  <si>
    <t>IX.c.CHP</t>
  </si>
  <si>
    <t>Biomass power stations</t>
  </si>
  <si>
    <t>Geothermal electricity</t>
  </si>
  <si>
    <t>Volume of waste and recycling</t>
  </si>
  <si>
    <t>Domestic transport behaviour</t>
  </si>
  <si>
    <t>Average temperature of homes</t>
  </si>
  <si>
    <t>Home insulation</t>
  </si>
  <si>
    <t>Home heating electrification</t>
  </si>
  <si>
    <t>Home heating that isn't electric</t>
  </si>
  <si>
    <t>Solar panels for hot water</t>
  </si>
  <si>
    <t>Solar panels for electricity</t>
  </si>
  <si>
    <t>Electrification of home cooking</t>
  </si>
  <si>
    <t>Commercial demand for heating and cooling</t>
  </si>
  <si>
    <t>Commercial heating electrification</t>
  </si>
  <si>
    <t>Commercial heating that isn't electric</t>
  </si>
  <si>
    <t>Electrification of commercial cooking</t>
  </si>
  <si>
    <t>Storage, demand shifting &amp; interconnection</t>
  </si>
  <si>
    <t>Tidal Stream</t>
  </si>
  <si>
    <t>Tidal Range</t>
  </si>
  <si>
    <t>Area</t>
  </si>
  <si>
    <t>UK Land area</t>
  </si>
  <si>
    <t>UK Sea area</t>
  </si>
  <si>
    <t>B.05</t>
  </si>
  <si>
    <t>Land area overseas</t>
  </si>
  <si>
    <t>B.06</t>
  </si>
  <si>
    <t>Length</t>
  </si>
  <si>
    <t>Length of wave front</t>
  </si>
  <si>
    <t>CHP used for domestic space heating and hot water</t>
  </si>
  <si>
    <t>CHP used for commercial heating and cooling</t>
  </si>
  <si>
    <t>~1,400 turbines in 2025, reducing to zero as decommissioned sites are not replanted</t>
  </si>
  <si>
    <t>~40,000 turbines in 2050, delivering ~430 TWh/yr</t>
  </si>
  <si>
    <t>Only plants built and under construction (0.6GW)</t>
  </si>
  <si>
    <t>8GW power stations by 2050 delivering 62TWh/yr</t>
  </si>
  <si>
    <t>12GW power stations by 2050 delivering 100TWh/yr</t>
  </si>
  <si>
    <t>Over 20GW installed capacity by 2050 delivering 180TWh/yr</t>
  </si>
  <si>
    <t>~4,400 turbines in 2025, reducing to zero as decommissioned sites are not replanted</t>
  </si>
  <si>
    <t>Energy crops and food production similar to today</t>
  </si>
  <si>
    <t>5% of land used for energy crops</t>
  </si>
  <si>
    <t>10% of land used for energy crops</t>
  </si>
  <si>
    <t>Livestock numbers same as today</t>
  </si>
  <si>
    <t>Area same as half of natural reserve used, delivering ~4 TWh/yr</t>
  </si>
  <si>
    <t>Area same as all of natural reserve used, delivering ~9 TWh/yr</t>
  </si>
  <si>
    <t>Imported biofuel declines from ~ 4 TWh/yr currently to zero</t>
  </si>
  <si>
    <t>In 2050, individuals travel 9% further than today. No noticeable modal shift.</t>
  </si>
  <si>
    <t>In 2050, individuals travel the same distance as today. Signficant shift to public transport.</t>
  </si>
  <si>
    <t>UK industry output more than doubles by 2050</t>
  </si>
  <si>
    <t>UK industry grows in line with current trends</t>
  </si>
  <si>
    <t>UK industry output falls 30-40% by 2050</t>
  </si>
  <si>
    <t>No electrification of processes, little improvement in energy intensity</t>
  </si>
  <si>
    <t>Some processes electrified; moderate improvements in process emissions and energy demand</t>
  </si>
  <si>
    <t>High electrification; CCS captures 48% of emissions; process emissions reduced</t>
  </si>
  <si>
    <t>Delta</t>
  </si>
  <si>
    <t>CO2e</t>
  </si>
  <si>
    <t>UK Bioenergy</t>
  </si>
  <si>
    <t>Imported Bioenergy</t>
  </si>
  <si>
    <t>UK Transport</t>
  </si>
  <si>
    <t>International Transport</t>
  </si>
  <si>
    <t>Residential Heating</t>
  </si>
  <si>
    <t>Residential Lighting &amp; Appliances</t>
  </si>
  <si>
    <t>Business</t>
  </si>
  <si>
    <t>Commercial Heating</t>
  </si>
  <si>
    <t>Commercial Lighting &amp; Appliances</t>
  </si>
  <si>
    <t>UK Electricity Generation</t>
  </si>
  <si>
    <t>Imported Electricity</t>
  </si>
  <si>
    <t>Electricity Balancing &amp; Other</t>
  </si>
  <si>
    <t>Energy Security Contextual Data</t>
  </si>
  <si>
    <t>Same as B</t>
  </si>
  <si>
    <t>Same as 3</t>
  </si>
  <si>
    <t>Same as C</t>
  </si>
  <si>
    <t>Area same as four times natural reserve used, delivering ~46 TWh/yr</t>
  </si>
  <si>
    <t>Trajectory Descriptions (slightly longer for story tab)</t>
  </si>
  <si>
    <t>~13 3GW nuclear power stations delivering ~280 TWh/yr</t>
  </si>
  <si>
    <t>~30 3GW nuclear power stations delivering ~630 TWh/yr</t>
  </si>
  <si>
    <t>~50 3GW nuclear power stations delivering ~1030 TWh/yr</t>
  </si>
  <si>
    <t>CCS demonstration plants only</t>
  </si>
  <si>
    <t>~240 TWh/yr from 25-40 CCS power stations - comparable to current gas &amp; coal generation</t>
  </si>
  <si>
    <t>~340 TWh/yr from 35-60 CCS power stations - comparable to total current demand</t>
  </si>
  <si>
    <t>~510 TWh/yr  from 50-90 CCS power stations - this requires a similar build rate to that of gas plants in the 1990s</t>
  </si>
  <si>
    <t>After demonstration plants, all CCS electricity is from solid fuel (coal or biomass)</t>
  </si>
  <si>
    <t>After demonstration plants, two thirds of CCS electricity is from solid fuel (coal or biomass), one third from gas (natural gas or biogas)</t>
  </si>
  <si>
    <t>After demonstration plants, one third of CCS electricity is from solid fuel (coal or biomass), two thirds from gas (natural gas or biogas)</t>
  </si>
  <si>
    <t>After demonstration plants, all CCS electricity is from gas (natural gas or biogas)</t>
  </si>
  <si>
    <t>~17,000 offshore wind turbines in 2050, delivering ~310 TWh/yr</t>
  </si>
  <si>
    <t>~10,000 offshore wind turbines in 2050, delivering ~180 TWh/yr</t>
  </si>
  <si>
    <t>~1,400 offshore wind turbines in 2025, reducing to zero as decommissioned sites are not replanted</t>
  </si>
  <si>
    <t>~40,000 offshore wind turbines in 2050, delivering ~430 TWh/yr</t>
  </si>
  <si>
    <t>~4,400 onshore wind turbines in 2025, reducing to zero as decommissioned sites are not replanted</t>
  </si>
  <si>
    <t xml:space="preserve">~8,000 onshore wind turbines in 2050, delivering ~50 TWh/yr. </t>
  </si>
  <si>
    <t>~13,000 onshore wind turbines in 2050, delivering ~80 TWh/yr</t>
  </si>
  <si>
    <t>~20,000 onshore wind turbines in 2050, delivering ~130 TWh/yr</t>
  </si>
  <si>
    <t>Only existing biomass plants and those already under construction (0.6GW)</t>
  </si>
  <si>
    <t>8GW of biomass power stations by 2050 delivering 62TWh/yr</t>
  </si>
  <si>
    <t>12GW of biomass power stations by 2050 delivering 100TWh/yr</t>
  </si>
  <si>
    <t>Over 20GW of biomass power stations by 2050 delivering 180TWh/yr</t>
  </si>
  <si>
    <t>Supply of geothermal electricity grows quickly reaching 21 TWh/yr by 2030 and is sustained</t>
  </si>
  <si>
    <t>Supply of geothermal electricity grows rapidly reaching 35 TWh/yr by 2030 and is sustained</t>
  </si>
  <si>
    <t>Supply of hydroelectricity is maintained at current levels of 5 TWh/yr</t>
  </si>
  <si>
    <t>Supply of hydroelectricity grows slowly, reaching 7 TWh/yr by 2050</t>
  </si>
  <si>
    <t>Supply of hydroelectricity grows more quickly, reaching 8 TWh/yr by 2030 and is sustained</t>
  </si>
  <si>
    <t>Supply of hydroelectricity grows rapidly reaching 13 TWh/yr by 2035 and is sustained</t>
  </si>
  <si>
    <t>Supply of electricity from micro wind turbines increases to 1.3 TWh/yr by 2020 and is sustained</t>
  </si>
  <si>
    <t>Micro wind turbines installed in all suitable domestic and non-domestic sties, supplying 8.9 TWh/year from 2020</t>
  </si>
  <si>
    <t>Micro wind turbines installed in all ~450,000 suitable domestic properties, supplying 3.5 TWh/year from 2020</t>
  </si>
  <si>
    <t xml:space="preserve">70 TWh/yr of electricity imported from a 10% share of an internationally coordinated desert solar project </t>
  </si>
  <si>
    <t>140 TWh/yr of electricity imported from a 20% share of an internationally coordinated desert solar project</t>
  </si>
  <si>
    <t>5% of UK land used for energy crops</t>
  </si>
  <si>
    <t>10% of UK land used for energy crops</t>
  </si>
  <si>
    <t>Macro algae covering the same area as half of natural reserve used, delivering ~4 TWh/yr</t>
  </si>
  <si>
    <t>Macro algae covering the same area as all of natural reserve used, delivering ~9 TWh/yr</t>
  </si>
  <si>
    <t>Macro algae covering the same area as four times natural reserve used, delivering ~46 TWh/yr</t>
  </si>
  <si>
    <t>No electrification of industrial processes and little improvement in industrial energy intensity</t>
  </si>
  <si>
    <t>Some industrial processes electrified and moderate improvements in process emissions and energy demand</t>
  </si>
  <si>
    <t>Many industrial processes electrified, CCS captures 48% of emissions and  substantial improvements in process emissions and energy demand</t>
  </si>
  <si>
    <t>Commercial space heating demand increases by 50%, hot water demand by 60%, cooling demand by 250%</t>
  </si>
  <si>
    <t>Commercial space heating demand increases by 30%, hot water demand by 50%, cooling demand by 60%</t>
  </si>
  <si>
    <t>Commercial space heating demand stable, hot water demand increases by 25%, cooling demand stable</t>
  </si>
  <si>
    <t>Commercial space heating demand drops by 25%, hot water demand by 10%, cooling demand by 60%</t>
  </si>
  <si>
    <t>Energy demand for commercial lights &amp; appliances increases by 33%. Energy for cooking is stable</t>
  </si>
  <si>
    <t>Energy demand for commercial lights &amp; appliances increases by 15%; decreases by 5% for cooking</t>
  </si>
  <si>
    <t>Energy demand for commercial lights &amp; appliances decreases by 5%; decreases by 20% for cooking</t>
  </si>
  <si>
    <t>Energy demand for commercial lights &amp; appliances decreases by 30%; decreases by 25% for cooking</t>
  </si>
  <si>
    <t>Energy used for domestic cooking remains at 63% electricity and 37% gas</t>
  </si>
  <si>
    <t>Energy used for domestic cooking is entirely electric</t>
  </si>
  <si>
    <t>Energy used for commercial cooking is 60% electricity and 40% gas (no change from 2007)</t>
  </si>
  <si>
    <t>Energy used for commercial cooking is 100% electric</t>
  </si>
  <si>
    <t>Carbon dioxide sequestred at a rate of 1 million tonnes per annum by 2050</t>
  </si>
  <si>
    <t>Carbon dioxide  sequestred at a rate of ~30 million tonnes per annum by 2050</t>
  </si>
  <si>
    <t>Carbon dioxide sequestred at a rate of ~110 million tonnes per annum by 2050</t>
  </si>
  <si>
    <t>20 GW of pumped storage with large lagoons, 30 GW of interconnection with Europe and substantial demand shifting available for balancing electricity supply and demand</t>
  </si>
  <si>
    <t>7 GW of pumped storage (includign 2 more sites), 15 GW of interconnection with Europe and some demand shifting available for balancing electricity supply and demand</t>
  </si>
  <si>
    <t>4 GW of pumped storage and 10 GW interconnection with Europe available for balancing electricity supply and demand</t>
  </si>
  <si>
    <t>Today’s 3.5 GW of pumped storage and 4 GW interconnection with Europe available for balancing electricity supply and demand</t>
  </si>
  <si>
    <t>Maximium demand, no supply</t>
  </si>
  <si>
    <t>Maximum supply, no demand</t>
  </si>
  <si>
    <t>CCS power stations</t>
  </si>
  <si>
    <t>100% coal/biomass, 0% gas/biogas CCS after demonstration plants</t>
  </si>
  <si>
    <t>66% coal/biomass, 33% gas/biogas CCS after demonstration plants</t>
  </si>
  <si>
    <t>33% coal/biomass, 66% gas/biogas CCS after demonstration plants</t>
  </si>
  <si>
    <t>0% coal/biomas, 100% gas/biogas CCS after demonstration plants</t>
  </si>
  <si>
    <t>Land dedicated to bioenergy</t>
  </si>
  <si>
    <t>Type of fuels from biomass</t>
  </si>
  <si>
    <t>Commercial lighting &amp; appliances</t>
  </si>
  <si>
    <t>Home lighting &amp; appliances</t>
  </si>
  <si>
    <t>Livestock and their management</t>
  </si>
  <si>
    <t>CCS power station fuel mix</t>
  </si>
  <si>
    <t>Hydroelectric power stations</t>
  </si>
  <si>
    <t>Individuals travel 7% further than today, cars and vans are 80% of 2050 passenger mileage</t>
  </si>
  <si>
    <t>Individuals travel 7% further than today; cars and vans 74% of 2050 passenger mileage</t>
  </si>
  <si>
    <t>bcm</t>
  </si>
  <si>
    <t>unit.bcm</t>
  </si>
  <si>
    <t>Up to 70 TWh/yr of imported bioenergy in 2050</t>
  </si>
  <si>
    <t>Up to 140 TWh/yr of imported bioenergy in 2050</t>
  </si>
  <si>
    <t>Up to 280 TWh/yr of imported bioenergy in 2050</t>
  </si>
  <si>
    <t>Biomass/Coal power stations</t>
  </si>
  <si>
    <t>Solar thermal</t>
  </si>
  <si>
    <t>Small-scale wind</t>
  </si>
  <si>
    <t>Volume of Waste &amp; Recycling</t>
  </si>
  <si>
    <t>Types of fuel from Biomass</t>
  </si>
  <si>
    <t>Storage, demand shifting, interconnection</t>
  </si>
  <si>
    <t>Growth in industry</t>
  </si>
  <si>
    <t>Energy intensity of industry</t>
  </si>
  <si>
    <t>17% of land used for energy crops</t>
  </si>
  <si>
    <t>17% of UK land used for energy crops</t>
  </si>
  <si>
    <t>The proportion of new domestic heating systems using electricity is 20%</t>
  </si>
  <si>
    <t>The proportion of new domestic heating systems supplied using electricity is 30-60%</t>
  </si>
  <si>
    <t>The proportion of new domestic heating systems supplied using electricity is 80-100%</t>
  </si>
  <si>
    <t>New replacement heating systems split</t>
  </si>
  <si>
    <t>Energy balancing and bio-energy</t>
  </si>
  <si>
    <t>ONCE YOU'VE MADE YOUR CHOICES PRESS F9</t>
  </si>
  <si>
    <t xml:space="preserve">Please use the Storage, demand shifting and interconnection lever to choose balancing and </t>
  </si>
  <si>
    <t>storage options</t>
  </si>
  <si>
    <t>Billion Cubic Metres (Gas)</t>
  </si>
  <si>
    <t>C1.Low</t>
  </si>
  <si>
    <t>Low estimate of capital costs</t>
  </si>
  <si>
    <t>C2.Low</t>
  </si>
  <si>
    <t>Low estimate of operating costs</t>
  </si>
  <si>
    <t>C3.Low</t>
  </si>
  <si>
    <t>Low estimate of fuel costs</t>
  </si>
  <si>
    <t>Biomatter to fuel conversion</t>
  </si>
  <si>
    <t>C1.High</t>
  </si>
  <si>
    <t>High estimate of capital costs</t>
  </si>
  <si>
    <t>C2.High</t>
  </si>
  <si>
    <t>High estimate of operating costs</t>
  </si>
  <si>
    <t>C3.High</t>
  </si>
  <si>
    <t>High estimate of fuel costs</t>
  </si>
  <si>
    <t>Cost vectors</t>
  </si>
  <si>
    <t>Discounting</t>
  </si>
  <si>
    <t>Discount factor</t>
  </si>
  <si>
    <t>Cost conversions</t>
  </si>
  <si>
    <t>£</t>
  </si>
  <si>
    <t>£trn</t>
  </si>
  <si>
    <t>2010 trillion british pounds</t>
  </si>
  <si>
    <t>TGBP</t>
  </si>
  <si>
    <t>£bn</t>
  </si>
  <si>
    <t>2010 billion british pounds</t>
  </si>
  <si>
    <t>GGBP</t>
  </si>
  <si>
    <t>£m</t>
  </si>
  <si>
    <t>2010 million british pounds</t>
  </si>
  <si>
    <t>MGBP</t>
  </si>
  <si>
    <t>£k</t>
  </si>
  <si>
    <t>2010 thousand british pounds</t>
  </si>
  <si>
    <t>kGBP</t>
  </si>
  <si>
    <t>2010 british pounds</t>
  </si>
  <si>
    <t>GBP</t>
  </si>
  <si>
    <t>Cost assumptions</t>
  </si>
  <si>
    <t>Capital costs</t>
  </si>
  <si>
    <t>Operating costs</t>
  </si>
  <si>
    <t>Low estimate of costs</t>
  </si>
  <si>
    <t>Total costs</t>
  </si>
  <si>
    <t>High estimate of costs</t>
  </si>
  <si>
    <t>Money is measured in:</t>
  </si>
  <si>
    <t>Costs</t>
  </si>
  <si>
    <t>Mboe</t>
  </si>
  <si>
    <t>Million barrels of oil equivalent</t>
  </si>
  <si>
    <t>Unit.Mboe</t>
  </si>
  <si>
    <t>Sources:</t>
  </si>
  <si>
    <t>2009 US dollars</t>
  </si>
  <si>
    <t>USD2009_</t>
  </si>
  <si>
    <t>boe</t>
  </si>
  <si>
    <t>Barrel of oil equivalent</t>
  </si>
  <si>
    <t>Unit.boe</t>
  </si>
  <si>
    <t>Years</t>
  </si>
  <si>
    <t># households</t>
  </si>
  <si>
    <t>Retrofit measure</t>
  </si>
  <si>
    <t>Capital cost of retrofit insulation</t>
  </si>
  <si>
    <t># households/yr</t>
  </si>
  <si>
    <t>Number of households with insulation measures retrofitted each year</t>
  </si>
  <si>
    <t>COSTS</t>
  </si>
  <si>
    <t>Capital cost of insulation (low)</t>
  </si>
  <si>
    <t>Capital cost of insulation (high)</t>
  </si>
  <si>
    <t>Costs of insulation measures</t>
  </si>
  <si>
    <t>IX.a.insulation</t>
  </si>
  <si>
    <t>Domestic insulation measures</t>
  </si>
  <si>
    <t xml:space="preserve">High </t>
  </si>
  <si>
    <t>Fuel-cell μCHP</t>
  </si>
  <si>
    <t>Number of heating systems</t>
  </si>
  <si>
    <t>New Heating systems</t>
  </si>
  <si>
    <t>Cost of heating systems</t>
  </si>
  <si>
    <t>Domestic heating</t>
  </si>
  <si>
    <t>Euro2002</t>
  </si>
  <si>
    <t>2002 Euros</t>
  </si>
  <si>
    <t>Euro2002_</t>
  </si>
  <si>
    <t>Volume conversions</t>
  </si>
  <si>
    <t>UK Gallon</t>
  </si>
  <si>
    <t>Litres per UK gallon</t>
  </si>
  <si>
    <t>Conversion.UKgallons.to.litres</t>
  </si>
  <si>
    <t>Litres</t>
  </si>
  <si>
    <t>US Gallon</t>
  </si>
  <si>
    <t>Litres per US gallon</t>
  </si>
  <si>
    <t>Conversion.USgallons.to.litres</t>
  </si>
  <si>
    <t>Percentage of scrappage every 5 years</t>
  </si>
  <si>
    <t>Scrapped Heating systems</t>
  </si>
  <si>
    <t>B.07</t>
  </si>
  <si>
    <t>B.08</t>
  </si>
  <si>
    <t>Shiftable electricity demand</t>
  </si>
  <si>
    <t>Compute peak winter energy demand</t>
  </si>
  <si>
    <t>Compute costs</t>
  </si>
  <si>
    <t>No air conditioning required in winter:</t>
  </si>
  <si>
    <t>No solar hot water available in winter:</t>
  </si>
  <si>
    <t>Technology efficiencies -- space heating -- annual mean</t>
  </si>
  <si>
    <t>Technology efficiencies -- hot water -- annual mean</t>
  </si>
  <si>
    <t>Technology efficiencies -- hot water -- cold day in winter</t>
  </si>
  <si>
    <t>Technology efficiencies -- space heating -- cold day in winter</t>
  </si>
  <si>
    <t>Delta in electricity demand for cooling compared to annual average</t>
  </si>
  <si>
    <t>Extra hot water supplied by technology</t>
  </si>
  <si>
    <t>Convert to extra energy demand by vector</t>
  </si>
  <si>
    <t>8a</t>
  </si>
  <si>
    <t>Extra electricity required on peak day, independent of temperature</t>
  </si>
  <si>
    <t>Extra heat demand per degree drop in temperature</t>
  </si>
  <si>
    <t>Delta electricity per degree T drop</t>
  </si>
  <si>
    <t>B.09</t>
  </si>
  <si>
    <t>Additional electricity at peak</t>
  </si>
  <si>
    <t>Power</t>
  </si>
  <si>
    <t>B.10</t>
  </si>
  <si>
    <t>Temperature related additional electricity demand</t>
  </si>
  <si>
    <t>Hot water demand without solar</t>
  </si>
  <si>
    <t>Less existing energy demand by vector</t>
  </si>
  <si>
    <t>Space heating energy demand using winter efficiencies</t>
  </si>
  <si>
    <t>Extra space heating demand due to winter efficiencies</t>
  </si>
  <si>
    <t>Fixed  component</t>
  </si>
  <si>
    <t>WINTER PEAK ELECTRICITY DEMAND</t>
  </si>
  <si>
    <t>Temperature dependent component</t>
  </si>
  <si>
    <t>Extra space heating supplied by technology</t>
  </si>
  <si>
    <t>Annual mean</t>
  </si>
  <si>
    <t>Ethanol</t>
  </si>
  <si>
    <t>Jet Fuel</t>
  </si>
  <si>
    <t>B.11</t>
  </si>
  <si>
    <t>Interconnector capacity</t>
  </si>
  <si>
    <t>MWh</t>
  </si>
  <si>
    <t>Megawatt-hours</t>
  </si>
  <si>
    <t>Unit.MWh</t>
  </si>
  <si>
    <t>Rate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</si>
  <si>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</si>
  <si>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</si>
  <si>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</si>
  <si>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</si>
  <si>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</si>
  <si>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</si>
  <si>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</si>
  <si>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</si>
  <si>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</si>
  <si>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</si>
  <si>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</si>
  <si>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</si>
  <si>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</si>
  <si>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</si>
  <si>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</si>
  <si>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</si>
  <si>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</si>
  <si>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2008</t>
  </si>
  <si>
    <t>2009</t>
  </si>
  <si>
    <t>GDP Deflator</t>
  </si>
  <si>
    <t>Calendar year 2010 = 100</t>
  </si>
  <si>
    <t xml:space="preserve">Source: http://www.hm-treasury.gov.uk/data_gdp_fig.htm </t>
  </si>
  <si>
    <t>Financing costs for different sectors</t>
  </si>
  <si>
    <t>Discount rate (User Defined)</t>
  </si>
  <si>
    <t>XVIII</t>
  </si>
  <si>
    <t>Very low production case</t>
  </si>
  <si>
    <t>Passiv Haus</t>
  </si>
  <si>
    <t>Energy Saving Trust’s Advanced Practice Energy Efficiency standard, but with the air permeability standard relaxed to 3m3/m2.hr</t>
  </si>
  <si>
    <t>Building Regulations 2000</t>
  </si>
  <si>
    <t>New Build - Capital Cost</t>
  </si>
  <si>
    <t>Cost of Cooling</t>
  </si>
  <si>
    <t>(ia) Mean internal temperature</t>
  </si>
  <si>
    <t>(ib) Cooling demand</t>
  </si>
  <si>
    <t>(ic) Hot water demand per household</t>
  </si>
  <si>
    <t>(iii,iv) Proportion of replacement space heating and hot water systems (must be less than maximum penetration and technology &amp; must be available in any given year) [1]</t>
  </si>
  <si>
    <t># households with measure</t>
  </si>
  <si>
    <t>Technical Potential</t>
  </si>
  <si>
    <t>Insulation retrofit</t>
  </si>
  <si>
    <t>These installation rates were used in a separate model to calculate the average leakiness of a property</t>
  </si>
  <si>
    <t>The average leakiness is reported in row 71 and is used to calculate energy demand.</t>
  </si>
  <si>
    <t>The numbers here are used to calculate costs</t>
  </si>
  <si>
    <t>The table on the left has a lower technical potential in 2050 due to the expected demolition of some houses</t>
  </si>
  <si>
    <t>Capital cost of new build</t>
  </si>
  <si>
    <t>Number of scrapped heating systems</t>
  </si>
  <si>
    <t>HIGH</t>
  </si>
  <si>
    <t>LOW</t>
  </si>
  <si>
    <t>GDP (£2010)</t>
  </si>
  <si>
    <t>Heating and hot water systems share, as a % of households</t>
  </si>
  <si>
    <t>New cooling systems, % by technology type</t>
  </si>
  <si>
    <t>Total Installed heating systems under trajectories</t>
  </si>
  <si>
    <t>Cumulative Total Cooling systems</t>
  </si>
  <si>
    <t>As a percentage of total households</t>
  </si>
  <si>
    <t>1. Number of Households</t>
  </si>
  <si>
    <t>2. Retrofit measures</t>
  </si>
  <si>
    <t>3. Heating and Cooling systems</t>
  </si>
  <si>
    <t>a) Pathways chosen</t>
  </si>
  <si>
    <t>b) Energy demand split by heating and cooling systems (for energy and emissions calculations)</t>
  </si>
  <si>
    <t>c) Total number of heating systems for costs</t>
  </si>
  <si>
    <t>d) Total number of cooling systems for costs</t>
  </si>
  <si>
    <t>Scrapped - Assume 10 year lifetime</t>
  </si>
  <si>
    <t>New Cooling systems</t>
  </si>
  <si>
    <t>GDP per Capita (£2010)</t>
  </si>
  <si>
    <t>B.12</t>
  </si>
  <si>
    <t>Balancing capacity used</t>
  </si>
  <si>
    <t>% of available</t>
  </si>
  <si>
    <t>Costs of heating and cooling systems</t>
  </si>
  <si>
    <t>IX.a.Heating</t>
  </si>
  <si>
    <t>IX.a.Insulation</t>
  </si>
  <si>
    <t>Domestic insulation</t>
  </si>
  <si>
    <t>XII.a.ICE</t>
  </si>
  <si>
    <t>XII.a.HEV</t>
  </si>
  <si>
    <t>XII.a.EV</t>
  </si>
  <si>
    <t>XII.a.FCV</t>
  </si>
  <si>
    <t>XII.a.Rail</t>
  </si>
  <si>
    <t>XII.a.Air</t>
  </si>
  <si>
    <t>Conventional cars and buses</t>
  </si>
  <si>
    <t>Hybrid cars and buses</t>
  </si>
  <si>
    <t>Electric cars and buses</t>
  </si>
  <si>
    <t>Fuel cell cars and buses</t>
  </si>
  <si>
    <t>Bikes</t>
  </si>
  <si>
    <t>5 District Heating System (added as a cost per household)</t>
  </si>
  <si>
    <t>District Heating network</t>
  </si>
  <si>
    <t>Number of new houses on district heating network</t>
  </si>
  <si>
    <t>Cost of District Heating System</t>
  </si>
  <si>
    <t>Default, unless specified below</t>
  </si>
  <si>
    <t>NB: Interest rates are REAL</t>
  </si>
  <si>
    <t>VI.b.Bioenergy</t>
  </si>
  <si>
    <t>VI.b.Waste</t>
  </si>
  <si>
    <t>Energy from waste</t>
  </si>
  <si>
    <t>Cumulative</t>
  </si>
  <si>
    <t>Additional</t>
  </si>
  <si>
    <t>XII.a.Bike</t>
  </si>
  <si>
    <t>None in 2050</t>
  </si>
  <si>
    <t>None in  2050</t>
  </si>
  <si>
    <t>~300km of wave farms</t>
  </si>
  <si>
    <t>~600km of wave farms</t>
  </si>
  <si>
    <t>~900km of wave farms</t>
  </si>
  <si>
    <t>1,000 tidal stream turbines</t>
  </si>
  <si>
    <t>4,700 tidal stream turbines</t>
  </si>
  <si>
    <t>10,600 tidal stream turbines</t>
  </si>
  <si>
    <t>3 small tidal range schemes</t>
  </si>
  <si>
    <t>4 tidal range schemes</t>
  </si>
  <si>
    <t>8 tidal range schemes</t>
  </si>
  <si>
    <t>LIMIT</t>
  </si>
  <si>
    <t>YOUR CHOICE</t>
  </si>
  <si>
    <t>Trajectory Descriptions</t>
  </si>
  <si>
    <t>UK Fossil fuel production</t>
  </si>
  <si>
    <t xml:space="preserve">This page contains the translations of the different codes used in the model (e.g., N.01 is energy from  uranium). </t>
  </si>
  <si>
    <t>To the right of this page are the emissions codes and the cost codes</t>
  </si>
  <si>
    <t>This sheet contains assumptions that are common to many sheets. In particular, lower down the page are assumptions about discount rates and costs of finance.</t>
  </si>
  <si>
    <t>This page contains standard assuptions. In particular, lower down the page are the emissions per unit of energy from coal, natural gas and oil.</t>
  </si>
  <si>
    <t>AQ.01</t>
  </si>
  <si>
    <t>AQ.02</t>
  </si>
  <si>
    <t>AQ.03</t>
  </si>
  <si>
    <t>AQ.04</t>
  </si>
  <si>
    <t>PM10</t>
  </si>
  <si>
    <t>NMVOC</t>
  </si>
  <si>
    <t>NOX</t>
  </si>
  <si>
    <t>SO2</t>
  </si>
  <si>
    <t>Gas Boiler (old)</t>
  </si>
  <si>
    <t>Gas Boiler (new)</t>
  </si>
  <si>
    <t>PM10 Emission factors</t>
  </si>
  <si>
    <t>NOX Emission factors</t>
  </si>
  <si>
    <t>SO2 Emission factors</t>
  </si>
  <si>
    <t>NMVOC Emission factors</t>
  </si>
  <si>
    <t>Central case</t>
  </si>
  <si>
    <t>Low production case</t>
  </si>
  <si>
    <t>$2009</t>
  </si>
  <si>
    <t>$2010</t>
  </si>
  <si>
    <t>2010 US dollars</t>
  </si>
  <si>
    <t>USD2010_</t>
  </si>
  <si>
    <t>XVIII.a</t>
  </si>
  <si>
    <t>Storage of captured CO2</t>
  </si>
  <si>
    <t>Air Quality vectors</t>
  </si>
  <si>
    <t>C1.Point</t>
  </si>
  <si>
    <t>Point estimate of capital costs</t>
  </si>
  <si>
    <t>C2.Point</t>
  </si>
  <si>
    <t>C3.Point</t>
  </si>
  <si>
    <t>Point estimate of fuel costs</t>
  </si>
  <si>
    <t>Point estimate of costs</t>
  </si>
  <si>
    <t>Point estimate of operating costs</t>
  </si>
  <si>
    <t>Point</t>
  </si>
  <si>
    <t>Ratios of biomass combustion emissions to fossil fuel combustion emissions</t>
  </si>
  <si>
    <t>Fueltype</t>
  </si>
  <si>
    <t>Heating and cooling systems</t>
  </si>
  <si>
    <t>POINT</t>
  </si>
  <si>
    <t>Capital cost of insulation (point)</t>
  </si>
  <si>
    <t>Point Estimate</t>
  </si>
  <si>
    <t>To work properly, years should be a multiple of 5</t>
  </si>
  <si>
    <t>Atkins</t>
  </si>
  <si>
    <t>Mark Brinkley</t>
  </si>
  <si>
    <t>Point would be</t>
  </si>
  <si>
    <t>Biofuel</t>
  </si>
  <si>
    <t>~13 3GW power stations delivering ~280 TWh/yr</t>
  </si>
  <si>
    <t>~30 3GW power stations delivering ~630 TWh/yr</t>
  </si>
  <si>
    <t>~50 3GW power stations delivering ~1030 TWh/yr</t>
  </si>
  <si>
    <t>For information: Greenhouse gas emissions excluding CHP</t>
  </si>
  <si>
    <t>For information: Greenhouse gas emissions from CHP ONLY</t>
  </si>
  <si>
    <t>Total greenhouse gas emissions produced</t>
  </si>
  <si>
    <t>Other emissions to atmosphere</t>
  </si>
  <si>
    <t>kt/yr</t>
  </si>
  <si>
    <t>Biogas</t>
  </si>
  <si>
    <t>Use of fuels that trigger other emissions to air, by technology:</t>
  </si>
  <si>
    <t>x-check against sum of solid, liquid, gas</t>
  </si>
  <si>
    <t>Total of natural gas, oil, coal, biogas, bioliquid, biomass</t>
  </si>
  <si>
    <t>The dominant non-electric heat source is gas or gas CHP (biogas if available)</t>
  </si>
  <si>
    <t>The dominant non-electric heat source is coal or coal CHP (biomass if available)</t>
  </si>
  <si>
    <t>Shift to zero emission transport</t>
  </si>
  <si>
    <t>By 2050, 20% plug in hybrid electric cars; 2.5% zero emission cars.</t>
  </si>
  <si>
    <t>By 2050, 35% conventional petrol or diesel engine cars; 54% plug-in hybrid vehicles; 11%  zero emission vehicles; all buses hybrids; 73% of passenger railway is electrifi</t>
  </si>
  <si>
    <t xml:space="preserve">By 2050, 20% conventional combustion engine cars, with 32% in plug-in hybrid vehicles and 48% in zero emission vehicles: 22% of bus travel fully electric or fuel cell electric </t>
  </si>
  <si>
    <t xml:space="preserve">By 2050 100%  electric motor or hydrogen fuel cell; all passenger trains electrified; 50% bus  electrified </t>
  </si>
  <si>
    <t>By 2050, 100% electric</t>
  </si>
  <si>
    <t>by 2050, 80% electric,  20% hydrogen fuel cell</t>
  </si>
  <si>
    <t>By 2050, 20% electric, 80% hydrogen fuel cell</t>
  </si>
  <si>
    <t>By 2050, 100% hydrogen fuel cells</t>
  </si>
  <si>
    <t>no improvements from energy efficiency; between 2007 and 2050 emissions increase by 139%</t>
  </si>
  <si>
    <t>1/3 of technical feasible reductions realised; between 2007 and 2050 emissions increase by 78%</t>
  </si>
  <si>
    <t>2/3 of technical feasible reductions realised; between 2007 and 2050 emissions increase by 16%</t>
  </si>
  <si>
    <t>maximum technical feasible reductions realised; between 2007 and 2050 emissions decrease by 46%</t>
  </si>
  <si>
    <t>Overall quantity of waste increases 50% to 2050; 21% increase in recycling rate and 44% increase in rate of energy from waste. 24% of waste is sent to landfill</t>
  </si>
  <si>
    <t>Overall quantity of waste increases almost 20% by 2050; recycling and energy from waste rates increase by 36% and 89% respectively. 11% of waste is sent to landfill.</t>
  </si>
  <si>
    <t>Overall quantity of waste increases 33%; waste is handled through high-tech and industry-led approaches; by 2050, recycling and energy from waste rates increase by 36% and 89% respectively. Only 2% is sent to landfill.</t>
  </si>
  <si>
    <t>Quantity of waste decreases 20% by 2050; recycling and energy from waste increase by 70% and 7% respectively; by 2050, 3% of waste sent to landfill.</t>
  </si>
  <si>
    <t>Quantity of waste increases 50%; Small increase in rates of recycling and EFW.</t>
  </si>
  <si>
    <t>Quantity of waste increases 20%; Increase in rates of recycling and EFW.</t>
  </si>
  <si>
    <t>Quantity of waste decreases 20%; Significant increase in rate of recycling.</t>
  </si>
  <si>
    <t>Quantity of waste increases 33%; Significant increase in rates of recycling and EFW through innovation.</t>
  </si>
  <si>
    <t xml:space="preserve">By 2050 100%  zero emission vehiclesl; all passenger trains electrified; 50% bus electrified </t>
  </si>
  <si>
    <t>By 2050, 54% plug-in hybrid vehicles; 11%  zero emission vehicles, all buses hybrids.</t>
  </si>
  <si>
    <t>By 2050, 32% plug-in hybrid vehicles; 48% zero emission vehicles; 22% buses electric.</t>
  </si>
  <si>
    <t>By 2050, 130% passengers increase; 50% more fuel use</t>
  </si>
  <si>
    <t>By 2050, 130% passengers increase; 45% more fuel use</t>
  </si>
  <si>
    <t>By 2050, 130% passengers increase; 31% more fuel use</t>
  </si>
  <si>
    <t>By 2050, 85% passengers increase; 5% more fuel use</t>
  </si>
  <si>
    <t>By 2050, international aviation has 130% more passengers but uses only 50% more fuel</t>
  </si>
  <si>
    <t>By 2050, international aviation has 130% more passengers but uses only 45% more fuel</t>
  </si>
  <si>
    <t>By 2050, international aviation has 130% more passengers but uses only 31% more fuel</t>
  </si>
  <si>
    <t>By 2050, international aviation has 85% more passengers but uses only 5% more fuel</t>
  </si>
  <si>
    <t>Is added in further down spreadsheet</t>
  </si>
  <si>
    <t>Not currently wired here - is done further down sheet instead</t>
  </si>
  <si>
    <t>ONS ABMI for 2007. Projections assume constant was 2.0% growth (figures are 2005 constant prices)</t>
  </si>
  <si>
    <t xml:space="preserve">Gas boiler (new) is 0.1% in all cases where it would otherwise be zero. This is a modelling trick to ensure that, in the short-term, </t>
  </si>
  <si>
    <t>new builds get something</t>
  </si>
  <si>
    <t>Higher renewables, more energy efficiency</t>
  </si>
  <si>
    <t>Higher nuclear, less energy efficiency</t>
  </si>
  <si>
    <t>Higher CCS, more bioenergy</t>
  </si>
  <si>
    <t>Analogous to MARKAL 3.26</t>
  </si>
  <si>
    <t>National Grid</t>
  </si>
  <si>
    <t>Low cost pathway</t>
  </si>
  <si>
    <t>2050 Calculator calculations</t>
  </si>
  <si>
    <t>INSTRUCTIONS ARE AVAILABLE AT:</t>
  </si>
  <si>
    <t>No new nuclear power installed. Final nuclear power station estimated to close in 2035</t>
  </si>
  <si>
    <t>http://2050-calculator-tool-wiki.decc.gov.uk/pages/72</t>
  </si>
  <si>
    <t>http://2050-calculator-tool-wiki.decc.gov.uk/pages/31</t>
  </si>
  <si>
    <t>Choice of fuel cells or batteries</t>
  </si>
  <si>
    <t>100% of zero emission cars use batteries by 2050</t>
  </si>
  <si>
    <t>Among zero emission cars, 80% use batteries and 20% use fuel cells by 2050</t>
  </si>
  <si>
    <t>Among zero emission cars, 20% use batteries and 80% use fuel cells by 2050</t>
  </si>
  <si>
    <t>100% of zero emission cars use fuel cells by 2050</t>
  </si>
  <si>
    <t>Doesn't tackle climate change (All at level 1)</t>
  </si>
  <si>
    <t>Friends of the Earth</t>
  </si>
  <si>
    <t>Campaign to Protect Rural England</t>
  </si>
  <si>
    <t>Example pathway wiki page</t>
  </si>
  <si>
    <t>Example pathway position in cost comparator</t>
  </si>
  <si>
    <t>No</t>
  </si>
  <si>
    <t>One sentence description of pathway</t>
  </si>
  <si>
    <t>Cost-optimising model based. Mix of supply sources. Ambitious demand reduction.</t>
  </si>
  <si>
    <t>Renewables largest supply component. Very ambitious demand reduction. Lots of storage.</t>
  </si>
  <si>
    <t>Lots of nuclear. Moderate energy demand reduction. Minimal renewables.</t>
  </si>
  <si>
    <t xml:space="preserve">Lots of CCS and biomass co-firing. Ambitious demand reduction. </t>
  </si>
  <si>
    <t>TBD</t>
  </si>
  <si>
    <t xml:space="preserve">Generation from wind, marine renewables and hydro. Ambitious demand reduction. </t>
  </si>
  <si>
    <t>Offshore renewables, solar, geothermal and electricity imports. Ambitious demand reduction.</t>
  </si>
  <si>
    <t>Marine renewables, geothermal and algae supply. Some nuclear and CCS.</t>
  </si>
  <si>
    <t>Wide range of generation sources. Moderate demand reduction. Considerable bioenergy.</t>
  </si>
  <si>
    <t>Energy from a range of sources. Emphasis on UK self-reliance.</t>
  </si>
  <si>
    <t>Imported natural gas for electricity and heat. Imported oil for vehicles.</t>
  </si>
  <si>
    <t>Resistive heating</t>
  </si>
  <si>
    <t>Stirling engine micro-CHP</t>
  </si>
  <si>
    <t>Fuel-cell micro-CHP</t>
  </si>
  <si>
    <t>Community scale gas CHP with local district heating</t>
  </si>
  <si>
    <t>Community scale solid-fuel CHP with local district heating</t>
  </si>
  <si>
    <t>Long distance district heating from large power stations</t>
  </si>
  <si>
    <t>Agriculture &amp; waste</t>
  </si>
  <si>
    <t>Electricity distribution, storage &amp; balancing</t>
  </si>
  <si>
    <t>Tidal &amp; Wave</t>
  </si>
  <si>
    <t>Int'l Aviation &amp; Shipping</t>
  </si>
  <si>
    <t>Heating &amp; cooling</t>
  </si>
  <si>
    <t>Over 7M homes insulated, average thermal leakiness falls by 25%</t>
  </si>
  <si>
    <t>Over 8M homes insulated, average thermal leakiness falls by 33%</t>
  </si>
  <si>
    <t>Over 18M homes insulated, average thermal leakiness falls by 42%</t>
  </si>
  <si>
    <t xml:space="preserve">Over 24M homes insulated, average thermal leakiness decreases by 50% </t>
  </si>
  <si>
    <t>CCS Power</t>
  </si>
  <si>
    <t>Version 3.5.1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</si>
</sst>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5" formatCode="&quot;£&quot;#,##0;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E+00"/>
    <numFmt numFmtId="165" formatCode="#,##0\ ;\-#,##0\ ;&quot; &quot;"/>
    <numFmt numFmtId="166" formatCode="#,##0\ ;\-#,##0\ ;&quot;-  &quot;"/>
    <numFmt numFmtId="167" formatCode="#,##0\r;\-#,##0\r;&quot;-r &quot;"/>
    <numFmt numFmtId="168" formatCode="\+#,##0\r;\-#,##0\r;&quot;-r &quot;"/>
    <numFmt numFmtId="169" formatCode="\+#,##0\ ;\-#,##0\ ;&quot;-  &quot;"/>
    <numFmt numFmtId="170" formatCode="#,##0.0"/>
    <numFmt numFmtId="171" formatCode="0.000"/>
    <numFmt numFmtId="172" formatCode="#,##0\ ;\-#,##0\ ;&quot;- &quot;"/>
    <numFmt numFmtId="173" formatCode="#,##0\r;\-#,##0\r;&quot;-r&quot;"/>
    <numFmt numFmtId="174" formatCode="#,##0.0\ ;\-#,##0.0\ ;&quot;- &quot;"/>
    <numFmt numFmtId="175" formatCode="_-* #,##0_-;\-* #,##0_-;_-* &quot;-&quot;??_-;_-@_-"/>
    <numFmt numFmtId="176" formatCode="#,##0.0_);\(#,##0.0\);&quot;-&quot;;@"/>
    <numFmt numFmtId="177" formatCode="0.0"/>
    <numFmt numFmtId="178" formatCode="#,##0.0\ ;\-#,##0.0\ ;&quot;-&quot;\ ;"/>
    <numFmt numFmtId="179" formatCode="0.00000"/>
    <numFmt numFmtId="180" formatCode="#,##0\ ;\-#,##0\ ;&quot;-&quot;"/>
    <numFmt numFmtId="181" formatCode="#,##0\r;\-#,##0\r;&quot;-&quot;"/>
    <numFmt numFmtId="182" formatCode="\+#,##0\ ;\-#,##0\ ;&quot;-&quot;"/>
    <numFmt numFmtId="183" formatCode="\+#,##0\ ;\-#,##0\ ;&quot;- &quot;"/>
    <numFmt numFmtId="184" formatCode="\+#,##0\r;\-#,##0\r;&quot;-r&quot;"/>
    <numFmt numFmtId="185" formatCode="#,##0\ ;\-#,##0\ ;&quot;- &quot;\ "/>
    <numFmt numFmtId="186" formatCode="#,##0\r;\-#,##0\r;&quot;-r&quot;\ "/>
    <numFmt numFmtId="187" formatCode="#,##0.00_);\(#,##0.00\);&quot;-&quot;;@"/>
    <numFmt numFmtId="188" formatCode="#,##0.000_);\(#,##0.000\);&quot;-&quot;;@"/>
    <numFmt numFmtId="189" formatCode="0.0%"/>
    <numFmt numFmtId="190" formatCode="#,##0.0_);\(#,##0.0\);&quot;-&quot;_);@"/>
    <numFmt numFmtId="191" formatCode="#,##0_);\(#,##0\);&quot;-&quot;_);@"/>
    <numFmt numFmtId="192" formatCode="0.0E+00"/>
    <numFmt numFmtId="193" formatCode="#,##0.00_);\(#,##0.00\);&quot;-&quot;_);@"/>
    <numFmt numFmtId="194" formatCode="#,##0.000_);\(#,##0.000\);&quot;-&quot;_);@"/>
    <numFmt numFmtId="195" formatCode="#,###&quot;-&quot;\ ;\-#,###&quot;-&quot;;&quot;- &quot;"/>
    <numFmt numFmtId="196" formatCode="0%;\ \(0%\);\ \-"/>
    <numFmt numFmtId="197" formatCode="0.0%;\ \(0.0%\);\ \-"/>
    <numFmt numFmtId="198" formatCode="#,##0.0\ ;\-#,##0.0\ ;&quot;- &quot;\ "/>
    <numFmt numFmtId="199" formatCode="#,##0.0\r;\-#,##0.0\r;&quot;-r&quot;\ "/>
    <numFmt numFmtId="200" formatCode="0.000000"/>
    <numFmt numFmtId="201" formatCode="&quot;£&quot;#,##0.00"/>
    <numFmt numFmtId="202" formatCode="&quot;£&quot;#,##0"/>
    <numFmt numFmtId="203" formatCode="#,##0.000000"/>
    <numFmt numFmtId="204" formatCode="0.0000"/>
  </numFmts>
  <fonts count="160" x14ac:knownFonts="1">
    <font>
      <sz val="10"/>
      <color theme="1"/>
      <name val="Cambria"/>
      <family val="1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mbria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ajor"/>
    </font>
    <font>
      <sz val="10"/>
      <color theme="1"/>
      <name val="Cambria"/>
      <family val="1"/>
      <scheme val="minor"/>
    </font>
    <font>
      <vertAlign val="subscript"/>
      <sz val="10"/>
      <color theme="1"/>
      <name val="Cambria"/>
      <family val="1"/>
      <scheme val="minor"/>
    </font>
    <font>
      <sz val="12"/>
      <color theme="1"/>
      <name val="Cambria"/>
      <family val="1"/>
      <scheme val="min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11"/>
      <color theme="1"/>
      <name val="Cambria"/>
      <family val="1"/>
      <scheme val="minor"/>
    </font>
    <font>
      <sz val="8"/>
      <color theme="1"/>
      <name val="Cambria"/>
      <family val="1"/>
      <scheme val="minor"/>
    </font>
    <font>
      <b/>
      <sz val="10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0"/>
      <color theme="1"/>
      <name val="Cambria"/>
      <family val="1"/>
      <scheme val="minor"/>
    </font>
    <font>
      <b/>
      <vertAlign val="subscript"/>
      <sz val="10"/>
      <color theme="1"/>
      <name val="Cambria"/>
      <family val="1"/>
      <scheme val="minor"/>
    </font>
    <font>
      <sz val="10"/>
      <color theme="3" tint="0.79998168889431442"/>
      <name val="Cambria"/>
      <family val="1"/>
      <scheme val="minor"/>
    </font>
    <font>
      <sz val="10"/>
      <color theme="3" tint="0.79998168889431442"/>
      <name val="Calibri"/>
      <family val="2"/>
      <scheme val="major"/>
    </font>
    <font>
      <sz val="14"/>
      <color theme="1"/>
      <name val="Calibri"/>
      <family val="2"/>
      <scheme val="major"/>
    </font>
    <font>
      <i/>
      <sz val="10"/>
      <color theme="1"/>
      <name val="Cambria"/>
      <family val="1"/>
      <scheme val="minor"/>
    </font>
    <font>
      <sz val="12"/>
      <color theme="1"/>
      <name val="Arial"/>
      <family val="2"/>
    </font>
    <font>
      <sz val="8"/>
      <color theme="1"/>
      <name val="Consolas"/>
      <family val="3"/>
    </font>
    <font>
      <sz val="10"/>
      <name val="Cambria"/>
      <family val="1"/>
      <scheme val="minor"/>
    </font>
    <font>
      <sz val="10"/>
      <name val="Calibri"/>
      <family val="2"/>
      <scheme val="major"/>
    </font>
    <font>
      <sz val="10"/>
      <color rgb="FF3F3F76"/>
      <name val="Arial"/>
      <family val="2"/>
    </font>
    <font>
      <sz val="10"/>
      <name val="Arial"/>
      <family val="2"/>
    </font>
    <font>
      <b/>
      <sz val="18"/>
      <color indexed="12"/>
      <name val="Arial"/>
      <family val="2"/>
    </font>
    <font>
      <sz val="18"/>
      <color indexed="12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i/>
      <sz val="8.5"/>
      <name val="Arial"/>
      <family val="2"/>
    </font>
    <font>
      <sz val="7"/>
      <name val="Arial"/>
      <family val="2"/>
    </font>
    <font>
      <sz val="7.5"/>
      <name val="Arial"/>
      <family val="2"/>
    </font>
    <font>
      <i/>
      <sz val="8"/>
      <name val="Arial"/>
      <family val="2"/>
    </font>
    <font>
      <sz val="7.5"/>
      <color indexed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21"/>
      <color indexed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8.5"/>
      <name val="Arial"/>
      <family val="2"/>
    </font>
    <font>
      <b/>
      <sz val="8.5"/>
      <color indexed="8"/>
      <name val="Arial"/>
      <family val="2"/>
    </font>
    <font>
      <sz val="8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i/>
      <sz val="8.5"/>
      <color indexed="8"/>
      <name val="Arial"/>
      <family val="2"/>
    </font>
    <font>
      <sz val="10"/>
      <color indexed="12"/>
      <name val="Arial"/>
      <family val="2"/>
    </font>
    <font>
      <sz val="8.5"/>
      <color indexed="12"/>
      <name val="Arial"/>
      <family val="2"/>
    </font>
    <font>
      <b/>
      <i/>
      <sz val="10"/>
      <name val="Arial"/>
      <family val="2"/>
    </font>
    <font>
      <sz val="8"/>
      <name val="Cambria"/>
      <family val="1"/>
      <scheme val="minor"/>
    </font>
    <font>
      <sz val="21.5"/>
      <color indexed="12"/>
      <name val="Arial"/>
      <family val="2"/>
    </font>
    <font>
      <sz val="21.5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i/>
      <sz val="8"/>
      <color indexed="12"/>
      <name val="Arial"/>
      <family val="2"/>
    </font>
    <font>
      <sz val="22"/>
      <color indexed="12"/>
      <name val="Arial"/>
      <family val="2"/>
    </font>
    <font>
      <sz val="22"/>
      <name val="Arial"/>
      <family val="2"/>
    </font>
    <font>
      <b/>
      <i/>
      <sz val="8.5"/>
      <name val="Arial"/>
      <family val="2"/>
    </font>
    <font>
      <b/>
      <sz val="10"/>
      <name val="Cambria"/>
      <family val="1"/>
      <scheme val="minor"/>
    </font>
    <font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9"/>
      <color indexed="8"/>
      <name val="Arial"/>
      <family val="2"/>
    </font>
    <font>
      <sz val="8.5"/>
      <name val="Arial"/>
      <family val="2"/>
    </font>
    <font>
      <i/>
      <sz val="8.5"/>
      <color indexed="12"/>
      <name val="Arial"/>
      <family val="2"/>
    </font>
    <font>
      <b/>
      <sz val="7.5"/>
      <name val="Arial"/>
      <family val="2"/>
    </font>
    <font>
      <i/>
      <sz val="7.5"/>
      <name val="Arial"/>
      <family val="2"/>
    </font>
    <font>
      <sz val="12"/>
      <name val="Calibri"/>
      <family val="2"/>
      <scheme val="major"/>
    </font>
    <font>
      <b/>
      <sz val="8"/>
      <color theme="1"/>
      <name val="Calibri"/>
      <family val="2"/>
      <scheme val="major"/>
    </font>
    <font>
      <b/>
      <sz val="12"/>
      <name val="Calibri"/>
      <family val="2"/>
      <scheme val="major"/>
    </font>
    <font>
      <sz val="16"/>
      <color theme="1"/>
      <name val="Cambria"/>
      <family val="1"/>
      <scheme val="minor"/>
    </font>
    <font>
      <b/>
      <sz val="10"/>
      <color rgb="FF3F3F76"/>
      <name val="Cambria"/>
      <family val="1"/>
      <scheme val="minor"/>
    </font>
    <font>
      <sz val="14"/>
      <color theme="1"/>
      <name val="Cambria"/>
      <family val="1"/>
      <scheme val="minor"/>
    </font>
    <font>
      <i/>
      <sz val="8"/>
      <name val="Cambria"/>
      <family val="1"/>
      <scheme val="minor"/>
    </font>
    <font>
      <sz val="10"/>
      <color theme="1"/>
      <name val="Cambria"/>
      <family val="1"/>
    </font>
    <font>
      <i/>
      <sz val="10"/>
      <name val="Cambria"/>
      <family val="1"/>
      <scheme val="minor"/>
    </font>
    <font>
      <b/>
      <i/>
      <sz val="10"/>
      <color theme="1"/>
      <name val="Cambria"/>
      <family val="1"/>
      <scheme val="minor"/>
    </font>
    <font>
      <b/>
      <sz val="18"/>
      <color theme="1"/>
      <name val="Calibri"/>
      <family val="2"/>
      <scheme val="major"/>
    </font>
    <font>
      <b/>
      <sz val="18"/>
      <name val="Calibri"/>
      <family val="2"/>
      <scheme val="major"/>
    </font>
    <font>
      <sz val="8"/>
      <color theme="4" tint="-0.249977111117893"/>
      <name val="Cambria"/>
      <family val="1"/>
      <scheme val="minor"/>
    </font>
    <font>
      <i/>
      <sz val="12"/>
      <name val="Cambria"/>
      <family val="1"/>
      <scheme val="minor"/>
    </font>
    <font>
      <b/>
      <sz val="8"/>
      <color theme="4" tint="-0.249977111117893"/>
      <name val="Calibri"/>
      <family val="2"/>
      <scheme val="major"/>
    </font>
    <font>
      <i/>
      <sz val="12"/>
      <color theme="1"/>
      <name val="Cambria"/>
      <family val="1"/>
      <scheme val="minor"/>
    </font>
    <font>
      <b/>
      <vertAlign val="subscript"/>
      <sz val="18"/>
      <color theme="1"/>
      <name val="Calibri"/>
      <family val="2"/>
      <scheme val="major"/>
    </font>
    <font>
      <sz val="18"/>
      <color theme="1"/>
      <name val="Cambria"/>
      <family val="1"/>
      <scheme val="minor"/>
    </font>
    <font>
      <sz val="10"/>
      <color indexed="10"/>
      <name val="Arial"/>
      <family val="2"/>
    </font>
    <font>
      <i/>
      <vertAlign val="superscript"/>
      <sz val="18"/>
      <color indexed="12"/>
      <name val="Arial"/>
      <family val="2"/>
    </font>
    <font>
      <b/>
      <i/>
      <sz val="9"/>
      <name val="Arial"/>
      <family val="2"/>
    </font>
    <font>
      <b/>
      <sz val="14"/>
      <color theme="1"/>
      <name val="Cambria"/>
      <family val="1"/>
      <scheme val="minor"/>
    </font>
    <font>
      <vertAlign val="superscript"/>
      <sz val="10"/>
      <color theme="1"/>
      <name val="Cambria"/>
      <family val="1"/>
      <scheme val="minor"/>
    </font>
    <font>
      <sz val="12"/>
      <name val="Cambria"/>
      <family val="1"/>
      <scheme val="minor"/>
    </font>
    <font>
      <b/>
      <sz val="12"/>
      <color theme="1"/>
      <name val="Cambria"/>
      <family val="1"/>
      <scheme val="minor"/>
    </font>
    <font>
      <i/>
      <sz val="10"/>
      <color theme="1"/>
      <name val="Arial"/>
      <family val="2"/>
    </font>
    <font>
      <b/>
      <sz val="8"/>
      <color theme="1"/>
      <name val="Cambria"/>
      <family val="1"/>
      <scheme val="minor"/>
    </font>
    <font>
      <sz val="12"/>
      <color indexed="12"/>
      <name val="Arial"/>
      <family val="2"/>
    </font>
    <font>
      <b/>
      <i/>
      <sz val="8"/>
      <name val="Arial"/>
      <family val="2"/>
    </font>
    <font>
      <sz val="18"/>
      <color theme="0"/>
      <name val="Calibri"/>
      <family val="2"/>
      <scheme val="major"/>
    </font>
    <font>
      <b/>
      <sz val="18"/>
      <color theme="0"/>
      <name val="Calibri"/>
      <family val="2"/>
      <scheme val="major"/>
    </font>
    <font>
      <b/>
      <sz val="12"/>
      <color theme="4" tint="-0.249977111117893"/>
      <name val="Cambria"/>
      <family val="1"/>
      <scheme val="minor"/>
    </font>
    <font>
      <sz val="12"/>
      <color theme="4" tint="-0.249977111117893"/>
      <name val="Cambria"/>
      <family val="1"/>
      <scheme val="minor"/>
    </font>
    <font>
      <b/>
      <sz val="10"/>
      <color theme="5"/>
      <name val="Cambria"/>
      <family val="1"/>
      <scheme val="minor"/>
    </font>
    <font>
      <b/>
      <sz val="10"/>
      <color theme="1"/>
      <name val="Arial"/>
      <family val="2"/>
    </font>
    <font>
      <sz val="12"/>
      <color rgb="FF1F497D"/>
      <name val="Arial"/>
      <family val="2"/>
    </font>
    <font>
      <sz val="10"/>
      <color theme="1"/>
      <name val="Cambria"/>
      <family val="1"/>
      <scheme val="minor"/>
    </font>
    <font>
      <b/>
      <sz val="12"/>
      <name val="Cambria"/>
      <family val="1"/>
      <scheme val="minor"/>
    </font>
    <font>
      <b/>
      <sz val="11"/>
      <color theme="0"/>
      <name val="Calibri"/>
      <family val="2"/>
      <scheme val="major"/>
    </font>
    <font>
      <b/>
      <sz val="18"/>
      <color theme="9" tint="-0.249977111117893"/>
      <name val="Cambria"/>
      <family val="1"/>
      <scheme val="minor"/>
    </font>
    <font>
      <sz val="14"/>
      <color theme="9" tint="-0.249977111117893"/>
      <name val="Cambria"/>
      <family val="1"/>
      <scheme val="minor"/>
    </font>
    <font>
      <sz val="10"/>
      <color theme="1"/>
      <name val="Cambria"/>
      <family val="1"/>
      <scheme val="minor"/>
    </font>
    <font>
      <u/>
      <sz val="10"/>
      <color theme="10"/>
      <name val="Cambria"/>
      <family val="1"/>
      <scheme val="minor"/>
    </font>
    <font>
      <u/>
      <sz val="10"/>
      <color theme="11"/>
      <name val="Cambria"/>
      <family val="1"/>
      <scheme val="minor"/>
    </font>
    <font>
      <sz val="10"/>
      <color theme="1"/>
      <name val="Cambria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b/>
      <u/>
      <sz val="10"/>
      <color theme="1"/>
      <name val="Cambria"/>
      <family val="1"/>
      <scheme val="minor"/>
    </font>
    <font>
      <b/>
      <sz val="16"/>
      <color indexed="8"/>
      <name val="Cambria"/>
      <family val="1"/>
      <scheme val="minor"/>
    </font>
    <font>
      <u/>
      <sz val="8.5"/>
      <color theme="10"/>
      <name val="Cambria"/>
      <family val="1"/>
      <scheme val="minor"/>
    </font>
    <font>
      <b/>
      <sz val="10"/>
      <color theme="0" tint="-0.499984740745262"/>
      <name val="Cambria"/>
      <family val="1"/>
      <scheme val="minor"/>
    </font>
    <font>
      <sz val="10"/>
      <color theme="1"/>
      <name val="Cambria"/>
      <family val="1"/>
      <scheme val="minor"/>
    </font>
    <font>
      <sz val="10"/>
      <color theme="0"/>
      <name val="Arial"/>
      <family val="2"/>
    </font>
    <font>
      <sz val="11"/>
      <color theme="1"/>
      <name val="Cambria"/>
      <family val="2"/>
      <scheme val="minor"/>
    </font>
    <font>
      <sz val="12"/>
      <color theme="1"/>
      <name val="Times New Roman"/>
      <family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Cambria"/>
      <family val="1"/>
      <scheme val="minor"/>
    </font>
    <font>
      <b/>
      <sz val="18"/>
      <color theme="3"/>
      <name val="Calibri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1"/>
      <name val="Cambria"/>
      <family val="1"/>
      <scheme val="minor"/>
    </font>
    <font>
      <sz val="11"/>
      <color rgb="FF1F497D"/>
      <name val="Arial"/>
      <family val="2"/>
    </font>
    <font>
      <b/>
      <sz val="12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theme="5"/>
      </patternFill>
    </fill>
    <fill>
      <patternFill patternType="solid">
        <fgColor theme="3" tint="0.79998168889431442"/>
        <bgColor theme="5" tint="0.5999938962981048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F1DE"/>
        <bgColor rgb="FF000000"/>
      </patternFill>
    </fill>
    <fill>
      <patternFill patternType="solid">
        <fgColor rgb="FF95B3D7"/>
        <bgColor rgb="FF000000"/>
      </patternFill>
    </fill>
  </fills>
  <borders count="8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 style="thin">
        <color theme="0" tint="-0.34998626667073579"/>
      </left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5" tint="0.59996337778862885"/>
      </right>
      <top/>
      <bottom/>
      <diagonal/>
    </border>
    <border>
      <left style="thin">
        <color theme="5" tint="0.59996337778862885"/>
      </left>
      <right/>
      <top/>
      <bottom/>
      <diagonal/>
    </border>
    <border>
      <left/>
      <right style="thin">
        <color theme="8" tint="0.79998168889431442"/>
      </right>
      <top style="thin">
        <color theme="0" tint="-0.34998626667073579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0" tint="-0.34998626667073579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5" tint="0.59996337778862885"/>
      </right>
      <top style="thin">
        <color theme="0" tint="-0.34998626667073579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5" tint="0.59996337778862885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1"/>
      </bottom>
      <diagonal/>
    </border>
    <border>
      <left style="thin">
        <color theme="8" tint="0.79998168889431442"/>
      </left>
      <right style="thin">
        <color theme="5" tint="0.59996337778862885"/>
      </right>
      <top style="thin">
        <color theme="8" tint="0.79998168889431442"/>
      </top>
      <bottom style="thin">
        <color theme="1"/>
      </bottom>
      <diagonal/>
    </border>
  </borders>
  <cellStyleXfs count="905">
    <xf numFmtId="0" fontId="0" fillId="0" borderId="0"/>
    <xf numFmtId="196" fontId="26" fillId="0" borderId="0" applyFont="0" applyFill="0" applyBorder="0" applyAlignment="0" applyProtection="0"/>
    <xf numFmtId="190" fontId="10" fillId="0" borderId="0" applyFont="0" applyFill="0" applyBorder="0" applyAlignment="0" applyProtection="0"/>
    <xf numFmtId="0" fontId="30" fillId="3" borderId="3" applyNumberFormat="0" applyAlignment="0" applyProtection="0"/>
    <xf numFmtId="176" fontId="68" fillId="0" borderId="0" applyNumberFormat="0" applyFill="0" applyBorder="0" applyAlignment="0" applyProtection="0"/>
    <xf numFmtId="0" fontId="20" fillId="0" borderId="2" applyNumberFormat="0">
      <alignment horizontal="left" vertical="center"/>
    </xf>
    <xf numFmtId="0" fontId="31" fillId="0" borderId="0"/>
    <xf numFmtId="196" fontId="26" fillId="0" borderId="0" applyFont="0" applyFill="0" applyBorder="0" applyAlignment="0" applyProtection="0"/>
    <xf numFmtId="0" fontId="8" fillId="23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1" fillId="0" borderId="0"/>
    <xf numFmtId="0" fontId="132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6" fillId="23" borderId="0" applyNumberFormat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128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33" fillId="29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0" borderId="0"/>
    <xf numFmtId="0" fontId="4" fillId="23" borderId="0" applyNumberFormat="0" applyBorder="0" applyAlignment="0" applyProtection="0"/>
    <xf numFmtId="44" fontId="10" fillId="0" borderId="0" applyFont="0" applyFill="0" applyBorder="0" applyAlignment="0" applyProtection="0"/>
    <xf numFmtId="0" fontId="139" fillId="30" borderId="0" applyNumberFormat="0" applyBorder="0" applyAlignment="0" applyProtection="0"/>
    <xf numFmtId="0" fontId="145" fillId="0" borderId="0" applyNumberFormat="0" applyFill="0" applyBorder="0" applyAlignment="0" applyProtection="0"/>
    <xf numFmtId="0" fontId="146" fillId="0" borderId="67" applyNumberFormat="0" applyFill="0" applyAlignment="0" applyProtection="0"/>
    <xf numFmtId="0" fontId="147" fillId="0" borderId="68" applyNumberFormat="0" applyFill="0" applyAlignment="0" applyProtection="0"/>
    <xf numFmtId="0" fontId="148" fillId="0" borderId="69" applyNumberFormat="0" applyFill="0" applyAlignment="0" applyProtection="0"/>
    <xf numFmtId="0" fontId="148" fillId="0" borderId="0" applyNumberFormat="0" applyFill="0" applyBorder="0" applyAlignment="0" applyProtection="0"/>
    <xf numFmtId="0" fontId="149" fillId="32" borderId="0" applyNumberFormat="0" applyBorder="0" applyAlignment="0" applyProtection="0"/>
    <xf numFmtId="0" fontId="150" fillId="33" borderId="0" applyNumberFormat="0" applyBorder="0" applyAlignment="0" applyProtection="0"/>
    <xf numFmtId="0" fontId="151" fillId="34" borderId="70" applyNumberFormat="0" applyAlignment="0" applyProtection="0"/>
    <xf numFmtId="0" fontId="152" fillId="34" borderId="3" applyNumberFormat="0" applyAlignment="0" applyProtection="0"/>
    <xf numFmtId="0" fontId="153" fillId="0" borderId="71" applyNumberFormat="0" applyFill="0" applyAlignment="0" applyProtection="0"/>
    <xf numFmtId="0" fontId="154" fillId="35" borderId="72" applyNumberFormat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20" fillId="0" borderId="74" applyNumberFormat="0" applyFill="0" applyAlignment="0" applyProtection="0"/>
    <xf numFmtId="0" fontId="139" fillId="37" borderId="0" applyNumberFormat="0" applyBorder="0" applyAlignment="0" applyProtection="0"/>
    <xf numFmtId="0" fontId="3" fillId="38" borderId="0" applyNumberFormat="0" applyBorder="0" applyAlignment="0" applyProtection="0"/>
    <xf numFmtId="0" fontId="139" fillId="39" borderId="0" applyNumberFormat="0" applyBorder="0" applyAlignment="0" applyProtection="0"/>
    <xf numFmtId="0" fontId="139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139" fillId="43" borderId="0" applyNumberFormat="0" applyBorder="0" applyAlignment="0" applyProtection="0"/>
    <xf numFmtId="0" fontId="139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139" fillId="47" borderId="0" applyNumberFormat="0" applyBorder="0" applyAlignment="0" applyProtection="0"/>
    <xf numFmtId="0" fontId="139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139" fillId="51" borderId="0" applyNumberFormat="0" applyBorder="0" applyAlignment="0" applyProtection="0"/>
    <xf numFmtId="0" fontId="139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139" fillId="55" borderId="0" applyNumberFormat="0" applyBorder="0" applyAlignment="0" applyProtection="0"/>
    <xf numFmtId="0" fontId="3" fillId="56" borderId="0" applyNumberFormat="0" applyBorder="0" applyAlignment="0" applyProtection="0"/>
    <xf numFmtId="0" fontId="139" fillId="57" borderId="0" applyNumberFormat="0" applyBorder="0" applyAlignment="0" applyProtection="0"/>
    <xf numFmtId="0" fontId="3" fillId="0" borderId="0"/>
    <xf numFmtId="0" fontId="3" fillId="36" borderId="73" applyNumberFormat="0" applyFont="0" applyAlignment="0" applyProtection="0"/>
    <xf numFmtId="0" fontId="3" fillId="26" borderId="0" applyNumberFormat="0" applyBorder="0" applyAlignment="0" applyProtection="0"/>
    <xf numFmtId="0" fontId="3" fillId="23" borderId="0" applyNumberFormat="0" applyBorder="0" applyAlignment="0" applyProtection="0"/>
    <xf numFmtId="0" fontId="2" fillId="0" borderId="0"/>
    <xf numFmtId="0" fontId="2" fillId="36" borderId="73" applyNumberFormat="0" applyFont="0" applyAlignment="0" applyProtection="0"/>
    <xf numFmtId="0" fontId="2" fillId="26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23" borderId="0" applyNumberFormat="0" applyBorder="0" applyAlignment="0" applyProtection="0"/>
    <xf numFmtId="0" fontId="2" fillId="56" borderId="0" applyNumberFormat="0" applyBorder="0" applyAlignment="0" applyProtection="0"/>
    <xf numFmtId="0" fontId="1" fillId="0" borderId="0"/>
    <xf numFmtId="0" fontId="1" fillId="36" borderId="73" applyNumberFormat="0" applyFont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23" borderId="0" applyNumberFormat="0" applyBorder="0" applyAlignment="0" applyProtection="0"/>
    <xf numFmtId="0" fontId="1" fillId="56" borderId="0" applyNumberFormat="0" applyBorder="0" applyAlignment="0" applyProtection="0"/>
    <xf numFmtId="0" fontId="140" fillId="0" borderId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190" fontId="10" fillId="0" borderId="0" applyFont="0" applyFill="0" applyBorder="0" applyAlignment="0" applyProtection="0"/>
  </cellStyleXfs>
  <cellXfs count="1786">
    <xf numFmtId="0" fontId="0" fillId="0" borderId="0" xfId="0"/>
    <xf numFmtId="0" fontId="0" fillId="0" borderId="0" xfId="0"/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90" fontId="0" fillId="0" borderId="0" xfId="2" applyFont="1"/>
    <xf numFmtId="11" fontId="0" fillId="0" borderId="0" xfId="0" applyNumberFormat="1"/>
    <xf numFmtId="0" fontId="24" fillId="0" borderId="0" xfId="0" applyFont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0" fillId="3" borderId="3" xfId="3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2" fillId="4" borderId="0" xfId="0" applyFont="1" applyFill="1" applyAlignment="1">
      <alignment horizontal="left"/>
    </xf>
    <xf numFmtId="0" fontId="32" fillId="4" borderId="0" xfId="0" applyFont="1" applyFill="1"/>
    <xf numFmtId="0" fontId="33" fillId="4" borderId="0" xfId="0" applyFont="1" applyFill="1"/>
    <xf numFmtId="0" fontId="34" fillId="4" borderId="0" xfId="0" applyFont="1" applyFill="1"/>
    <xf numFmtId="0" fontId="35" fillId="4" borderId="0" xfId="0" applyFont="1" applyFill="1"/>
    <xf numFmtId="0" fontId="36" fillId="4" borderId="0" xfId="0" applyFont="1" applyFill="1"/>
    <xf numFmtId="0" fontId="37" fillId="4" borderId="0" xfId="0" applyFont="1" applyFill="1"/>
    <xf numFmtId="0" fontId="38" fillId="4" borderId="0" xfId="0" applyFont="1" applyFill="1"/>
    <xf numFmtId="0" fontId="39" fillId="4" borderId="0" xfId="0" applyFont="1" applyFill="1"/>
    <xf numFmtId="0" fontId="38" fillId="4" borderId="0" xfId="0" applyFont="1" applyFill="1" applyAlignment="1">
      <alignment horizontal="right"/>
    </xf>
    <xf numFmtId="0" fontId="31" fillId="4" borderId="0" xfId="0" applyFont="1" applyFill="1"/>
    <xf numFmtId="0" fontId="36" fillId="4" borderId="4" xfId="0" applyFont="1" applyFill="1" applyBorder="1" applyAlignment="1">
      <alignment horizontal="right" vertical="top" wrapText="1"/>
    </xf>
    <xf numFmtId="165" fontId="40" fillId="4" borderId="4" xfId="0" applyNumberFormat="1" applyFont="1" applyFill="1" applyBorder="1" applyAlignment="1">
      <alignment horizontal="right" vertical="top" wrapText="1"/>
    </xf>
    <xf numFmtId="0" fontId="40" fillId="4" borderId="4" xfId="0" applyFont="1" applyFill="1" applyBorder="1" applyAlignment="1">
      <alignment horizontal="right" vertical="top" wrapText="1"/>
    </xf>
    <xf numFmtId="0" fontId="42" fillId="4" borderId="0" xfId="0" applyFont="1" applyFill="1" applyAlignment="1">
      <alignment horizontal="right" vertical="top" wrapText="1"/>
    </xf>
    <xf numFmtId="0" fontId="40" fillId="4" borderId="0" xfId="0" applyFont="1" applyFill="1"/>
    <xf numFmtId="166" fontId="36" fillId="4" borderId="0" xfId="0" applyNumberFormat="1" applyFont="1" applyFill="1" applyAlignment="1">
      <alignment horizontal="right"/>
    </xf>
    <xf numFmtId="3" fontId="36" fillId="4" borderId="0" xfId="0" applyNumberFormat="1" applyFont="1" applyFill="1"/>
    <xf numFmtId="0" fontId="43" fillId="4" borderId="0" xfId="0" applyFont="1" applyFill="1"/>
    <xf numFmtId="1" fontId="36" fillId="4" borderId="0" xfId="0" applyNumberFormat="1" applyFont="1" applyFill="1"/>
    <xf numFmtId="167" fontId="36" fillId="4" borderId="0" xfId="0" applyNumberFormat="1" applyFont="1" applyFill="1" applyAlignment="1">
      <alignment horizontal="right"/>
    </xf>
    <xf numFmtId="0" fontId="36" fillId="4" borderId="0" xfId="0" applyFont="1" applyFill="1" applyBorder="1"/>
    <xf numFmtId="0" fontId="40" fillId="4" borderId="5" xfId="0" applyFont="1" applyFill="1" applyBorder="1" applyAlignment="1">
      <alignment vertical="center"/>
    </xf>
    <xf numFmtId="167" fontId="37" fillId="4" borderId="5" xfId="0" applyNumberFormat="1" applyFont="1" applyFill="1" applyBorder="1" applyAlignment="1">
      <alignment horizontal="right"/>
    </xf>
    <xf numFmtId="166" fontId="37" fillId="4" borderId="5" xfId="0" applyNumberFormat="1" applyFont="1" applyFill="1" applyBorder="1" applyAlignment="1">
      <alignment horizontal="right"/>
    </xf>
    <xf numFmtId="0" fontId="43" fillId="4" borderId="0" xfId="0" applyFont="1" applyFill="1" applyAlignment="1">
      <alignment vertical="center"/>
    </xf>
    <xf numFmtId="168" fontId="36" fillId="4" borderId="0" xfId="0" applyNumberFormat="1" applyFont="1" applyFill="1" applyBorder="1" applyAlignment="1">
      <alignment horizontal="right"/>
    </xf>
    <xf numFmtId="169" fontId="36" fillId="4" borderId="0" xfId="0" applyNumberFormat="1" applyFont="1" applyFill="1" applyBorder="1" applyAlignment="1">
      <alignment horizontal="right"/>
    </xf>
    <xf numFmtId="166" fontId="37" fillId="4" borderId="0" xfId="0" applyNumberFormat="1" applyFont="1" applyFill="1" applyBorder="1" applyAlignment="1">
      <alignment horizontal="right"/>
    </xf>
    <xf numFmtId="167" fontId="37" fillId="4" borderId="0" xfId="0" applyNumberFormat="1" applyFont="1" applyFill="1" applyAlignment="1">
      <alignment horizontal="right"/>
    </xf>
    <xf numFmtId="166" fontId="37" fillId="4" borderId="0" xfId="0" applyNumberFormat="1" applyFont="1" applyFill="1" applyAlignment="1">
      <alignment horizontal="right"/>
    </xf>
    <xf numFmtId="0" fontId="45" fillId="4" borderId="0" xfId="0" applyFont="1" applyFill="1"/>
    <xf numFmtId="0" fontId="36" fillId="4" borderId="1" xfId="0" applyFont="1" applyFill="1" applyBorder="1"/>
    <xf numFmtId="166" fontId="36" fillId="4" borderId="1" xfId="0" applyNumberFormat="1" applyFont="1" applyFill="1" applyBorder="1" applyAlignment="1">
      <alignment horizontal="right"/>
    </xf>
    <xf numFmtId="0" fontId="40" fillId="4" borderId="0" xfId="0" applyFont="1" applyFill="1" applyBorder="1"/>
    <xf numFmtId="0" fontId="40" fillId="4" borderId="1" xfId="0" applyFont="1" applyFill="1" applyBorder="1"/>
    <xf numFmtId="0" fontId="40" fillId="4" borderId="5" xfId="0" applyFont="1" applyFill="1" applyBorder="1"/>
    <xf numFmtId="167" fontId="37" fillId="4" borderId="5" xfId="0" applyNumberFormat="1" applyFont="1" applyFill="1" applyBorder="1" applyAlignment="1">
      <alignment horizontal="right" vertical="center"/>
    </xf>
    <xf numFmtId="166" fontId="37" fillId="4" borderId="5" xfId="0" applyNumberFormat="1" applyFont="1" applyFill="1" applyBorder="1" applyAlignment="1">
      <alignment horizontal="right" vertical="center"/>
    </xf>
    <xf numFmtId="0" fontId="40" fillId="4" borderId="6" xfId="0" applyFont="1" applyFill="1" applyBorder="1" applyAlignment="1">
      <alignment vertical="center"/>
    </xf>
    <xf numFmtId="166" fontId="37" fillId="4" borderId="6" xfId="0" applyNumberFormat="1" applyFont="1" applyFill="1" applyBorder="1" applyAlignment="1">
      <alignment horizontal="right"/>
    </xf>
    <xf numFmtId="167" fontId="37" fillId="4" borderId="6" xfId="0" applyNumberFormat="1" applyFont="1" applyFill="1" applyBorder="1" applyAlignment="1">
      <alignment horizontal="right"/>
    </xf>
    <xf numFmtId="0" fontId="44" fillId="4" borderId="0" xfId="0" applyFont="1" applyFill="1"/>
    <xf numFmtId="0" fontId="46" fillId="4" borderId="0" xfId="0" applyFont="1" applyFill="1"/>
    <xf numFmtId="166" fontId="31" fillId="4" borderId="0" xfId="0" applyNumberFormat="1" applyFont="1" applyFill="1"/>
    <xf numFmtId="0" fontId="49" fillId="0" borderId="0" xfId="0" applyFont="1"/>
    <xf numFmtId="0" fontId="31" fillId="0" borderId="0" xfId="0" applyFont="1"/>
    <xf numFmtId="0" fontId="31" fillId="0" borderId="7" xfId="0" applyFont="1" applyBorder="1"/>
    <xf numFmtId="3" fontId="31" fillId="0" borderId="0" xfId="0" applyNumberFormat="1" applyFont="1" applyFill="1" applyBorder="1"/>
    <xf numFmtId="3" fontId="31" fillId="0" borderId="0" xfId="0" applyNumberFormat="1" applyFont="1" applyFill="1" applyBorder="1" applyAlignment="1">
      <alignment horizontal="right"/>
    </xf>
    <xf numFmtId="0" fontId="31" fillId="0" borderId="0" xfId="0" applyFont="1" applyBorder="1"/>
    <xf numFmtId="0" fontId="31" fillId="0" borderId="4" xfId="0" applyFont="1" applyBorder="1"/>
    <xf numFmtId="3" fontId="31" fillId="0" borderId="4" xfId="0" applyNumberFormat="1" applyFont="1" applyFill="1" applyBorder="1"/>
    <xf numFmtId="3" fontId="31" fillId="0" borderId="4" xfId="0" applyNumberFormat="1" applyFont="1" applyFill="1" applyBorder="1" applyAlignment="1">
      <alignment horizontal="right"/>
    </xf>
    <xf numFmtId="3" fontId="31" fillId="0" borderId="0" xfId="0" applyNumberFormat="1" applyFont="1" applyFill="1" applyAlignment="1">
      <alignment horizontal="left"/>
    </xf>
    <xf numFmtId="3" fontId="31" fillId="0" borderId="0" xfId="0" applyNumberFormat="1" applyFont="1" applyFill="1"/>
    <xf numFmtId="3" fontId="50" fillId="0" borderId="0" xfId="0" applyNumberFormat="1" applyFont="1" applyFill="1" applyBorder="1"/>
    <xf numFmtId="3" fontId="50" fillId="0" borderId="0" xfId="0" applyNumberFormat="1" applyFont="1" applyFill="1" applyBorder="1" applyAlignment="1">
      <alignment horizontal="right"/>
    </xf>
    <xf numFmtId="3" fontId="31" fillId="0" borderId="5" xfId="0" applyNumberFormat="1" applyFont="1" applyFill="1" applyBorder="1"/>
    <xf numFmtId="3" fontId="31" fillId="0" borderId="0" xfId="0" applyNumberFormat="1" applyFont="1" applyFill="1" applyBorder="1" applyAlignment="1">
      <alignment horizontal="left"/>
    </xf>
    <xf numFmtId="170" fontId="31" fillId="0" borderId="5" xfId="0" applyNumberFormat="1" applyFont="1" applyFill="1" applyBorder="1" applyAlignment="1">
      <alignment horizontal="right"/>
    </xf>
    <xf numFmtId="3" fontId="31" fillId="0" borderId="5" xfId="0" applyNumberFormat="1" applyFont="1" applyFill="1" applyBorder="1" applyAlignment="1">
      <alignment horizontal="right"/>
    </xf>
    <xf numFmtId="3" fontId="31" fillId="0" borderId="6" xfId="0" applyNumberFormat="1" applyFont="1" applyFill="1" applyBorder="1"/>
    <xf numFmtId="3" fontId="31" fillId="0" borderId="0" xfId="0" applyNumberFormat="1" applyFont="1" applyFill="1" applyAlignment="1">
      <alignment horizontal="right"/>
    </xf>
    <xf numFmtId="0" fontId="31" fillId="0" borderId="0" xfId="0" applyFont="1" applyFill="1" applyBorder="1" applyAlignment="1">
      <alignment horizontal="right"/>
    </xf>
    <xf numFmtId="3" fontId="31" fillId="0" borderId="6" xfId="0" applyNumberFormat="1" applyFont="1" applyFill="1" applyBorder="1" applyAlignment="1">
      <alignment horizontal="right"/>
    </xf>
    <xf numFmtId="1" fontId="31" fillId="0" borderId="0" xfId="0" applyNumberFormat="1" applyFont="1"/>
    <xf numFmtId="1" fontId="31" fillId="0" borderId="0" xfId="0" applyNumberFormat="1" applyFont="1" applyFill="1" applyAlignment="1">
      <alignment horizontal="left"/>
    </xf>
    <xf numFmtId="3" fontId="31" fillId="0" borderId="0" xfId="0" applyNumberFormat="1" applyFont="1"/>
    <xf numFmtId="1" fontId="31" fillId="0" borderId="5" xfId="0" applyNumberFormat="1" applyFont="1" applyFill="1" applyBorder="1" applyAlignment="1">
      <alignment horizontal="left"/>
    </xf>
    <xf numFmtId="3" fontId="31" fillId="0" borderId="5" xfId="0" applyNumberFormat="1" applyFont="1" applyBorder="1"/>
    <xf numFmtId="171" fontId="31" fillId="0" borderId="0" xfId="0" applyNumberFormat="1" applyFont="1" applyFill="1" applyBorder="1"/>
    <xf numFmtId="3" fontId="31" fillId="0" borderId="0" xfId="0" applyNumberFormat="1" applyFont="1" applyAlignment="1">
      <alignment horizontal="right"/>
    </xf>
    <xf numFmtId="1" fontId="31" fillId="0" borderId="1" xfId="0" applyNumberFormat="1" applyFont="1" applyFill="1" applyBorder="1" applyAlignment="1">
      <alignment horizontal="left"/>
    </xf>
    <xf numFmtId="3" fontId="31" fillId="0" borderId="1" xfId="0" applyNumberFormat="1" applyFont="1" applyBorder="1"/>
    <xf numFmtId="1" fontId="31" fillId="0" borderId="7" xfId="0" applyNumberFormat="1" applyFont="1" applyBorder="1"/>
    <xf numFmtId="1" fontId="31" fillId="0" borderId="6" xfId="0" applyNumberFormat="1" applyFont="1" applyFill="1" applyBorder="1" applyAlignment="1">
      <alignment horizontal="left"/>
    </xf>
    <xf numFmtId="3" fontId="31" fillId="0" borderId="6" xfId="0" applyNumberFormat="1" applyFont="1" applyBorder="1"/>
    <xf numFmtId="1" fontId="31" fillId="0" borderId="0" xfId="0" applyNumberFormat="1" applyFont="1" applyBorder="1"/>
    <xf numFmtId="0" fontId="0" fillId="0" borderId="0" xfId="0"/>
    <xf numFmtId="0" fontId="46" fillId="0" borderId="0" xfId="0" applyFont="1"/>
    <xf numFmtId="0" fontId="52" fillId="4" borderId="0" xfId="0" applyFont="1" applyFill="1"/>
    <xf numFmtId="170" fontId="52" fillId="4" borderId="0" xfId="0" applyNumberFormat="1" applyFont="1" applyFill="1"/>
    <xf numFmtId="0" fontId="32" fillId="4" borderId="0" xfId="0" applyFont="1" applyFill="1" applyAlignment="1"/>
    <xf numFmtId="0" fontId="52" fillId="4" borderId="0" xfId="0" applyFont="1" applyFill="1" applyAlignment="1"/>
    <xf numFmtId="0" fontId="53" fillId="4" borderId="0" xfId="0" applyFont="1" applyFill="1"/>
    <xf numFmtId="0" fontId="54" fillId="4" borderId="0" xfId="0" applyFont="1" applyFill="1"/>
    <xf numFmtId="0" fontId="53" fillId="4" borderId="0" xfId="0" applyFont="1" applyFill="1" applyAlignment="1"/>
    <xf numFmtId="0" fontId="54" fillId="4" borderId="0" xfId="0" applyFont="1" applyFill="1" applyAlignment="1"/>
    <xf numFmtId="0" fontId="0" fillId="4" borderId="0" xfId="0" applyFill="1"/>
    <xf numFmtId="0" fontId="55" fillId="4" borderId="0" xfId="0" applyFont="1" applyFill="1" applyAlignment="1">
      <alignment vertical="center"/>
    </xf>
    <xf numFmtId="0" fontId="40" fillId="4" borderId="0" xfId="0" applyFont="1" applyFill="1" applyAlignment="1">
      <alignment horizontal="right" vertical="center"/>
    </xf>
    <xf numFmtId="0" fontId="56" fillId="4" borderId="0" xfId="0" applyFont="1" applyFill="1" applyAlignment="1">
      <alignment horizontal="right" vertical="center"/>
    </xf>
    <xf numFmtId="0" fontId="40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55" fillId="4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horizontal="right" vertical="center"/>
    </xf>
    <xf numFmtId="0" fontId="56" fillId="4" borderId="1" xfId="0" applyFont="1" applyFill="1" applyBorder="1" applyAlignment="1">
      <alignment horizontal="right" vertical="center"/>
    </xf>
    <xf numFmtId="0" fontId="40" fillId="4" borderId="7" xfId="0" applyFont="1" applyFill="1" applyBorder="1" applyAlignment="1">
      <alignment horizontal="right" vertical="center"/>
    </xf>
    <xf numFmtId="49" fontId="41" fillId="4" borderId="1" xfId="0" applyNumberFormat="1" applyFont="1" applyFill="1" applyBorder="1" applyAlignment="1">
      <alignment horizontal="right" vertical="center"/>
    </xf>
    <xf numFmtId="49" fontId="40" fillId="4" borderId="1" xfId="0" applyNumberFormat="1" applyFont="1" applyFill="1" applyBorder="1" applyAlignment="1">
      <alignment horizontal="right" vertical="center"/>
    </xf>
    <xf numFmtId="0" fontId="40" fillId="4" borderId="1" xfId="0" applyFont="1" applyFill="1" applyBorder="1" applyAlignment="1">
      <alignment vertical="center"/>
    </xf>
    <xf numFmtId="172" fontId="0" fillId="4" borderId="0" xfId="0" applyNumberFormat="1" applyFill="1" applyAlignment="1">
      <alignment vertical="center"/>
    </xf>
    <xf numFmtId="172" fontId="58" fillId="4" borderId="0" xfId="0" applyNumberFormat="1" applyFont="1" applyFill="1" applyAlignment="1">
      <alignment vertical="center"/>
    </xf>
    <xf numFmtId="173" fontId="59" fillId="4" borderId="0" xfId="0" applyNumberFormat="1" applyFont="1" applyFill="1" applyAlignment="1">
      <alignment horizontal="right"/>
    </xf>
    <xf numFmtId="172" fontId="59" fillId="0" borderId="0" xfId="0" applyNumberFormat="1" applyFont="1" applyFill="1" applyAlignment="1">
      <alignment horizontal="right"/>
    </xf>
    <xf numFmtId="172" fontId="59" fillId="4" borderId="0" xfId="0" applyNumberFormat="1" applyFont="1" applyFill="1" applyAlignment="1">
      <alignment horizontal="right"/>
    </xf>
    <xf numFmtId="172" fontId="60" fillId="4" borderId="0" xfId="0" applyNumberFormat="1" applyFont="1" applyFill="1" applyAlignment="1">
      <alignment horizontal="right"/>
    </xf>
    <xf numFmtId="173" fontId="59" fillId="0" borderId="0" xfId="0" applyNumberFormat="1" applyFont="1" applyFill="1" applyAlignment="1">
      <alignment horizontal="right"/>
    </xf>
    <xf numFmtId="3" fontId="60" fillId="4" borderId="0" xfId="0" applyNumberFormat="1" applyFont="1" applyFill="1" applyAlignment="1">
      <alignment horizontal="right"/>
    </xf>
    <xf numFmtId="0" fontId="59" fillId="4" borderId="0" xfId="0" applyFont="1" applyFill="1"/>
    <xf numFmtId="174" fontId="0" fillId="4" borderId="0" xfId="0" applyNumberFormat="1" applyFill="1"/>
    <xf numFmtId="173" fontId="0" fillId="4" borderId="0" xfId="0" applyNumberFormat="1" applyFill="1"/>
    <xf numFmtId="0" fontId="60" fillId="4" borderId="0" xfId="0" applyFont="1" applyFill="1" applyAlignment="1">
      <alignment horizontal="right"/>
    </xf>
    <xf numFmtId="172" fontId="59" fillId="4" borderId="1" xfId="0" applyNumberFormat="1" applyFont="1" applyFill="1" applyBorder="1" applyAlignment="1">
      <alignment horizontal="right"/>
    </xf>
    <xf numFmtId="173" fontId="62" fillId="4" borderId="5" xfId="0" applyNumberFormat="1" applyFont="1" applyFill="1" applyBorder="1" applyAlignment="1">
      <alignment horizontal="right" vertical="center"/>
    </xf>
    <xf numFmtId="172" fontId="62" fillId="4" borderId="5" xfId="0" applyNumberFormat="1" applyFont="1" applyFill="1" applyBorder="1" applyAlignment="1">
      <alignment horizontal="right" vertical="center"/>
    </xf>
    <xf numFmtId="172" fontId="63" fillId="4" borderId="5" xfId="0" applyNumberFormat="1" applyFont="1" applyFill="1" applyBorder="1" applyAlignment="1">
      <alignment horizontal="right" vertical="center"/>
    </xf>
    <xf numFmtId="172" fontId="63" fillId="4" borderId="0" xfId="0" applyNumberFormat="1" applyFont="1" applyFill="1" applyBorder="1" applyAlignment="1">
      <alignment horizontal="right" vertical="center"/>
    </xf>
    <xf numFmtId="173" fontId="62" fillId="0" borderId="5" xfId="0" applyNumberFormat="1" applyFont="1" applyFill="1" applyBorder="1" applyAlignment="1">
      <alignment horizontal="right"/>
    </xf>
    <xf numFmtId="3" fontId="63" fillId="4" borderId="5" xfId="0" applyNumberFormat="1" applyFont="1" applyFill="1" applyBorder="1" applyAlignment="1">
      <alignment horizontal="right" vertical="center"/>
    </xf>
    <xf numFmtId="0" fontId="56" fillId="4" borderId="5" xfId="0" applyFont="1" applyFill="1" applyBorder="1" applyAlignment="1">
      <alignment vertical="center"/>
    </xf>
    <xf numFmtId="172" fontId="59" fillId="4" borderId="5" xfId="0" applyNumberFormat="1" applyFont="1" applyFill="1" applyBorder="1" applyAlignment="1">
      <alignment horizontal="right" vertical="center"/>
    </xf>
    <xf numFmtId="172" fontId="60" fillId="4" borderId="5" xfId="0" applyNumberFormat="1" applyFont="1" applyFill="1" applyBorder="1" applyAlignment="1">
      <alignment horizontal="right" vertical="center"/>
    </xf>
    <xf numFmtId="172" fontId="60" fillId="4" borderId="0" xfId="0" applyNumberFormat="1" applyFont="1" applyFill="1" applyAlignment="1">
      <alignment horizontal="right" vertical="center"/>
    </xf>
    <xf numFmtId="172" fontId="59" fillId="4" borderId="0" xfId="0" applyNumberFormat="1" applyFont="1" applyFill="1" applyBorder="1" applyAlignment="1">
      <alignment horizontal="right" vertical="center"/>
    </xf>
    <xf numFmtId="0" fontId="63" fillId="4" borderId="0" xfId="0" applyFont="1" applyFill="1" applyBorder="1" applyAlignment="1">
      <alignment horizontal="right" vertical="center"/>
    </xf>
    <xf numFmtId="0" fontId="56" fillId="4" borderId="0" xfId="0" applyFont="1" applyFill="1" applyBorder="1" applyAlignment="1">
      <alignment vertical="center"/>
    </xf>
    <xf numFmtId="172" fontId="62" fillId="4" borderId="0" xfId="0" applyNumberFormat="1" applyFont="1" applyFill="1" applyAlignment="1">
      <alignment horizontal="right"/>
    </xf>
    <xf numFmtId="173" fontId="62" fillId="4" borderId="0" xfId="0" applyNumberFormat="1" applyFont="1" applyFill="1" applyAlignment="1">
      <alignment horizontal="right"/>
    </xf>
    <xf numFmtId="172" fontId="63" fillId="4" borderId="0" xfId="0" applyNumberFormat="1" applyFont="1" applyFill="1" applyAlignment="1">
      <alignment horizontal="right"/>
    </xf>
    <xf numFmtId="3" fontId="63" fillId="4" borderId="0" xfId="0" applyNumberFormat="1" applyFont="1" applyFill="1" applyAlignment="1">
      <alignment horizontal="right"/>
    </xf>
    <xf numFmtId="0" fontId="56" fillId="4" borderId="0" xfId="0" applyFont="1" applyFill="1"/>
    <xf numFmtId="0" fontId="60" fillId="4" borderId="1" xfId="0" applyFont="1" applyFill="1" applyBorder="1" applyAlignment="1">
      <alignment horizontal="right"/>
    </xf>
    <xf numFmtId="0" fontId="59" fillId="4" borderId="1" xfId="0" applyFont="1" applyFill="1" applyBorder="1"/>
    <xf numFmtId="0" fontId="40" fillId="4" borderId="8" xfId="0" applyFont="1" applyFill="1" applyBorder="1" applyAlignment="1">
      <alignment vertical="center"/>
    </xf>
    <xf numFmtId="172" fontId="62" fillId="4" borderId="8" xfId="0" applyNumberFormat="1" applyFont="1" applyFill="1" applyBorder="1" applyAlignment="1">
      <alignment horizontal="right" vertical="center"/>
    </xf>
    <xf numFmtId="172" fontId="63" fillId="4" borderId="8" xfId="0" applyNumberFormat="1" applyFont="1" applyFill="1" applyBorder="1" applyAlignment="1">
      <alignment horizontal="right" vertical="center"/>
    </xf>
    <xf numFmtId="172" fontId="59" fillId="4" borderId="0" xfId="0" applyNumberFormat="1" applyFont="1" applyFill="1" applyAlignment="1">
      <alignment horizontal="right" vertical="center"/>
    </xf>
    <xf numFmtId="0" fontId="59" fillId="4" borderId="0" xfId="0" applyFont="1" applyFill="1" applyAlignment="1">
      <alignment horizontal="right" vertical="center"/>
    </xf>
    <xf numFmtId="0" fontId="56" fillId="4" borderId="0" xfId="0" applyFont="1" applyFill="1" applyAlignment="1">
      <alignment vertical="center"/>
    </xf>
    <xf numFmtId="0" fontId="59" fillId="4" borderId="0" xfId="0" applyFont="1" applyFill="1" applyAlignment="1">
      <alignment horizontal="right"/>
    </xf>
    <xf numFmtId="173" fontId="62" fillId="4" borderId="5" xfId="0" applyNumberFormat="1" applyFont="1" applyFill="1" applyBorder="1" applyAlignment="1">
      <alignment horizontal="right"/>
    </xf>
    <xf numFmtId="0" fontId="63" fillId="4" borderId="0" xfId="0" applyFont="1" applyFill="1" applyAlignment="1">
      <alignment horizontal="right"/>
    </xf>
    <xf numFmtId="173" fontId="59" fillId="4" borderId="1" xfId="0" applyNumberFormat="1" applyFont="1" applyFill="1" applyBorder="1" applyAlignment="1">
      <alignment horizontal="right"/>
    </xf>
    <xf numFmtId="172" fontId="62" fillId="4" borderId="6" xfId="0" applyNumberFormat="1" applyFont="1" applyFill="1" applyBorder="1" applyAlignment="1">
      <alignment horizontal="right" vertical="center"/>
    </xf>
    <xf numFmtId="172" fontId="63" fillId="4" borderId="6" xfId="0" applyNumberFormat="1" applyFont="1" applyFill="1" applyBorder="1" applyAlignment="1">
      <alignment horizontal="right" vertical="center"/>
    </xf>
    <xf numFmtId="172" fontId="59" fillId="4" borderId="6" xfId="0" applyNumberFormat="1" applyFont="1" applyFill="1" applyBorder="1" applyAlignment="1">
      <alignment horizontal="right"/>
    </xf>
    <xf numFmtId="0" fontId="63" fillId="4" borderId="6" xfId="0" applyFont="1" applyFill="1" applyBorder="1" applyAlignment="1">
      <alignment horizontal="right" vertical="center"/>
    </xf>
    <xf numFmtId="0" fontId="62" fillId="4" borderId="6" xfId="0" applyFont="1" applyFill="1" applyBorder="1" applyAlignment="1">
      <alignment horizontal="left" vertical="center"/>
    </xf>
    <xf numFmtId="0" fontId="55" fillId="4" borderId="0" xfId="0" applyFont="1" applyFill="1"/>
    <xf numFmtId="0" fontId="65" fillId="4" borderId="0" xfId="0" applyFont="1" applyFill="1"/>
    <xf numFmtId="0" fontId="66" fillId="4" borderId="0" xfId="0" applyFont="1" applyFill="1"/>
    <xf numFmtId="172" fontId="0" fillId="4" borderId="0" xfId="0" applyNumberFormat="1" applyFill="1"/>
    <xf numFmtId="0" fontId="49" fillId="0" borderId="0" xfId="0" applyFont="1" applyBorder="1"/>
    <xf numFmtId="0" fontId="50" fillId="0" borderId="0" xfId="0" applyFont="1" applyBorder="1"/>
    <xf numFmtId="0" fontId="50" fillId="0" borderId="0" xfId="0" applyFont="1"/>
    <xf numFmtId="0" fontId="31" fillId="0" borderId="7" xfId="0" applyFont="1" applyBorder="1" applyAlignment="1">
      <alignment horizontal="right"/>
    </xf>
    <xf numFmtId="0" fontId="67" fillId="0" borderId="7" xfId="0" applyFont="1" applyBorder="1" applyAlignment="1">
      <alignment horizontal="right"/>
    </xf>
    <xf numFmtId="0" fontId="31" fillId="0" borderId="4" xfId="0" applyFont="1" applyBorder="1" applyAlignment="1">
      <alignment horizontal="right"/>
    </xf>
    <xf numFmtId="0" fontId="31" fillId="0" borderId="4" xfId="0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left"/>
    </xf>
    <xf numFmtId="175" fontId="31" fillId="0" borderId="0" xfId="0" applyNumberFormat="1" applyFont="1" applyBorder="1"/>
    <xf numFmtId="175" fontId="31" fillId="0" borderId="0" xfId="0" applyNumberFormat="1" applyFont="1" applyBorder="1" applyAlignment="1">
      <alignment horizontal="right"/>
    </xf>
    <xf numFmtId="0" fontId="31" fillId="0" borderId="1" xfId="0" applyFont="1" applyBorder="1" applyAlignment="1">
      <alignment horizontal="left"/>
    </xf>
    <xf numFmtId="175" fontId="31" fillId="0" borderId="1" xfId="0" applyNumberFormat="1" applyFont="1" applyBorder="1"/>
    <xf numFmtId="175" fontId="31" fillId="0" borderId="1" xfId="0" applyNumberFormat="1" applyFont="1" applyBorder="1" applyAlignment="1">
      <alignment horizontal="right"/>
    </xf>
    <xf numFmtId="175" fontId="31" fillId="0" borderId="0" xfId="0" applyNumberFormat="1" applyFont="1" applyFill="1" applyBorder="1"/>
    <xf numFmtId="0" fontId="31" fillId="0" borderId="0" xfId="0" applyFont="1" applyBorder="1" applyAlignment="1">
      <alignment horizontal="left"/>
    </xf>
    <xf numFmtId="0" fontId="31" fillId="0" borderId="7" xfId="0" applyFont="1" applyBorder="1" applyAlignment="1">
      <alignment horizontal="left"/>
    </xf>
    <xf numFmtId="175" fontId="31" fillId="0" borderId="7" xfId="0" applyNumberFormat="1" applyFont="1" applyBorder="1"/>
    <xf numFmtId="175" fontId="31" fillId="0" borderId="7" xfId="0" applyNumberFormat="1" applyFont="1" applyFill="1" applyBorder="1"/>
    <xf numFmtId="175" fontId="31" fillId="0" borderId="7" xfId="0" applyNumberFormat="1" applyFont="1" applyBorder="1" applyAlignment="1">
      <alignment horizontal="right"/>
    </xf>
    <xf numFmtId="0" fontId="32" fillId="4" borderId="0" xfId="0" applyFont="1" applyFill="1"/>
    <xf numFmtId="0" fontId="32" fillId="0" borderId="0" xfId="0" applyFont="1" applyFill="1"/>
    <xf numFmtId="0" fontId="69" fillId="4" borderId="0" xfId="0" applyFont="1" applyFill="1"/>
    <xf numFmtId="0" fontId="70" fillId="4" borderId="0" xfId="0" applyFont="1" applyFill="1"/>
    <xf numFmtId="0" fontId="55" fillId="4" borderId="0" xfId="0" applyFont="1" applyFill="1"/>
    <xf numFmtId="0" fontId="31" fillId="4" borderId="0" xfId="0" applyFont="1" applyFill="1"/>
    <xf numFmtId="0" fontId="0" fillId="4" borderId="0" xfId="0" applyFill="1"/>
    <xf numFmtId="0" fontId="31" fillId="4" borderId="0" xfId="0" applyFont="1" applyFill="1" applyAlignment="1">
      <alignment horizontal="right"/>
    </xf>
    <xf numFmtId="0" fontId="39" fillId="4" borderId="0" xfId="0" applyFont="1" applyFill="1"/>
    <xf numFmtId="177" fontId="55" fillId="4" borderId="0" xfId="0" applyNumberFormat="1" applyFont="1" applyFill="1"/>
    <xf numFmtId="178" fontId="55" fillId="4" borderId="0" xfId="0" applyNumberFormat="1" applyFont="1" applyFill="1"/>
    <xf numFmtId="177" fontId="66" fillId="4" borderId="0" xfId="0" applyNumberFormat="1" applyFont="1" applyFill="1"/>
    <xf numFmtId="178" fontId="36" fillId="4" borderId="0" xfId="0" applyNumberFormat="1" applyFont="1" applyFill="1"/>
    <xf numFmtId="177" fontId="55" fillId="4" borderId="0" xfId="0" applyNumberFormat="1" applyFont="1" applyFill="1" applyAlignment="1">
      <alignment horizontal="right"/>
    </xf>
    <xf numFmtId="0" fontId="66" fillId="4" borderId="0" xfId="0" applyFont="1" applyFill="1"/>
    <xf numFmtId="178" fontId="66" fillId="4" borderId="0" xfId="0" applyNumberFormat="1" applyFont="1" applyFill="1"/>
    <xf numFmtId="0" fontId="71" fillId="4" borderId="0" xfId="0" applyFont="1" applyFill="1"/>
    <xf numFmtId="177" fontId="57" fillId="4" borderId="0" xfId="0" applyNumberFormat="1" applyFont="1" applyFill="1"/>
    <xf numFmtId="178" fontId="57" fillId="4" borderId="0" xfId="0" applyNumberFormat="1" applyFont="1" applyFill="1"/>
    <xf numFmtId="179" fontId="0" fillId="4" borderId="0" xfId="0" applyNumberFormat="1" applyFill="1"/>
    <xf numFmtId="178" fontId="57" fillId="0" borderId="0" xfId="0" applyNumberFormat="1" applyFont="1" applyFill="1"/>
    <xf numFmtId="0" fontId="65" fillId="4" borderId="0" xfId="0" applyFont="1" applyFill="1"/>
    <xf numFmtId="178" fontId="65" fillId="4" borderId="0" xfId="0" applyNumberFormat="1" applyFont="1" applyFill="1"/>
    <xf numFmtId="0" fontId="58" fillId="4" borderId="0" xfId="0" applyFont="1" applyFill="1" applyAlignment="1">
      <alignment horizontal="right"/>
    </xf>
    <xf numFmtId="0" fontId="55" fillId="4" borderId="0" xfId="0" applyNumberFormat="1" applyFont="1" applyFill="1" applyAlignment="1">
      <alignment horizontal="right"/>
    </xf>
    <xf numFmtId="0" fontId="57" fillId="4" borderId="0" xfId="0" applyNumberFormat="1" applyFont="1" applyFill="1" applyAlignment="1">
      <alignment horizontal="right"/>
    </xf>
    <xf numFmtId="0" fontId="44" fillId="4" borderId="0" xfId="0" applyFont="1" applyFill="1"/>
    <xf numFmtId="0" fontId="73" fillId="4" borderId="0" xfId="0" applyFont="1" applyFill="1"/>
    <xf numFmtId="0" fontId="36" fillId="4" borderId="0" xfId="0" applyFont="1" applyFill="1"/>
    <xf numFmtId="0" fontId="25" fillId="0" borderId="0" xfId="0" applyFont="1"/>
    <xf numFmtId="11" fontId="0" fillId="0" borderId="0" xfId="0" applyNumberFormat="1" applyBorder="1" applyAlignment="1">
      <alignment vertical="center"/>
    </xf>
    <xf numFmtId="11" fontId="0" fillId="0" borderId="1" xfId="0" applyNumberFormat="1" applyBorder="1" applyAlignment="1">
      <alignment vertical="center"/>
    </xf>
    <xf numFmtId="0" fontId="74" fillId="4" borderId="0" xfId="0" applyFont="1" applyFill="1"/>
    <xf numFmtId="0" fontId="53" fillId="4" borderId="0" xfId="0" applyFont="1" applyFill="1"/>
    <xf numFmtId="0" fontId="75" fillId="4" borderId="0" xfId="0" applyFont="1" applyFill="1"/>
    <xf numFmtId="0" fontId="31" fillId="4" borderId="7" xfId="0" applyFont="1" applyFill="1" applyBorder="1"/>
    <xf numFmtId="0" fontId="38" fillId="4" borderId="0" xfId="0" applyFont="1" applyFill="1" applyBorder="1" applyAlignment="1">
      <alignment horizontal="right"/>
    </xf>
    <xf numFmtId="0" fontId="31" fillId="4" borderId="9" xfId="0" applyFont="1" applyFill="1" applyBorder="1" applyAlignment="1">
      <alignment vertical="center"/>
    </xf>
    <xf numFmtId="0" fontId="40" fillId="4" borderId="9" xfId="0" applyFont="1" applyFill="1" applyBorder="1" applyAlignment="1">
      <alignment horizontal="right" vertical="center"/>
    </xf>
    <xf numFmtId="0" fontId="31" fillId="4" borderId="0" xfId="0" applyFont="1" applyFill="1" applyAlignment="1">
      <alignment horizontal="right" vertical="center"/>
    </xf>
    <xf numFmtId="0" fontId="40" fillId="4" borderId="0" xfId="0" applyFont="1" applyFill="1" applyBorder="1" applyAlignment="1">
      <alignment horizontal="right" vertical="center"/>
    </xf>
    <xf numFmtId="0" fontId="31" fillId="4" borderId="0" xfId="0" applyFont="1" applyFill="1" applyAlignment="1">
      <alignment vertical="center"/>
    </xf>
    <xf numFmtId="0" fontId="31" fillId="4" borderId="0" xfId="0" applyFont="1" applyFill="1" applyBorder="1" applyAlignment="1">
      <alignment vertical="center"/>
    </xf>
    <xf numFmtId="0" fontId="40" fillId="4" borderId="0" xfId="0" applyFont="1" applyFill="1" applyAlignment="1">
      <alignment horizontal="right" vertical="center"/>
    </xf>
    <xf numFmtId="0" fontId="31" fillId="4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horizontal="right" vertical="center"/>
    </xf>
    <xf numFmtId="0" fontId="37" fillId="4" borderId="1" xfId="0" applyFont="1" applyFill="1" applyBorder="1" applyAlignment="1">
      <alignment horizontal="right" vertical="center"/>
    </xf>
    <xf numFmtId="0" fontId="31" fillId="4" borderId="0" xfId="0" applyFont="1" applyFill="1" applyBorder="1" applyAlignment="1">
      <alignment horizontal="right" vertical="center"/>
    </xf>
    <xf numFmtId="0" fontId="40" fillId="4" borderId="0" xfId="0" applyFont="1" applyFill="1"/>
    <xf numFmtId="172" fontId="37" fillId="4" borderId="0" xfId="0" applyNumberFormat="1" applyFont="1" applyFill="1" applyAlignment="1">
      <alignment horizontal="right"/>
    </xf>
    <xf numFmtId="172" fontId="50" fillId="4" borderId="0" xfId="0" applyNumberFormat="1" applyFont="1" applyFill="1" applyAlignment="1">
      <alignment horizontal="right"/>
    </xf>
    <xf numFmtId="0" fontId="50" fillId="4" borderId="0" xfId="0" applyFont="1" applyFill="1"/>
    <xf numFmtId="180" fontId="36" fillId="4" borderId="0" xfId="0" applyNumberFormat="1" applyFont="1" applyFill="1" applyAlignment="1">
      <alignment horizontal="right"/>
    </xf>
    <xf numFmtId="180" fontId="31" fillId="4" borderId="0" xfId="0" applyNumberFormat="1" applyFont="1" applyFill="1" applyAlignment="1">
      <alignment horizontal="right"/>
    </xf>
    <xf numFmtId="181" fontId="36" fillId="4" borderId="0" xfId="0" applyNumberFormat="1" applyFont="1" applyFill="1" applyAlignment="1">
      <alignment horizontal="right"/>
    </xf>
    <xf numFmtId="172" fontId="36" fillId="4" borderId="0" xfId="0" applyNumberFormat="1" applyFont="1" applyFill="1" applyAlignment="1">
      <alignment horizontal="right"/>
    </xf>
    <xf numFmtId="182" fontId="36" fillId="4" borderId="0" xfId="0" applyNumberFormat="1" applyFont="1" applyFill="1" applyAlignment="1">
      <alignment horizontal="right"/>
    </xf>
    <xf numFmtId="173" fontId="36" fillId="4" borderId="0" xfId="0" applyNumberFormat="1" applyFont="1" applyFill="1" applyAlignment="1">
      <alignment horizontal="right"/>
    </xf>
    <xf numFmtId="0" fontId="40" fillId="4" borderId="5" xfId="0" applyFont="1" applyFill="1" applyBorder="1" applyAlignment="1">
      <alignment vertical="center"/>
    </xf>
    <xf numFmtId="180" fontId="37" fillId="4" borderId="5" xfId="0" applyNumberFormat="1" applyFont="1" applyFill="1" applyBorder="1" applyAlignment="1">
      <alignment horizontal="right" vertical="center"/>
    </xf>
    <xf numFmtId="181" fontId="37" fillId="4" borderId="5" xfId="0" applyNumberFormat="1" applyFont="1" applyFill="1" applyBorder="1" applyAlignment="1">
      <alignment horizontal="right" vertical="center"/>
    </xf>
    <xf numFmtId="180" fontId="37" fillId="4" borderId="0" xfId="0" applyNumberFormat="1" applyFont="1" applyFill="1" applyBorder="1" applyAlignment="1">
      <alignment horizontal="right" vertical="center"/>
    </xf>
    <xf numFmtId="0" fontId="50" fillId="4" borderId="0" xfId="0" applyFont="1" applyFill="1" applyAlignment="1">
      <alignment vertical="center"/>
    </xf>
    <xf numFmtId="182" fontId="36" fillId="4" borderId="0" xfId="0" applyNumberFormat="1" applyFont="1" applyFill="1" applyAlignment="1">
      <alignment horizontal="right" vertical="center"/>
    </xf>
    <xf numFmtId="181" fontId="36" fillId="4" borderId="5" xfId="0" applyNumberFormat="1" applyFont="1" applyFill="1" applyBorder="1" applyAlignment="1">
      <alignment horizontal="right" vertical="center"/>
    </xf>
    <xf numFmtId="180" fontId="36" fillId="4" borderId="0" xfId="0" applyNumberFormat="1" applyFont="1" applyFill="1" applyBorder="1" applyAlignment="1">
      <alignment horizontal="right" vertical="center"/>
    </xf>
    <xf numFmtId="172" fontId="36" fillId="4" borderId="0" xfId="0" applyNumberFormat="1" applyFont="1" applyFill="1" applyAlignment="1">
      <alignment horizontal="right" vertical="center"/>
    </xf>
    <xf numFmtId="180" fontId="36" fillId="4" borderId="5" xfId="0" applyNumberFormat="1" applyFont="1" applyFill="1" applyBorder="1" applyAlignment="1">
      <alignment horizontal="right" vertical="center"/>
    </xf>
    <xf numFmtId="172" fontId="37" fillId="4" borderId="5" xfId="0" applyNumberFormat="1" applyFont="1" applyFill="1" applyBorder="1" applyAlignment="1">
      <alignment horizontal="right" vertical="center"/>
    </xf>
    <xf numFmtId="173" fontId="37" fillId="4" borderId="5" xfId="0" applyNumberFormat="1" applyFont="1" applyFill="1" applyBorder="1" applyAlignment="1">
      <alignment horizontal="right" vertical="center"/>
    </xf>
    <xf numFmtId="172" fontId="37" fillId="4" borderId="0" xfId="0" applyNumberFormat="1" applyFont="1" applyFill="1" applyBorder="1" applyAlignment="1">
      <alignment horizontal="right" vertical="center"/>
    </xf>
    <xf numFmtId="0" fontId="40" fillId="4" borderId="8" xfId="0" applyFont="1" applyFill="1" applyBorder="1"/>
    <xf numFmtId="172" fontId="37" fillId="4" borderId="8" xfId="0" applyNumberFormat="1" applyFont="1" applyFill="1" applyBorder="1" applyAlignment="1">
      <alignment horizontal="right"/>
    </xf>
    <xf numFmtId="172" fontId="37" fillId="4" borderId="0" xfId="0" applyNumberFormat="1" applyFont="1" applyFill="1" applyBorder="1" applyAlignment="1">
      <alignment horizontal="right"/>
    </xf>
    <xf numFmtId="0" fontId="55" fillId="4" borderId="0" xfId="0" applyFont="1" applyFill="1" applyAlignment="1">
      <alignment wrapText="1"/>
    </xf>
    <xf numFmtId="172" fontId="36" fillId="4" borderId="1" xfId="0" applyNumberFormat="1" applyFont="1" applyFill="1" applyBorder="1" applyAlignment="1">
      <alignment horizontal="right"/>
    </xf>
    <xf numFmtId="0" fontId="40" fillId="4" borderId="8" xfId="0" applyFont="1" applyFill="1" applyBorder="1" applyAlignment="1">
      <alignment vertical="center"/>
    </xf>
    <xf numFmtId="172" fontId="37" fillId="4" borderId="8" xfId="0" applyNumberFormat="1" applyFont="1" applyFill="1" applyBorder="1" applyAlignment="1">
      <alignment horizontal="right" vertical="center"/>
    </xf>
    <xf numFmtId="0" fontId="40" fillId="4" borderId="0" xfId="0" applyFont="1" applyFill="1" applyAlignment="1">
      <alignment vertical="center"/>
    </xf>
    <xf numFmtId="172" fontId="37" fillId="4" borderId="0" xfId="0" applyNumberFormat="1" applyFont="1" applyFill="1" applyAlignment="1">
      <alignment horizontal="right" vertical="center"/>
    </xf>
    <xf numFmtId="0" fontId="50" fillId="4" borderId="0" xfId="0" applyFont="1" applyFill="1" applyBorder="1" applyAlignment="1">
      <alignment vertical="center"/>
    </xf>
    <xf numFmtId="0" fontId="50" fillId="4" borderId="5" xfId="0" applyFont="1" applyFill="1" applyBorder="1" applyAlignment="1">
      <alignment vertical="center"/>
    </xf>
    <xf numFmtId="173" fontId="37" fillId="4" borderId="0" xfId="0" applyNumberFormat="1" applyFont="1" applyFill="1" applyAlignment="1">
      <alignment horizontal="right" vertical="center"/>
    </xf>
    <xf numFmtId="173" fontId="36" fillId="0" borderId="0" xfId="0" applyNumberFormat="1" applyFont="1" applyFill="1" applyAlignment="1">
      <alignment horizontal="right"/>
    </xf>
    <xf numFmtId="0" fontId="31" fillId="4" borderId="0" xfId="0" applyFont="1" applyFill="1" applyBorder="1"/>
    <xf numFmtId="0" fontId="36" fillId="4" borderId="0" xfId="0" applyFont="1" applyFill="1" applyAlignment="1">
      <alignment vertical="center"/>
    </xf>
    <xf numFmtId="173" fontId="37" fillId="4" borderId="0" xfId="0" applyNumberFormat="1" applyFont="1" applyFill="1" applyAlignment="1">
      <alignment horizontal="right"/>
    </xf>
    <xf numFmtId="0" fontId="40" fillId="4" borderId="6" xfId="0" applyFont="1" applyFill="1" applyBorder="1" applyAlignment="1">
      <alignment vertical="center"/>
    </xf>
    <xf numFmtId="172" fontId="36" fillId="4" borderId="6" xfId="0" applyNumberFormat="1" applyFont="1" applyFill="1" applyBorder="1" applyAlignment="1">
      <alignment horizontal="right" vertical="center"/>
    </xf>
    <xf numFmtId="172" fontId="36" fillId="4" borderId="0" xfId="0" applyNumberFormat="1" applyFont="1" applyFill="1" applyBorder="1" applyAlignment="1">
      <alignment horizontal="right" vertical="center"/>
    </xf>
    <xf numFmtId="0" fontId="40" fillId="4" borderId="0" xfId="0" applyFont="1" applyFill="1" applyBorder="1" applyAlignment="1">
      <alignment vertical="center"/>
    </xf>
    <xf numFmtId="0" fontId="41" fillId="4" borderId="0" xfId="0" applyFont="1" applyFill="1"/>
    <xf numFmtId="165" fontId="31" fillId="4" borderId="0" xfId="0" applyNumberFormat="1" applyFont="1" applyFill="1"/>
    <xf numFmtId="0" fontId="32" fillId="4" borderId="0" xfId="0" applyFont="1" applyFill="1"/>
    <xf numFmtId="0" fontId="78" fillId="4" borderId="0" xfId="0" applyFont="1" applyFill="1" applyAlignment="1">
      <alignment horizontal="right"/>
    </xf>
    <xf numFmtId="0" fontId="31" fillId="4" borderId="0" xfId="0" applyFont="1" applyFill="1"/>
    <xf numFmtId="0" fontId="79" fillId="4" borderId="0" xfId="0" applyFont="1" applyFill="1" applyBorder="1"/>
    <xf numFmtId="0" fontId="58" fillId="4" borderId="0" xfId="0" applyFont="1" applyFill="1" applyBorder="1"/>
    <xf numFmtId="0" fontId="65" fillId="4" borderId="0" xfId="0" applyFont="1" applyFill="1" applyBorder="1"/>
    <xf numFmtId="0" fontId="65" fillId="4" borderId="0" xfId="0" applyFont="1" applyFill="1"/>
    <xf numFmtId="0" fontId="53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/>
    <xf numFmtId="0" fontId="58" fillId="4" borderId="0" xfId="0" applyFont="1" applyFill="1"/>
    <xf numFmtId="0" fontId="80" fillId="4" borderId="0" xfId="0" applyFont="1" applyFill="1" applyBorder="1"/>
    <xf numFmtId="0" fontId="0" fillId="4" borderId="0" xfId="0" applyFill="1" applyBorder="1"/>
    <xf numFmtId="0" fontId="38" fillId="4" borderId="7" xfId="0" applyFont="1" applyFill="1" applyBorder="1" applyAlignment="1">
      <alignment horizontal="right"/>
    </xf>
    <xf numFmtId="0" fontId="81" fillId="4" borderId="7" xfId="0" applyFont="1" applyFill="1" applyBorder="1" applyAlignment="1">
      <alignment horizontal="right"/>
    </xf>
    <xf numFmtId="0" fontId="55" fillId="4" borderId="4" xfId="0" applyFont="1" applyFill="1" applyBorder="1"/>
    <xf numFmtId="0" fontId="55" fillId="4" borderId="4" xfId="0" applyFont="1" applyFill="1" applyBorder="1" applyAlignment="1">
      <alignment horizontal="right"/>
    </xf>
    <xf numFmtId="0" fontId="57" fillId="4" borderId="4" xfId="0" applyFont="1" applyFill="1" applyBorder="1" applyAlignment="1">
      <alignment horizontal="right"/>
    </xf>
    <xf numFmtId="0" fontId="82" fillId="4" borderId="4" xfId="0" applyFont="1" applyFill="1" applyBorder="1" applyAlignment="1">
      <alignment horizontal="right"/>
    </xf>
    <xf numFmtId="0" fontId="40" fillId="4" borderId="0" xfId="0" applyFont="1" applyFill="1"/>
    <xf numFmtId="0" fontId="55" fillId="4" borderId="0" xfId="0" applyFont="1" applyFill="1" applyAlignment="1">
      <alignment horizontal="right"/>
    </xf>
    <xf numFmtId="0" fontId="57" fillId="4" borderId="0" xfId="0" applyFont="1" applyFill="1" applyAlignment="1">
      <alignment horizontal="right"/>
    </xf>
    <xf numFmtId="0" fontId="55" fillId="4" borderId="0" xfId="0" applyFont="1" applyFill="1" applyBorder="1"/>
    <xf numFmtId="172" fontId="55" fillId="4" borderId="0" xfId="0" applyNumberFormat="1" applyFont="1" applyFill="1" applyBorder="1"/>
    <xf numFmtId="0" fontId="36" fillId="4" borderId="0" xfId="0" applyFont="1" applyFill="1"/>
    <xf numFmtId="172" fontId="59" fillId="4" borderId="0" xfId="0" applyNumberFormat="1" applyFont="1" applyFill="1" applyAlignment="1">
      <alignment horizontal="right"/>
    </xf>
    <xf numFmtId="172" fontId="36" fillId="4" borderId="0" xfId="0" applyNumberFormat="1" applyFont="1" applyFill="1" applyAlignment="1">
      <alignment horizontal="right"/>
    </xf>
    <xf numFmtId="173" fontId="36" fillId="4" borderId="0" xfId="0" applyNumberFormat="1" applyFont="1" applyFill="1" applyAlignment="1">
      <alignment horizontal="right"/>
    </xf>
    <xf numFmtId="173" fontId="36" fillId="4" borderId="0" xfId="0" applyNumberFormat="1" applyFont="1" applyFill="1" applyBorder="1" applyAlignment="1">
      <alignment horizontal="right"/>
    </xf>
    <xf numFmtId="172" fontId="36" fillId="4" borderId="0" xfId="0" applyNumberFormat="1" applyFont="1" applyFill="1" applyBorder="1" applyAlignment="1">
      <alignment horizontal="right"/>
    </xf>
    <xf numFmtId="0" fontId="55" fillId="4" borderId="0" xfId="0" applyFont="1" applyFill="1"/>
    <xf numFmtId="172" fontId="36" fillId="4" borderId="1" xfId="0" applyNumberFormat="1" applyFont="1" applyFill="1" applyBorder="1" applyAlignment="1">
      <alignment horizontal="right"/>
    </xf>
    <xf numFmtId="0" fontId="40" fillId="4" borderId="5" xfId="0" applyFont="1" applyFill="1" applyBorder="1" applyAlignment="1">
      <alignment vertical="center"/>
    </xf>
    <xf numFmtId="172" fontId="62" fillId="4" borderId="5" xfId="0" applyNumberFormat="1" applyFont="1" applyFill="1" applyBorder="1" applyAlignment="1">
      <alignment horizontal="right" vertical="center"/>
    </xf>
    <xf numFmtId="172" fontId="37" fillId="4" borderId="5" xfId="0" applyNumberFormat="1" applyFont="1" applyFill="1" applyBorder="1" applyAlignment="1">
      <alignment horizontal="right" vertical="center"/>
    </xf>
    <xf numFmtId="173" fontId="37" fillId="4" borderId="5" xfId="0" applyNumberFormat="1" applyFont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183" fontId="59" fillId="4" borderId="5" xfId="0" applyNumberFormat="1" applyFont="1" applyFill="1" applyBorder="1" applyAlignment="1">
      <alignment horizontal="right" vertical="center"/>
    </xf>
    <xf numFmtId="183" fontId="36" fillId="4" borderId="5" xfId="0" applyNumberFormat="1" applyFont="1" applyFill="1" applyBorder="1" applyAlignment="1">
      <alignment horizontal="right" vertical="center"/>
    </xf>
    <xf numFmtId="184" fontId="36" fillId="4" borderId="5" xfId="0" applyNumberFormat="1" applyFont="1" applyFill="1" applyBorder="1" applyAlignment="1">
      <alignment horizontal="right" vertical="center"/>
    </xf>
    <xf numFmtId="172" fontId="59" fillId="4" borderId="1" xfId="0" applyNumberFormat="1" applyFont="1" applyFill="1" applyBorder="1" applyAlignment="1">
      <alignment horizontal="right"/>
    </xf>
    <xf numFmtId="0" fontId="40" fillId="4" borderId="8" xfId="0" applyFont="1" applyFill="1" applyBorder="1"/>
    <xf numFmtId="172" fontId="62" fillId="4" borderId="0" xfId="0" applyNumberFormat="1" applyFont="1" applyFill="1" applyAlignment="1">
      <alignment horizontal="right"/>
    </xf>
    <xf numFmtId="172" fontId="62" fillId="4" borderId="8" xfId="0" applyNumberFormat="1" applyFont="1" applyFill="1" applyBorder="1" applyAlignment="1">
      <alignment horizontal="right"/>
    </xf>
    <xf numFmtId="172" fontId="37" fillId="4" borderId="8" xfId="0" applyNumberFormat="1" applyFont="1" applyFill="1" applyBorder="1" applyAlignment="1">
      <alignment horizontal="right"/>
    </xf>
    <xf numFmtId="173" fontId="37" fillId="4" borderId="8" xfId="0" applyNumberFormat="1" applyFont="1" applyFill="1" applyBorder="1" applyAlignment="1">
      <alignment horizontal="right"/>
    </xf>
    <xf numFmtId="173" fontId="37" fillId="4" borderId="0" xfId="0" applyNumberFormat="1" applyFont="1" applyFill="1" applyBorder="1" applyAlignment="1">
      <alignment horizontal="right"/>
    </xf>
    <xf numFmtId="172" fontId="37" fillId="4" borderId="0" xfId="0" applyNumberFormat="1" applyFont="1" applyFill="1" applyBorder="1" applyAlignment="1">
      <alignment horizontal="right"/>
    </xf>
    <xf numFmtId="172" fontId="59" fillId="4" borderId="0" xfId="0" applyNumberFormat="1" applyFont="1" applyFill="1" applyBorder="1" applyAlignment="1">
      <alignment horizontal="right"/>
    </xf>
    <xf numFmtId="172" fontId="37" fillId="4" borderId="0" xfId="0" applyNumberFormat="1" applyFont="1" applyFill="1" applyAlignment="1">
      <alignment horizontal="right"/>
    </xf>
    <xf numFmtId="172" fontId="62" fillId="4" borderId="1" xfId="0" applyNumberFormat="1" applyFont="1" applyFill="1" applyBorder="1" applyAlignment="1">
      <alignment horizontal="right"/>
    </xf>
    <xf numFmtId="0" fontId="50" fillId="4" borderId="0" xfId="0" applyFont="1" applyFill="1"/>
    <xf numFmtId="0" fontId="40" fillId="4" borderId="5" xfId="0" applyFont="1" applyFill="1" applyBorder="1"/>
    <xf numFmtId="172" fontId="62" fillId="4" borderId="5" xfId="0" applyNumberFormat="1" applyFont="1" applyFill="1" applyBorder="1" applyAlignment="1">
      <alignment horizontal="right"/>
    </xf>
    <xf numFmtId="172" fontId="37" fillId="4" borderId="5" xfId="0" applyNumberFormat="1" applyFont="1" applyFill="1" applyBorder="1" applyAlignment="1">
      <alignment horizontal="right"/>
    </xf>
    <xf numFmtId="173" fontId="37" fillId="4" borderId="5" xfId="0" applyNumberFormat="1" applyFont="1" applyFill="1" applyBorder="1" applyAlignment="1">
      <alignment horizontal="right"/>
    </xf>
    <xf numFmtId="173" fontId="37" fillId="4" borderId="0" xfId="0" applyNumberFormat="1" applyFont="1" applyFill="1" applyAlignment="1">
      <alignment horizontal="right"/>
    </xf>
    <xf numFmtId="172" fontId="62" fillId="4" borderId="0" xfId="0" applyNumberFormat="1" applyFont="1" applyFill="1" applyBorder="1" applyAlignment="1">
      <alignment horizontal="right"/>
    </xf>
    <xf numFmtId="0" fontId="40" fillId="4" borderId="6" xfId="0" applyFont="1" applyFill="1" applyBorder="1" applyAlignment="1">
      <alignment vertical="center"/>
    </xf>
    <xf numFmtId="172" fontId="62" fillId="4" borderId="6" xfId="0" applyNumberFormat="1" applyFont="1" applyFill="1" applyBorder="1" applyAlignment="1">
      <alignment horizontal="right"/>
    </xf>
    <xf numFmtId="172" fontId="37" fillId="4" borderId="6" xfId="0" applyNumberFormat="1" applyFont="1" applyFill="1" applyBorder="1" applyAlignment="1">
      <alignment horizontal="right"/>
    </xf>
    <xf numFmtId="0" fontId="40" fillId="4" borderId="0" xfId="0" applyFont="1" applyFill="1" applyBorder="1"/>
    <xf numFmtId="0" fontId="58" fillId="4" borderId="0" xfId="0" applyFont="1" applyFill="1" applyAlignment="1">
      <alignment horizontal="right"/>
    </xf>
    <xf numFmtId="0" fontId="72" fillId="4" borderId="0" xfId="0" applyFont="1" applyFill="1" applyAlignment="1">
      <alignment horizontal="right"/>
    </xf>
    <xf numFmtId="0" fontId="39" fillId="4" borderId="0" xfId="0" applyFont="1" applyFill="1" applyAlignment="1">
      <alignment horizontal="right"/>
    </xf>
    <xf numFmtId="0" fontId="81" fillId="4" borderId="0" xfId="0" applyFont="1" applyFill="1" applyAlignment="1">
      <alignment horizontal="right"/>
    </xf>
    <xf numFmtId="0" fontId="57" fillId="4" borderId="4" xfId="0" applyFont="1" applyFill="1" applyBorder="1"/>
    <xf numFmtId="172" fontId="57" fillId="4" borderId="0" xfId="0" applyNumberFormat="1" applyFont="1" applyFill="1"/>
    <xf numFmtId="0" fontId="40" fillId="4" borderId="1" xfId="0" applyFont="1" applyFill="1" applyBorder="1"/>
    <xf numFmtId="172" fontId="37" fillId="4" borderId="1" xfId="0" applyNumberFormat="1" applyFont="1" applyFill="1" applyBorder="1" applyAlignment="1">
      <alignment horizontal="right"/>
    </xf>
    <xf numFmtId="173" fontId="37" fillId="4" borderId="1" xfId="0" applyNumberFormat="1" applyFont="1" applyFill="1" applyBorder="1" applyAlignment="1">
      <alignment horizontal="right"/>
    </xf>
    <xf numFmtId="0" fontId="0" fillId="4" borderId="8" xfId="0" applyFill="1" applyBorder="1"/>
    <xf numFmtId="0" fontId="55" fillId="4" borderId="10" xfId="0" applyFont="1" applyFill="1" applyBorder="1"/>
    <xf numFmtId="172" fontId="59" fillId="4" borderId="10" xfId="0" applyNumberFormat="1" applyFont="1" applyFill="1" applyBorder="1" applyAlignment="1">
      <alignment horizontal="right"/>
    </xf>
    <xf numFmtId="172" fontId="36" fillId="4" borderId="10" xfId="0" applyNumberFormat="1" applyFont="1" applyFill="1" applyBorder="1" applyAlignment="1">
      <alignment horizontal="right"/>
    </xf>
    <xf numFmtId="0" fontId="0" fillId="4" borderId="10" xfId="0" applyFill="1" applyBorder="1"/>
    <xf numFmtId="0" fontId="40" fillId="4" borderId="0" xfId="0" applyFont="1" applyFill="1" applyAlignment="1">
      <alignment vertical="center"/>
    </xf>
    <xf numFmtId="172" fontId="59" fillId="4" borderId="0" xfId="0" applyNumberFormat="1" applyFont="1" applyFill="1" applyAlignment="1">
      <alignment horizontal="right" vertical="center"/>
    </xf>
    <xf numFmtId="172" fontId="36" fillId="4" borderId="0" xfId="0" applyNumberFormat="1" applyFont="1" applyFill="1" applyAlignment="1">
      <alignment horizontal="right" vertical="center"/>
    </xf>
    <xf numFmtId="0" fontId="37" fillId="4" borderId="6" xfId="0" applyFont="1" applyFill="1" applyBorder="1" applyAlignment="1">
      <alignment vertical="center"/>
    </xf>
    <xf numFmtId="172" fontId="62" fillId="4" borderId="6" xfId="0" applyNumberFormat="1" applyFont="1" applyFill="1" applyBorder="1" applyAlignment="1">
      <alignment horizontal="right" vertical="center"/>
    </xf>
    <xf numFmtId="172" fontId="37" fillId="4" borderId="6" xfId="0" applyNumberFormat="1" applyFont="1" applyFill="1" applyBorder="1" applyAlignment="1">
      <alignment horizontal="right" vertical="center"/>
    </xf>
    <xf numFmtId="173" fontId="37" fillId="4" borderId="6" xfId="0" applyNumberFormat="1" applyFont="1" applyFill="1" applyBorder="1" applyAlignment="1">
      <alignment horizontal="right" vertical="center"/>
    </xf>
    <xf numFmtId="0" fontId="57" fillId="4" borderId="0" xfId="0" applyFont="1" applyFill="1"/>
    <xf numFmtId="0" fontId="41" fillId="4" borderId="0" xfId="0" applyFont="1" applyFill="1"/>
    <xf numFmtId="172" fontId="36" fillId="4" borderId="0" xfId="0" applyNumberFormat="1" applyFont="1" applyFill="1"/>
    <xf numFmtId="0" fontId="60" fillId="4" borderId="0" xfId="0" applyFont="1" applyFill="1"/>
    <xf numFmtId="0" fontId="83" fillId="4" borderId="0" xfId="0" applyFont="1" applyFill="1"/>
    <xf numFmtId="0" fontId="74" fillId="4" borderId="0" xfId="0" applyFont="1" applyFill="1"/>
    <xf numFmtId="0" fontId="74" fillId="4" borderId="0" xfId="0" applyFont="1" applyFill="1" applyBorder="1"/>
    <xf numFmtId="0" fontId="38" fillId="4" borderId="7" xfId="0" applyFont="1" applyFill="1" applyBorder="1" applyAlignment="1">
      <alignment horizontal="left"/>
    </xf>
    <xf numFmtId="0" fontId="75" fillId="4" borderId="0" xfId="0" applyFont="1" applyFill="1" applyBorder="1"/>
    <xf numFmtId="0" fontId="55" fillId="4" borderId="9" xfId="0" applyFont="1" applyFill="1" applyBorder="1"/>
    <xf numFmtId="0" fontId="40" fillId="4" borderId="9" xfId="0" applyFont="1" applyFill="1" applyBorder="1"/>
    <xf numFmtId="0" fontId="55" fillId="4" borderId="0" xfId="0" applyFont="1" applyFill="1" applyAlignment="1">
      <alignment vertical="center"/>
    </xf>
    <xf numFmtId="0" fontId="40" fillId="4" borderId="0" xfId="0" applyFont="1" applyFill="1" applyAlignment="1">
      <alignment horizontal="right" vertical="center"/>
    </xf>
    <xf numFmtId="0" fontId="40" fillId="4" borderId="0" xfId="0" applyFont="1" applyFill="1" applyAlignment="1">
      <alignment horizontal="right"/>
    </xf>
    <xf numFmtId="0" fontId="40" fillId="4" borderId="0" xfId="0" applyFont="1" applyFill="1" applyBorder="1" applyAlignment="1">
      <alignment horizontal="right"/>
    </xf>
    <xf numFmtId="0" fontId="5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1" fillId="4" borderId="0" xfId="0" applyFont="1" applyFill="1" applyAlignment="1">
      <alignment horizontal="right" vertical="center"/>
    </xf>
    <xf numFmtId="0" fontId="55" fillId="4" borderId="0" xfId="0" applyFont="1" applyFill="1" applyAlignment="1">
      <alignment horizontal="right" vertical="center"/>
    </xf>
    <xf numFmtId="49" fontId="41" fillId="4" borderId="0" xfId="0" applyNumberFormat="1" applyFont="1" applyFill="1" applyAlignment="1">
      <alignment horizontal="right" vertical="center"/>
    </xf>
    <xf numFmtId="49" fontId="41" fillId="4" borderId="0" xfId="0" applyNumberFormat="1" applyFont="1" applyFill="1" applyAlignment="1">
      <alignment horizontal="right"/>
    </xf>
    <xf numFmtId="0" fontId="37" fillId="4" borderId="0" xfId="0" applyFont="1" applyFill="1" applyBorder="1" applyAlignment="1">
      <alignment horizontal="right" vertical="center"/>
    </xf>
    <xf numFmtId="0" fontId="55" fillId="4" borderId="1" xfId="0" applyFont="1" applyFill="1" applyBorder="1" applyAlignment="1">
      <alignment vertical="center"/>
    </xf>
    <xf numFmtId="0" fontId="31" fillId="4" borderId="1" xfId="0" applyFont="1" applyFill="1" applyBorder="1" applyAlignment="1">
      <alignment horizontal="right" vertical="center"/>
    </xf>
    <xf numFmtId="0" fontId="55" fillId="4" borderId="1" xfId="0" applyFont="1" applyFill="1" applyBorder="1" applyAlignment="1">
      <alignment horizontal="right" vertical="center"/>
    </xf>
    <xf numFmtId="49" fontId="41" fillId="4" borderId="1" xfId="0" applyNumberFormat="1" applyFont="1" applyFill="1" applyBorder="1" applyAlignment="1">
      <alignment horizontal="right" vertical="center"/>
    </xf>
    <xf numFmtId="0" fontId="40" fillId="4" borderId="1" xfId="0" applyFont="1" applyFill="1" applyBorder="1" applyAlignment="1">
      <alignment horizontal="right" vertical="center"/>
    </xf>
    <xf numFmtId="0" fontId="55" fillId="4" borderId="1" xfId="0" applyFont="1" applyFill="1" applyBorder="1" applyAlignment="1">
      <alignment horizontal="right"/>
    </xf>
    <xf numFmtId="0" fontId="40" fillId="4" borderId="1" xfId="0" applyFont="1" applyFill="1" applyBorder="1" applyAlignment="1">
      <alignment horizontal="right"/>
    </xf>
    <xf numFmtId="49" fontId="44" fillId="4" borderId="0" xfId="0" applyNumberFormat="1" applyFont="1" applyFill="1" applyBorder="1" applyAlignment="1">
      <alignment horizontal="right" vertical="center"/>
    </xf>
    <xf numFmtId="0" fontId="50" fillId="4" borderId="0" xfId="0" applyFont="1" applyFill="1" applyAlignment="1">
      <alignment horizontal="left"/>
    </xf>
    <xf numFmtId="0" fontId="37" fillId="4" borderId="0" xfId="0" applyFont="1" applyFill="1" applyBorder="1" applyAlignment="1">
      <alignment horizontal="right"/>
    </xf>
    <xf numFmtId="49" fontId="44" fillId="4" borderId="0" xfId="0" applyNumberFormat="1" applyFont="1" applyFill="1" applyBorder="1" applyAlignment="1">
      <alignment horizontal="right"/>
    </xf>
    <xf numFmtId="0" fontId="50" fillId="4" borderId="0" xfId="0" applyFont="1" applyFill="1" applyBorder="1" applyAlignment="1">
      <alignment horizontal="left"/>
    </xf>
    <xf numFmtId="0" fontId="43" fillId="4" borderId="0" xfId="0" applyFont="1" applyFill="1" applyBorder="1" applyAlignment="1">
      <alignment horizontal="right"/>
    </xf>
    <xf numFmtId="3" fontId="43" fillId="4" borderId="0" xfId="0" applyNumberFormat="1" applyFont="1" applyFill="1" applyBorder="1" applyAlignment="1">
      <alignment horizontal="right"/>
    </xf>
    <xf numFmtId="0" fontId="36" fillId="4" borderId="1" xfId="0" applyFont="1" applyFill="1" applyBorder="1"/>
    <xf numFmtId="0" fontId="36" fillId="4" borderId="0" xfId="0" applyFont="1" applyFill="1" applyAlignment="1">
      <alignment horizontal="right"/>
    </xf>
    <xf numFmtId="0" fontId="36" fillId="4" borderId="7" xfId="0" applyFont="1" applyFill="1" applyBorder="1"/>
    <xf numFmtId="172" fontId="36" fillId="4" borderId="7" xfId="0" applyNumberFormat="1" applyFont="1" applyFill="1" applyBorder="1" applyAlignment="1">
      <alignment horizontal="right"/>
    </xf>
    <xf numFmtId="0" fontId="43" fillId="4" borderId="0" xfId="0" applyFont="1" applyFill="1" applyBorder="1" applyAlignment="1">
      <alignment horizontal="right" vertical="center"/>
    </xf>
    <xf numFmtId="3" fontId="43" fillId="4" borderId="0" xfId="0" applyNumberFormat="1" applyFont="1" applyFill="1" applyBorder="1" applyAlignment="1">
      <alignment horizontal="right" vertical="center"/>
    </xf>
    <xf numFmtId="0" fontId="43" fillId="4" borderId="0" xfId="0" applyFont="1" applyFill="1" applyBorder="1"/>
    <xf numFmtId="0" fontId="84" fillId="4" borderId="0" xfId="0" applyFont="1" applyFill="1" applyBorder="1" applyAlignment="1">
      <alignment horizontal="left"/>
    </xf>
    <xf numFmtId="0" fontId="84" fillId="4" borderId="0" xfId="0" applyFont="1" applyFill="1" applyBorder="1" applyAlignment="1">
      <alignment horizontal="right"/>
    </xf>
    <xf numFmtId="49" fontId="85" fillId="4" borderId="0" xfId="0" applyNumberFormat="1" applyFont="1" applyFill="1" applyBorder="1" applyAlignment="1">
      <alignment horizontal="right"/>
    </xf>
    <xf numFmtId="3" fontId="43" fillId="4" borderId="0" xfId="0" applyNumberFormat="1" applyFont="1" applyFill="1" applyBorder="1" applyAlignment="1">
      <alignment vertical="center"/>
    </xf>
    <xf numFmtId="0" fontId="43" fillId="4" borderId="0" xfId="0" applyFont="1" applyFill="1" applyBorder="1" applyAlignment="1">
      <alignment vertical="center"/>
    </xf>
    <xf numFmtId="3" fontId="43" fillId="4" borderId="0" xfId="0" applyNumberFormat="1" applyFont="1" applyFill="1" applyBorder="1"/>
    <xf numFmtId="0" fontId="41" fillId="4" borderId="0" xfId="0" applyFont="1" applyFill="1" applyBorder="1"/>
    <xf numFmtId="0" fontId="55" fillId="4" borderId="1" xfId="0" applyFont="1" applyFill="1" applyBorder="1"/>
    <xf numFmtId="49" fontId="41" fillId="4" borderId="1" xfId="0" applyNumberFormat="1" applyFont="1" applyFill="1" applyBorder="1" applyAlignment="1">
      <alignment horizontal="right"/>
    </xf>
    <xf numFmtId="0" fontId="50" fillId="4" borderId="0" xfId="0" applyFont="1" applyFill="1" applyAlignment="1">
      <alignment horizontal="left" vertical="center"/>
    </xf>
    <xf numFmtId="0" fontId="36" fillId="4" borderId="0" xfId="0" applyFont="1" applyFill="1" applyAlignment="1">
      <alignment horizontal="right" vertical="center"/>
    </xf>
    <xf numFmtId="185" fontId="36" fillId="4" borderId="0" xfId="0" applyNumberFormat="1" applyFont="1" applyFill="1" applyAlignment="1">
      <alignment horizontal="right"/>
    </xf>
    <xf numFmtId="185" fontId="59" fillId="4" borderId="0" xfId="0" applyNumberFormat="1" applyFont="1" applyFill="1" applyAlignment="1">
      <alignment horizontal="right"/>
    </xf>
    <xf numFmtId="172" fontId="0" fillId="4" borderId="0" xfId="0" applyNumberFormat="1" applyFill="1"/>
    <xf numFmtId="185" fontId="59" fillId="4" borderId="0" xfId="0" applyNumberFormat="1" applyFont="1" applyFill="1" applyBorder="1" applyAlignment="1">
      <alignment horizontal="right"/>
    </xf>
    <xf numFmtId="185" fontId="59" fillId="4" borderId="1" xfId="0" applyNumberFormat="1" applyFont="1" applyFill="1" applyBorder="1" applyAlignment="1">
      <alignment horizontal="right"/>
    </xf>
    <xf numFmtId="185" fontId="59" fillId="4" borderId="7" xfId="0" applyNumberFormat="1" applyFont="1" applyFill="1" applyBorder="1" applyAlignment="1">
      <alignment horizontal="right"/>
    </xf>
    <xf numFmtId="185" fontId="59" fillId="4" borderId="0" xfId="0" applyNumberFormat="1" applyFont="1" applyFill="1" applyAlignment="1">
      <alignment horizontal="right" vertical="center"/>
    </xf>
    <xf numFmtId="185" fontId="0" fillId="4" borderId="0" xfId="0" applyNumberFormat="1" applyFill="1"/>
    <xf numFmtId="185" fontId="36" fillId="4" borderId="1" xfId="0" applyNumberFormat="1" applyFont="1" applyFill="1" applyBorder="1" applyAlignment="1">
      <alignment horizontal="right"/>
    </xf>
    <xf numFmtId="185" fontId="36" fillId="4" borderId="0" xfId="0" applyNumberFormat="1" applyFont="1" applyFill="1" applyBorder="1" applyAlignment="1">
      <alignment horizontal="right"/>
    </xf>
    <xf numFmtId="186" fontId="36" fillId="4" borderId="0" xfId="0" applyNumberFormat="1" applyFont="1" applyFill="1" applyAlignment="1">
      <alignment horizontal="right"/>
    </xf>
    <xf numFmtId="185" fontId="36" fillId="4" borderId="7" xfId="0" applyNumberFormat="1" applyFont="1" applyFill="1" applyBorder="1" applyAlignment="1">
      <alignment horizontal="right"/>
    </xf>
    <xf numFmtId="185" fontId="36" fillId="4" borderId="0" xfId="0" applyNumberFormat="1" applyFont="1" applyFill="1" applyAlignment="1">
      <alignment horizontal="right" vertical="center"/>
    </xf>
    <xf numFmtId="186" fontId="36" fillId="4" borderId="0" xfId="0" applyNumberFormat="1" applyFont="1" applyFill="1" applyBorder="1" applyAlignment="1">
      <alignment horizontal="right"/>
    </xf>
    <xf numFmtId="186" fontId="36" fillId="4" borderId="1" xfId="0" applyNumberFormat="1" applyFont="1" applyFill="1" applyBorder="1" applyAlignment="1">
      <alignment horizontal="right"/>
    </xf>
    <xf numFmtId="186" fontId="36" fillId="4" borderId="7" xfId="0" applyNumberFormat="1" applyFont="1" applyFill="1" applyBorder="1" applyAlignment="1">
      <alignment horizontal="right"/>
    </xf>
    <xf numFmtId="0" fontId="36" fillId="4" borderId="0" xfId="0" applyFont="1" applyFill="1" applyBorder="1"/>
    <xf numFmtId="0" fontId="31" fillId="4" borderId="0" xfId="0" applyFont="1" applyFill="1" applyBorder="1"/>
    <xf numFmtId="0" fontId="36" fillId="4" borderId="0" xfId="0" applyFont="1" applyFill="1" applyBorder="1" applyAlignment="1">
      <alignment horizontal="right"/>
    </xf>
    <xf numFmtId="0" fontId="55" fillId="4" borderId="0" xfId="0" applyFont="1" applyFill="1" applyBorder="1" applyAlignment="1"/>
    <xf numFmtId="0" fontId="36" fillId="4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7" fillId="4" borderId="0" xfId="0" applyFont="1" applyFill="1" applyAlignment="1">
      <alignment horizontal="right"/>
    </xf>
    <xf numFmtId="0" fontId="0" fillId="4" borderId="1" xfId="0" applyFill="1" applyBorder="1"/>
    <xf numFmtId="49" fontId="85" fillId="4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vertical="center"/>
    </xf>
    <xf numFmtId="0" fontId="43" fillId="4" borderId="1" xfId="0" applyFont="1" applyFill="1" applyBorder="1"/>
    <xf numFmtId="0" fontId="43" fillId="4" borderId="0" xfId="0" applyFont="1" applyFill="1" applyAlignment="1">
      <alignment horizontal="right" vertical="center"/>
    </xf>
    <xf numFmtId="186" fontId="59" fillId="4" borderId="0" xfId="0" applyNumberFormat="1" applyFont="1" applyFill="1" applyBorder="1" applyAlignment="1">
      <alignment horizontal="right"/>
    </xf>
    <xf numFmtId="186" fontId="59" fillId="4" borderId="1" xfId="0" applyNumberFormat="1" applyFont="1" applyFill="1" applyBorder="1" applyAlignment="1">
      <alignment horizontal="right"/>
    </xf>
    <xf numFmtId="185" fontId="60" fillId="4" borderId="0" xfId="0" applyNumberFormat="1" applyFont="1" applyFill="1" applyAlignment="1">
      <alignment horizontal="right" vertical="center"/>
    </xf>
    <xf numFmtId="185" fontId="60" fillId="4" borderId="0" xfId="0" applyNumberFormat="1" applyFont="1" applyFill="1" applyBorder="1" applyAlignment="1">
      <alignment horizontal="right"/>
    </xf>
    <xf numFmtId="185" fontId="60" fillId="4" borderId="1" xfId="0" applyNumberFormat="1" applyFont="1" applyFill="1" applyBorder="1" applyAlignment="1">
      <alignment horizontal="right"/>
    </xf>
    <xf numFmtId="172" fontId="60" fillId="4" borderId="0" xfId="0" applyNumberFormat="1" applyFont="1" applyFill="1" applyAlignment="1">
      <alignment horizontal="right" vertical="center"/>
    </xf>
    <xf numFmtId="186" fontId="59" fillId="4" borderId="0" xfId="0" applyNumberFormat="1" applyFont="1" applyFill="1" applyAlignment="1">
      <alignment horizontal="right"/>
    </xf>
    <xf numFmtId="185" fontId="60" fillId="4" borderId="0" xfId="0" applyNumberFormat="1" applyFont="1" applyFill="1" applyAlignment="1">
      <alignment horizontal="right"/>
    </xf>
    <xf numFmtId="0" fontId="0" fillId="4" borderId="7" xfId="0" applyFill="1" applyBorder="1"/>
    <xf numFmtId="186" fontId="59" fillId="4" borderId="7" xfId="0" applyNumberFormat="1" applyFont="1" applyFill="1" applyBorder="1" applyAlignment="1">
      <alignment horizontal="right"/>
    </xf>
    <xf numFmtId="172" fontId="59" fillId="4" borderId="7" xfId="0" applyNumberFormat="1" applyFont="1" applyFill="1" applyBorder="1" applyAlignment="1">
      <alignment horizontal="right"/>
    </xf>
    <xf numFmtId="185" fontId="60" fillId="4" borderId="7" xfId="0" applyNumberFormat="1" applyFont="1" applyFill="1" applyBorder="1" applyAlignment="1">
      <alignment horizontal="right"/>
    </xf>
    <xf numFmtId="185" fontId="0" fillId="4" borderId="0" xfId="0" applyNumberFormat="1" applyFill="1" applyBorder="1"/>
    <xf numFmtId="185" fontId="36" fillId="4" borderId="0" xfId="0" applyNumberFormat="1" applyFont="1" applyFill="1" applyBorder="1"/>
    <xf numFmtId="0" fontId="66" fillId="4" borderId="0" xfId="0" applyFont="1" applyFill="1"/>
    <xf numFmtId="164" fontId="0" fillId="0" borderId="0" xfId="2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8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90" fontId="22" fillId="0" borderId="0" xfId="2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90" fontId="86" fillId="0" borderId="0" xfId="2" applyFont="1" applyFill="1" applyBorder="1" applyAlignment="1">
      <alignment vertical="center"/>
    </xf>
    <xf numFmtId="190" fontId="28" fillId="0" borderId="0" xfId="2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90" fontId="77" fillId="0" borderId="0" xfId="2" applyFont="1" applyFill="1" applyBorder="1" applyAlignment="1">
      <alignment vertical="center"/>
    </xf>
    <xf numFmtId="190" fontId="28" fillId="0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8" fillId="0" borderId="0" xfId="4" applyNumberFormat="1" applyFill="1" applyBorder="1" applyAlignment="1">
      <alignment vertical="center"/>
    </xf>
    <xf numFmtId="0" fontId="68" fillId="0" borderId="0" xfId="4" applyNumberFormat="1" applyFill="1" applyBorder="1" applyAlignment="1">
      <alignment horizontal="center" vertical="center"/>
    </xf>
    <xf numFmtId="0" fontId="68" fillId="0" borderId="0" xfId="4" applyNumberFormat="1" applyFill="1" applyBorder="1" applyAlignment="1">
      <alignment horizontal="left" vertical="center"/>
    </xf>
    <xf numFmtId="176" fontId="68" fillId="0" borderId="0" xfId="4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3" fontId="0" fillId="0" borderId="1" xfId="0" applyNumberFormat="1" applyBorder="1" applyAlignment="1">
      <alignment vertical="center"/>
    </xf>
    <xf numFmtId="0" fontId="20" fillId="0" borderId="15" xfId="0" applyFont="1" applyBorder="1" applyAlignment="1">
      <alignment horizontal="left" vertical="center"/>
    </xf>
    <xf numFmtId="187" fontId="0" fillId="0" borderId="0" xfId="2" applyNumberFormat="1" applyFont="1"/>
    <xf numFmtId="188" fontId="0" fillId="0" borderId="0" xfId="2" applyNumberFormat="1" applyFont="1"/>
    <xf numFmtId="0" fontId="20" fillId="0" borderId="2" xfId="0" applyFont="1" applyBorder="1" applyAlignment="1">
      <alignment horizontal="center" vertical="center"/>
    </xf>
    <xf numFmtId="0" fontId="68" fillId="0" borderId="0" xfId="4" applyNumberFormat="1"/>
    <xf numFmtId="0" fontId="20" fillId="0" borderId="0" xfId="0" applyFont="1"/>
    <xf numFmtId="0" fontId="68" fillId="0" borderId="0" xfId="4" applyNumberFormat="1" applyFont="1"/>
    <xf numFmtId="0" fontId="0" fillId="0" borderId="0" xfId="0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68" fillId="0" borderId="0" xfId="4" applyNumberForma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wrapText="1"/>
    </xf>
    <xf numFmtId="0" fontId="89" fillId="0" borderId="0" xfId="0" applyFont="1"/>
    <xf numFmtId="0" fontId="89" fillId="0" borderId="0" xfId="0" applyFont="1" applyAlignment="1">
      <alignment vertical="center"/>
    </xf>
    <xf numFmtId="0" fontId="90" fillId="3" borderId="3" xfId="3" applyFont="1" applyAlignment="1">
      <alignment horizontal="left" vertical="center" indent="1"/>
    </xf>
    <xf numFmtId="0" fontId="0" fillId="0" borderId="12" xfId="0" applyBorder="1"/>
    <xf numFmtId="0" fontId="27" fillId="0" borderId="12" xfId="0" applyFont="1" applyFill="1" applyBorder="1" applyAlignment="1">
      <alignment horizontal="left" vertical="center"/>
    </xf>
    <xf numFmtId="164" fontId="0" fillId="0" borderId="12" xfId="0" applyNumberFormat="1" applyBorder="1"/>
    <xf numFmtId="0" fontId="91" fillId="0" borderId="0" xfId="0" applyFont="1"/>
    <xf numFmtId="0" fontId="91" fillId="0" borderId="0" xfId="0" applyFont="1" applyAlignment="1">
      <alignment vertical="center"/>
    </xf>
    <xf numFmtId="0" fontId="0" fillId="6" borderId="17" xfId="0" applyFill="1" applyBorder="1" applyAlignment="1">
      <alignment vertical="center"/>
    </xf>
    <xf numFmtId="164" fontId="0" fillId="0" borderId="0" xfId="0" applyNumberFormat="1" applyAlignment="1">
      <alignment vertical="center"/>
    </xf>
    <xf numFmtId="196" fontId="0" fillId="6" borderId="17" xfId="1" applyFont="1" applyFill="1" applyBorder="1" applyAlignment="1">
      <alignment vertical="center"/>
    </xf>
    <xf numFmtId="190" fontId="0" fillId="6" borderId="17" xfId="2" applyFont="1" applyFill="1" applyBorder="1" applyAlignment="1">
      <alignment vertical="center"/>
    </xf>
    <xf numFmtId="190" fontId="20" fillId="0" borderId="0" xfId="2" applyFont="1"/>
    <xf numFmtId="0" fontId="0" fillId="0" borderId="0" xfId="0" applyNumberFormat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3" fillId="0" borderId="0" xfId="0" applyFont="1"/>
    <xf numFmtId="190" fontId="68" fillId="0" borderId="0" xfId="4" applyNumberForma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25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190" fontId="20" fillId="0" borderId="0" xfId="0" applyNumberFormat="1" applyFont="1" applyAlignment="1">
      <alignment vertical="center"/>
    </xf>
    <xf numFmtId="196" fontId="0" fillId="0" borderId="0" xfId="1" applyFont="1" applyAlignment="1">
      <alignment vertical="center"/>
    </xf>
    <xf numFmtId="190" fontId="0" fillId="0" borderId="0" xfId="0" applyNumberFormat="1" applyAlignment="1">
      <alignment vertical="center"/>
    </xf>
    <xf numFmtId="190" fontId="20" fillId="0" borderId="0" xfId="2" applyFont="1" applyAlignment="1">
      <alignment vertical="center"/>
    </xf>
    <xf numFmtId="190" fontId="0" fillId="0" borderId="0" xfId="2" applyFont="1" applyAlignment="1">
      <alignment vertical="center"/>
    </xf>
    <xf numFmtId="190" fontId="20" fillId="0" borderId="8" xfId="2" applyFont="1" applyBorder="1" applyAlignment="1">
      <alignment vertical="center"/>
    </xf>
    <xf numFmtId="9" fontId="0" fillId="6" borderId="17" xfId="1" applyNumberFormat="1" applyFont="1" applyFill="1" applyBorder="1" applyAlignment="1">
      <alignment vertical="center"/>
    </xf>
    <xf numFmtId="190" fontId="0" fillId="6" borderId="0" xfId="2" applyFont="1" applyFill="1" applyBorder="1" applyAlignment="1">
      <alignment vertical="center"/>
    </xf>
    <xf numFmtId="0" fontId="92" fillId="0" borderId="0" xfId="4" applyNumberFormat="1" applyFont="1" applyFill="1" applyBorder="1" applyAlignment="1">
      <alignment horizontal="center" vertical="center"/>
    </xf>
    <xf numFmtId="0" fontId="92" fillId="0" borderId="0" xfId="4" applyNumberFormat="1" applyFont="1" applyFill="1" applyBorder="1" applyAlignment="1">
      <alignment vertical="center"/>
    </xf>
    <xf numFmtId="190" fontId="92" fillId="0" borderId="0" xfId="4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91" fontId="0" fillId="0" borderId="0" xfId="2" applyNumberFormat="1" applyFont="1" applyAlignment="1">
      <alignment vertical="center"/>
    </xf>
    <xf numFmtId="190" fontId="0" fillId="6" borderId="19" xfId="2" applyFont="1" applyFill="1" applyBorder="1" applyAlignment="1">
      <alignment vertical="center"/>
    </xf>
    <xf numFmtId="190" fontId="0" fillId="6" borderId="19" xfId="2" applyFont="1" applyFill="1" applyBorder="1" applyAlignment="1">
      <alignment horizontal="right" vertical="center"/>
    </xf>
    <xf numFmtId="190" fontId="0" fillId="6" borderId="20" xfId="2" applyFont="1" applyFill="1" applyBorder="1" applyAlignment="1">
      <alignment horizontal="right" vertical="center"/>
    </xf>
    <xf numFmtId="190" fontId="0" fillId="6" borderId="17" xfId="2" applyFont="1" applyFill="1" applyBorder="1" applyAlignment="1">
      <alignment horizontal="right" vertical="center"/>
    </xf>
    <xf numFmtId="0" fontId="20" fillId="0" borderId="0" xfId="0" applyFont="1" applyAlignment="1">
      <alignment horizontal="right"/>
    </xf>
    <xf numFmtId="192" fontId="20" fillId="0" borderId="0" xfId="0" applyNumberFormat="1" applyFont="1"/>
    <xf numFmtId="196" fontId="0" fillId="6" borderId="0" xfId="1" applyFont="1" applyFill="1" applyBorder="1" applyAlignment="1">
      <alignment vertical="center"/>
    </xf>
    <xf numFmtId="0" fontId="20" fillId="6" borderId="0" xfId="0" applyNumberFormat="1" applyFont="1" applyFill="1" applyBorder="1" applyAlignment="1">
      <alignment vertical="center"/>
    </xf>
    <xf numFmtId="196" fontId="0" fillId="6" borderId="0" xfId="1" applyFont="1" applyFill="1" applyBorder="1" applyAlignment="1">
      <alignment horizontal="right" vertical="center"/>
    </xf>
    <xf numFmtId="196" fontId="0" fillId="6" borderId="17" xfId="1" applyFont="1" applyFill="1" applyBorder="1" applyAlignment="1">
      <alignment horizontal="right" vertical="center"/>
    </xf>
    <xf numFmtId="196" fontId="0" fillId="6" borderId="19" xfId="1" applyFont="1" applyFill="1" applyBorder="1" applyAlignment="1">
      <alignment horizontal="right" vertical="center"/>
    </xf>
    <xf numFmtId="9" fontId="0" fillId="6" borderId="19" xfId="1" applyNumberFormat="1" applyFont="1" applyFill="1" applyBorder="1" applyAlignment="1">
      <alignment vertical="center"/>
    </xf>
    <xf numFmtId="9" fontId="0" fillId="6" borderId="19" xfId="1" applyNumberFormat="1" applyFon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9" fontId="0" fillId="6" borderId="17" xfId="1" applyNumberFormat="1" applyFont="1" applyFill="1" applyBorder="1" applyAlignment="1">
      <alignment horizontal="right" vertical="center"/>
    </xf>
    <xf numFmtId="191" fontId="0" fillId="6" borderId="19" xfId="2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25" fillId="0" borderId="0" xfId="0" applyFont="1" applyAlignment="1">
      <alignment vertical="center"/>
    </xf>
    <xf numFmtId="191" fontId="0" fillId="6" borderId="0" xfId="2" applyNumberFormat="1" applyFont="1" applyFill="1" applyBorder="1" applyAlignment="1">
      <alignment vertical="center"/>
    </xf>
    <xf numFmtId="191" fontId="0" fillId="6" borderId="0" xfId="2" applyNumberFormat="1" applyFont="1" applyFill="1" applyBorder="1" applyAlignment="1">
      <alignment horizontal="right" vertical="center"/>
    </xf>
    <xf numFmtId="196" fontId="0" fillId="6" borderId="1" xfId="1" applyFont="1" applyFill="1" applyBorder="1" applyAlignment="1">
      <alignment vertical="center"/>
    </xf>
    <xf numFmtId="190" fontId="0" fillId="6" borderId="27" xfId="2" applyFont="1" applyFill="1" applyBorder="1" applyAlignment="1">
      <alignment vertical="center"/>
    </xf>
    <xf numFmtId="189" fontId="0" fillId="6" borderId="0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20" fillId="8" borderId="16" xfId="0" applyFont="1" applyFill="1" applyBorder="1" applyAlignment="1">
      <alignment vertical="center"/>
    </xf>
    <xf numFmtId="192" fontId="0" fillId="6" borderId="19" xfId="2" applyNumberFormat="1" applyFont="1" applyFill="1" applyBorder="1" applyAlignment="1">
      <alignment vertical="center"/>
    </xf>
    <xf numFmtId="192" fontId="0" fillId="6" borderId="19" xfId="2" applyNumberFormat="1" applyFont="1" applyFill="1" applyBorder="1" applyAlignment="1">
      <alignment horizontal="right" vertical="center"/>
    </xf>
    <xf numFmtId="192" fontId="0" fillId="6" borderId="17" xfId="2" applyNumberFormat="1" applyFont="1" applyFill="1" applyBorder="1" applyAlignment="1">
      <alignment vertical="center"/>
    </xf>
    <xf numFmtId="192" fontId="0" fillId="6" borderId="20" xfId="2" applyNumberFormat="1" applyFont="1" applyFill="1" applyBorder="1" applyAlignment="1">
      <alignment horizontal="right" vertical="center"/>
    </xf>
    <xf numFmtId="192" fontId="0" fillId="6" borderId="17" xfId="2" applyNumberFormat="1" applyFont="1" applyFill="1" applyBorder="1" applyAlignment="1">
      <alignment horizontal="right" vertical="center"/>
    </xf>
    <xf numFmtId="192" fontId="0" fillId="6" borderId="0" xfId="2" applyNumberFormat="1" applyFont="1" applyFill="1" applyBorder="1" applyAlignment="1">
      <alignment vertical="center"/>
    </xf>
    <xf numFmtId="192" fontId="0" fillId="6" borderId="0" xfId="2" applyNumberFormat="1" applyFont="1" applyFill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15" xfId="0" applyFont="1" applyBorder="1" applyAlignment="1">
      <alignment horizontal="right" vertical="center"/>
    </xf>
    <xf numFmtId="0" fontId="0" fillId="6" borderId="0" xfId="0" applyNumberForma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vertical="center"/>
    </xf>
    <xf numFmtId="190" fontId="0" fillId="8" borderId="0" xfId="2" applyFont="1" applyFill="1" applyBorder="1" applyAlignment="1">
      <alignment vertical="center"/>
    </xf>
    <xf numFmtId="190" fontId="22" fillId="6" borderId="29" xfId="2" applyFont="1" applyFill="1" applyBorder="1" applyAlignment="1">
      <alignment vertical="center"/>
    </xf>
    <xf numFmtId="190" fontId="23" fillId="6" borderId="29" xfId="2" applyFont="1" applyFill="1" applyBorder="1" applyAlignment="1">
      <alignment horizontal="center" vertical="center" wrapText="1"/>
    </xf>
    <xf numFmtId="190" fontId="86" fillId="6" borderId="29" xfId="2" applyFont="1" applyFill="1" applyBorder="1" applyAlignment="1">
      <alignment vertical="center"/>
    </xf>
    <xf numFmtId="190" fontId="28" fillId="6" borderId="29" xfId="2" applyFont="1" applyFill="1" applyBorder="1" applyAlignment="1">
      <alignment vertical="center"/>
    </xf>
    <xf numFmtId="190" fontId="29" fillId="6" borderId="29" xfId="2" applyFont="1" applyFill="1" applyBorder="1" applyAlignment="1">
      <alignment horizontal="center" vertical="center" wrapText="1"/>
    </xf>
    <xf numFmtId="190" fontId="28" fillId="6" borderId="29" xfId="2" applyFont="1" applyFill="1" applyBorder="1" applyAlignment="1">
      <alignment horizontal="center" vertical="center" wrapText="1"/>
    </xf>
    <xf numFmtId="190" fontId="92" fillId="6" borderId="29" xfId="4" applyNumberFormat="1" applyFont="1" applyFill="1" applyBorder="1" applyAlignment="1">
      <alignment vertical="center"/>
    </xf>
    <xf numFmtId="190" fontId="92" fillId="6" borderId="29" xfId="4" applyNumberFormat="1" applyFont="1" applyFill="1" applyBorder="1" applyAlignment="1">
      <alignment horizontal="center" vertical="center" wrapText="1"/>
    </xf>
    <xf numFmtId="190" fontId="68" fillId="6" borderId="29" xfId="4" applyNumberFormat="1" applyFill="1" applyBorder="1" applyAlignment="1">
      <alignment vertical="center"/>
    </xf>
    <xf numFmtId="190" fontId="68" fillId="6" borderId="29" xfId="4" applyNumberFormat="1" applyFill="1" applyBorder="1" applyAlignment="1">
      <alignment horizontal="center" vertical="center" wrapText="1"/>
    </xf>
    <xf numFmtId="0" fontId="96" fillId="0" borderId="0" xfId="0" applyFont="1" applyFill="1" applyBorder="1" applyAlignment="1">
      <alignment horizontal="left" vertical="center"/>
    </xf>
    <xf numFmtId="0" fontId="18" fillId="5" borderId="29" xfId="0" applyFont="1" applyFill="1" applyBorder="1" applyAlignment="1">
      <alignment horizontal="center" vertical="center" wrapText="1"/>
    </xf>
    <xf numFmtId="0" fontId="18" fillId="10" borderId="29" xfId="0" applyFont="1" applyFill="1" applyBorder="1" applyAlignment="1">
      <alignment horizontal="center" vertical="center" wrapText="1"/>
    </xf>
    <xf numFmtId="190" fontId="22" fillId="2" borderId="29" xfId="2" applyFont="1" applyFill="1" applyBorder="1" applyAlignment="1">
      <alignment vertical="center"/>
    </xf>
    <xf numFmtId="190" fontId="86" fillId="2" borderId="29" xfId="2" applyFont="1" applyFill="1" applyBorder="1" applyAlignment="1">
      <alignment vertical="center"/>
    </xf>
    <xf numFmtId="190" fontId="28" fillId="2" borderId="29" xfId="2" applyFont="1" applyFill="1" applyBorder="1" applyAlignment="1">
      <alignment vertical="center"/>
    </xf>
    <xf numFmtId="190" fontId="92" fillId="2" borderId="29" xfId="4" applyNumberFormat="1" applyFont="1" applyFill="1" applyBorder="1" applyAlignment="1">
      <alignment vertical="center"/>
    </xf>
    <xf numFmtId="190" fontId="68" fillId="2" borderId="29" xfId="4" applyNumberFormat="1" applyFill="1" applyBorder="1" applyAlignment="1">
      <alignment vertical="center"/>
    </xf>
    <xf numFmtId="190" fontId="88" fillId="2" borderId="29" xfId="2" applyFont="1" applyFill="1" applyBorder="1" applyAlignment="1">
      <alignment vertical="center"/>
    </xf>
    <xf numFmtId="190" fontId="22" fillId="8" borderId="29" xfId="2" applyFont="1" applyFill="1" applyBorder="1" applyAlignment="1">
      <alignment vertical="center"/>
    </xf>
    <xf numFmtId="190" fontId="86" fillId="8" borderId="29" xfId="2" applyFont="1" applyFill="1" applyBorder="1" applyAlignment="1">
      <alignment vertical="center"/>
    </xf>
    <xf numFmtId="190" fontId="28" fillId="8" borderId="29" xfId="2" applyFont="1" applyFill="1" applyBorder="1" applyAlignment="1">
      <alignment vertical="center"/>
    </xf>
    <xf numFmtId="176" fontId="68" fillId="8" borderId="29" xfId="4" applyFill="1" applyBorder="1" applyAlignment="1">
      <alignment vertical="center"/>
    </xf>
    <xf numFmtId="190" fontId="92" fillId="8" borderId="29" xfId="4" applyNumberFormat="1" applyFont="1" applyFill="1" applyBorder="1" applyAlignment="1">
      <alignment vertical="center"/>
    </xf>
    <xf numFmtId="190" fontId="68" fillId="8" borderId="29" xfId="4" applyNumberFormat="1" applyFill="1" applyBorder="1" applyAlignment="1">
      <alignment vertical="center"/>
    </xf>
    <xf numFmtId="190" fontId="88" fillId="8" borderId="29" xfId="2" applyFont="1" applyFill="1" applyBorder="1" applyAlignment="1">
      <alignment vertical="center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1" xfId="0" applyFont="1" applyFill="1" applyBorder="1" applyAlignment="1">
      <alignment horizontal="center" vertical="center" wrapText="1"/>
    </xf>
    <xf numFmtId="0" fontId="87" fillId="5" borderId="29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8" fillId="10" borderId="31" xfId="0" applyFont="1" applyFill="1" applyBorder="1" applyAlignment="1">
      <alignment horizontal="center" vertical="center" wrapText="1"/>
    </xf>
    <xf numFmtId="0" fontId="18" fillId="13" borderId="29" xfId="0" applyFont="1" applyFill="1" applyBorder="1" applyAlignment="1">
      <alignment horizontal="center" vertical="center" wrapText="1"/>
    </xf>
    <xf numFmtId="0" fontId="18" fillId="13" borderId="31" xfId="0" applyFont="1" applyFill="1" applyBorder="1" applyAlignment="1">
      <alignment horizontal="center" vertical="center" wrapText="1"/>
    </xf>
    <xf numFmtId="190" fontId="22" fillId="7" borderId="29" xfId="2" applyFont="1" applyFill="1" applyBorder="1" applyAlignment="1">
      <alignment vertical="center"/>
    </xf>
    <xf numFmtId="190" fontId="86" fillId="7" borderId="29" xfId="2" applyFont="1" applyFill="1" applyBorder="1" applyAlignment="1">
      <alignment vertical="center"/>
    </xf>
    <xf numFmtId="190" fontId="28" fillId="7" borderId="29" xfId="2" applyFont="1" applyFill="1" applyBorder="1" applyAlignment="1">
      <alignment vertical="center"/>
    </xf>
    <xf numFmtId="190" fontId="92" fillId="7" borderId="29" xfId="4" applyNumberFormat="1" applyFont="1" applyFill="1" applyBorder="1" applyAlignment="1">
      <alignment vertical="center"/>
    </xf>
    <xf numFmtId="190" fontId="68" fillId="7" borderId="29" xfId="4" applyNumberFormat="1" applyFill="1" applyBorder="1" applyAlignment="1">
      <alignment vertical="center"/>
    </xf>
    <xf numFmtId="190" fontId="88" fillId="7" borderId="29" xfId="2" applyFont="1" applyFill="1" applyBorder="1" applyAlignment="1">
      <alignment vertical="center"/>
    </xf>
    <xf numFmtId="0" fontId="97" fillId="9" borderId="32" xfId="0" applyFont="1" applyFill="1" applyBorder="1" applyAlignment="1">
      <alignment horizontal="centerContinuous" vertical="center" wrapText="1"/>
    </xf>
    <xf numFmtId="190" fontId="28" fillId="6" borderId="31" xfId="2" applyFont="1" applyFill="1" applyBorder="1" applyAlignment="1">
      <alignment vertical="center"/>
    </xf>
    <xf numFmtId="190" fontId="28" fillId="6" borderId="31" xfId="2" applyFont="1" applyFill="1" applyBorder="1" applyAlignment="1">
      <alignment horizontal="center" vertical="center" wrapText="1"/>
    </xf>
    <xf numFmtId="0" fontId="87" fillId="10" borderId="29" xfId="0" applyFont="1" applyFill="1" applyBorder="1" applyAlignment="1">
      <alignment horizontal="center" vertical="center" wrapText="1"/>
    </xf>
    <xf numFmtId="190" fontId="28" fillId="2" borderId="31" xfId="2" applyFont="1" applyFill="1" applyBorder="1" applyAlignment="1">
      <alignment vertical="center"/>
    </xf>
    <xf numFmtId="0" fontId="87" fillId="11" borderId="29" xfId="0" applyFont="1" applyFill="1" applyBorder="1" applyAlignment="1">
      <alignment horizontal="center" vertical="center" wrapText="1"/>
    </xf>
    <xf numFmtId="190" fontId="28" fillId="8" borderId="31" xfId="2" applyFont="1" applyFill="1" applyBorder="1" applyAlignment="1">
      <alignment vertical="center"/>
    </xf>
    <xf numFmtId="0" fontId="87" fillId="13" borderId="29" xfId="0" applyFont="1" applyFill="1" applyBorder="1" applyAlignment="1">
      <alignment horizontal="center" vertical="center" wrapText="1"/>
    </xf>
    <xf numFmtId="190" fontId="28" fillId="7" borderId="31" xfId="2" applyFont="1" applyFill="1" applyBorder="1" applyAlignment="1">
      <alignment vertical="center"/>
    </xf>
    <xf numFmtId="0" fontId="13" fillId="14" borderId="32" xfId="0" applyFont="1" applyFill="1" applyBorder="1" applyAlignment="1">
      <alignment horizontal="centerContinuous" vertical="center" wrapText="1"/>
    </xf>
    <xf numFmtId="0" fontId="68" fillId="0" borderId="30" xfId="4" applyNumberFormat="1" applyFill="1" applyBorder="1" applyAlignment="1">
      <alignment horizontal="left" vertical="center"/>
    </xf>
    <xf numFmtId="0" fontId="68" fillId="0" borderId="30" xfId="4" applyNumberFormat="1" applyFill="1" applyBorder="1" applyAlignment="1">
      <alignment vertical="center"/>
    </xf>
    <xf numFmtId="176" fontId="68" fillId="0" borderId="30" xfId="4" applyFill="1" applyBorder="1" applyAlignment="1">
      <alignment vertical="center"/>
    </xf>
    <xf numFmtId="176" fontId="68" fillId="8" borderId="31" xfId="4" applyFill="1" applyBorder="1" applyAlignment="1">
      <alignment vertical="center"/>
    </xf>
    <xf numFmtId="0" fontId="68" fillId="0" borderId="30" xfId="4" applyNumberFormat="1" applyFill="1" applyBorder="1" applyAlignment="1">
      <alignment horizontal="right" vertical="center"/>
    </xf>
    <xf numFmtId="0" fontId="68" fillId="0" borderId="15" xfId="4" applyNumberFormat="1" applyFill="1" applyBorder="1" applyAlignment="1">
      <alignment vertical="center"/>
    </xf>
    <xf numFmtId="0" fontId="68" fillId="0" borderId="15" xfId="4" applyNumberFormat="1" applyFill="1" applyBorder="1" applyAlignment="1">
      <alignment horizontal="left" vertical="center"/>
    </xf>
    <xf numFmtId="190" fontId="68" fillId="8" borderId="33" xfId="4" applyNumberFormat="1" applyFill="1" applyBorder="1" applyAlignment="1">
      <alignment vertical="center"/>
    </xf>
    <xf numFmtId="176" fontId="68" fillId="8" borderId="33" xfId="4" applyFill="1" applyBorder="1" applyAlignment="1">
      <alignment vertical="center"/>
    </xf>
    <xf numFmtId="190" fontId="77" fillId="2" borderId="34" xfId="2" applyFont="1" applyFill="1" applyBorder="1" applyAlignment="1">
      <alignment vertical="center"/>
    </xf>
    <xf numFmtId="190" fontId="77" fillId="8" borderId="34" xfId="2" applyFont="1" applyFill="1" applyBorder="1" applyAlignment="1">
      <alignment vertical="center"/>
    </xf>
    <xf numFmtId="190" fontId="77" fillId="7" borderId="34" xfId="2" applyFont="1" applyFill="1" applyBorder="1" applyAlignment="1">
      <alignment vertical="center"/>
    </xf>
    <xf numFmtId="190" fontId="98" fillId="6" borderId="29" xfId="2" applyFont="1" applyFill="1" applyBorder="1" applyAlignment="1">
      <alignment horizontal="right" vertical="center"/>
    </xf>
    <xf numFmtId="190" fontId="98" fillId="6" borderId="31" xfId="2" applyFont="1" applyFill="1" applyBorder="1" applyAlignment="1">
      <alignment horizontal="right" vertical="center"/>
    </xf>
    <xf numFmtId="190" fontId="68" fillId="6" borderId="29" xfId="2" applyFont="1" applyFill="1" applyBorder="1" applyAlignment="1">
      <alignment horizontal="right" vertical="center"/>
    </xf>
    <xf numFmtId="190" fontId="68" fillId="6" borderId="33" xfId="2" applyFont="1" applyFill="1" applyBorder="1" applyAlignment="1">
      <alignment horizontal="right" vertical="center"/>
    </xf>
    <xf numFmtId="190" fontId="28" fillId="6" borderId="29" xfId="2" applyFont="1" applyFill="1" applyBorder="1" applyAlignment="1">
      <alignment horizontal="right" vertical="center"/>
    </xf>
    <xf numFmtId="190" fontId="98" fillId="6" borderId="33" xfId="2" applyFont="1" applyFill="1" applyBorder="1" applyAlignment="1">
      <alignment horizontal="right" vertical="center"/>
    </xf>
    <xf numFmtId="190" fontId="77" fillId="6" borderId="34" xfId="2" applyFont="1" applyFill="1" applyBorder="1" applyAlignment="1">
      <alignment horizontal="right" vertical="center"/>
    </xf>
    <xf numFmtId="190" fontId="68" fillId="6" borderId="31" xfId="2" applyFont="1" applyFill="1" applyBorder="1" applyAlignment="1">
      <alignment horizontal="right" vertical="center"/>
    </xf>
    <xf numFmtId="0" fontId="96" fillId="14" borderId="32" xfId="0" applyFont="1" applyFill="1" applyBorder="1" applyAlignment="1">
      <alignment horizontal="centerContinuous" vertical="center" wrapText="1"/>
    </xf>
    <xf numFmtId="190" fontId="98" fillId="2" borderId="29" xfId="2" applyFont="1" applyFill="1" applyBorder="1" applyAlignment="1">
      <alignment vertical="center"/>
    </xf>
    <xf numFmtId="190" fontId="68" fillId="2" borderId="29" xfId="2" applyFont="1" applyFill="1" applyBorder="1" applyAlignment="1">
      <alignment vertical="center"/>
    </xf>
    <xf numFmtId="190" fontId="98" fillId="2" borderId="31" xfId="2" applyFont="1" applyFill="1" applyBorder="1" applyAlignment="1">
      <alignment vertical="center"/>
    </xf>
    <xf numFmtId="190" fontId="68" fillId="2" borderId="31" xfId="2" applyFont="1" applyFill="1" applyBorder="1" applyAlignment="1">
      <alignment vertical="center"/>
    </xf>
    <xf numFmtId="190" fontId="68" fillId="2" borderId="33" xfId="2" applyFont="1" applyFill="1" applyBorder="1" applyAlignment="1">
      <alignment vertical="center"/>
    </xf>
    <xf numFmtId="190" fontId="98" fillId="2" borderId="33" xfId="2" applyFont="1" applyFill="1" applyBorder="1" applyAlignment="1">
      <alignment vertical="center"/>
    </xf>
    <xf numFmtId="190" fontId="98" fillId="7" borderId="29" xfId="2" applyFont="1" applyFill="1" applyBorder="1" applyAlignment="1">
      <alignment vertical="center"/>
    </xf>
    <xf numFmtId="190" fontId="98" fillId="7" borderId="31" xfId="2" applyFont="1" applyFill="1" applyBorder="1" applyAlignment="1">
      <alignment vertical="center"/>
    </xf>
    <xf numFmtId="190" fontId="68" fillId="7" borderId="29" xfId="2" applyFont="1" applyFill="1" applyBorder="1" applyAlignment="1">
      <alignment vertical="center"/>
    </xf>
    <xf numFmtId="190" fontId="68" fillId="7" borderId="33" xfId="2" applyFont="1" applyFill="1" applyBorder="1" applyAlignment="1">
      <alignment vertical="center"/>
    </xf>
    <xf numFmtId="190" fontId="98" fillId="7" borderId="33" xfId="2" applyFont="1" applyFill="1" applyBorder="1" applyAlignment="1">
      <alignment vertical="center"/>
    </xf>
    <xf numFmtId="190" fontId="68" fillId="7" borderId="35" xfId="2" applyFont="1" applyFill="1" applyBorder="1" applyAlignment="1">
      <alignment vertical="center"/>
    </xf>
    <xf numFmtId="190" fontId="98" fillId="8" borderId="29" xfId="2" applyFont="1" applyFill="1" applyBorder="1" applyAlignment="1">
      <alignment vertical="center"/>
    </xf>
    <xf numFmtId="190" fontId="98" fillId="8" borderId="31" xfId="2" applyFont="1" applyFill="1" applyBorder="1" applyAlignment="1">
      <alignment vertical="center"/>
    </xf>
    <xf numFmtId="190" fontId="68" fillId="8" borderId="29" xfId="2" applyFont="1" applyFill="1" applyBorder="1" applyAlignment="1">
      <alignment vertical="center"/>
    </xf>
    <xf numFmtId="190" fontId="68" fillId="8" borderId="33" xfId="2" applyFont="1" applyFill="1" applyBorder="1" applyAlignment="1">
      <alignment vertical="center"/>
    </xf>
    <xf numFmtId="190" fontId="98" fillId="8" borderId="33" xfId="2" applyFont="1" applyFill="1" applyBorder="1" applyAlignment="1">
      <alignment vertical="center"/>
    </xf>
    <xf numFmtId="190" fontId="68" fillId="8" borderId="35" xfId="2" applyFont="1" applyFill="1" applyBorder="1" applyAlignment="1">
      <alignment vertical="center"/>
    </xf>
    <xf numFmtId="190" fontId="68" fillId="7" borderId="31" xfId="2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92" fillId="0" borderId="0" xfId="4" applyNumberFormat="1" applyFont="1" applyFill="1" applyBorder="1" applyAlignment="1">
      <alignment horizontal="right" vertical="center"/>
    </xf>
    <xf numFmtId="0" fontId="92" fillId="0" borderId="36" xfId="4" applyNumberFormat="1" applyFont="1" applyFill="1" applyBorder="1" applyAlignment="1">
      <alignment vertical="center"/>
    </xf>
    <xf numFmtId="190" fontId="92" fillId="6" borderId="37" xfId="4" applyNumberFormat="1" applyFont="1" applyFill="1" applyBorder="1" applyAlignment="1">
      <alignment vertical="center"/>
    </xf>
    <xf numFmtId="190" fontId="92" fillId="6" borderId="37" xfId="4" applyNumberFormat="1" applyFont="1" applyFill="1" applyBorder="1" applyAlignment="1">
      <alignment horizontal="center" vertical="center" wrapText="1"/>
    </xf>
    <xf numFmtId="190" fontId="92" fillId="2" borderId="37" xfId="4" applyNumberFormat="1" applyFont="1" applyFill="1" applyBorder="1" applyAlignment="1">
      <alignment vertical="center"/>
    </xf>
    <xf numFmtId="190" fontId="92" fillId="8" borderId="37" xfId="4" applyNumberFormat="1" applyFont="1" applyFill="1" applyBorder="1" applyAlignment="1">
      <alignment vertical="center"/>
    </xf>
    <xf numFmtId="190" fontId="92" fillId="7" borderId="37" xfId="4" applyNumberFormat="1" applyFont="1" applyFill="1" applyBorder="1" applyAlignment="1">
      <alignment vertical="center"/>
    </xf>
    <xf numFmtId="190" fontId="98" fillId="6" borderId="32" xfId="2" applyFont="1" applyFill="1" applyBorder="1" applyAlignment="1">
      <alignment horizontal="right" vertical="center"/>
    </xf>
    <xf numFmtId="190" fontId="68" fillId="6" borderId="32" xfId="2" applyFont="1" applyFill="1" applyBorder="1" applyAlignment="1">
      <alignment horizontal="right" vertical="center"/>
    </xf>
    <xf numFmtId="190" fontId="98" fillId="2" borderId="32" xfId="2" applyFont="1" applyFill="1" applyBorder="1" applyAlignment="1">
      <alignment vertical="center"/>
    </xf>
    <xf numFmtId="190" fontId="68" fillId="2" borderId="32" xfId="2" applyFont="1" applyFill="1" applyBorder="1" applyAlignment="1">
      <alignment vertical="center"/>
    </xf>
    <xf numFmtId="190" fontId="98" fillId="8" borderId="32" xfId="2" applyFont="1" applyFill="1" applyBorder="1" applyAlignment="1">
      <alignment vertical="center"/>
    </xf>
    <xf numFmtId="190" fontId="68" fillId="8" borderId="32" xfId="4" applyNumberFormat="1" applyFill="1" applyBorder="1" applyAlignment="1">
      <alignment vertical="center"/>
    </xf>
    <xf numFmtId="190" fontId="98" fillId="7" borderId="32" xfId="2" applyFont="1" applyFill="1" applyBorder="1" applyAlignment="1">
      <alignment vertical="center"/>
    </xf>
    <xf numFmtId="190" fontId="68" fillId="7" borderId="32" xfId="2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190" fontId="92" fillId="6" borderId="32" xfId="4" applyNumberFormat="1" applyFont="1" applyFill="1" applyBorder="1" applyAlignment="1">
      <alignment vertical="center"/>
    </xf>
    <xf numFmtId="190" fontId="92" fillId="6" borderId="32" xfId="4" applyNumberFormat="1" applyFont="1" applyFill="1" applyBorder="1" applyAlignment="1">
      <alignment horizontal="center" vertical="center" wrapText="1"/>
    </xf>
    <xf numFmtId="190" fontId="92" fillId="2" borderId="32" xfId="4" applyNumberFormat="1" applyFont="1" applyFill="1" applyBorder="1" applyAlignment="1">
      <alignment vertical="center"/>
    </xf>
    <xf numFmtId="190" fontId="92" fillId="8" borderId="32" xfId="4" applyNumberFormat="1" applyFont="1" applyFill="1" applyBorder="1" applyAlignment="1">
      <alignment vertical="center"/>
    </xf>
    <xf numFmtId="190" fontId="92" fillId="7" borderId="32" xfId="4" applyNumberFormat="1" applyFont="1" applyFill="1" applyBorder="1" applyAlignment="1">
      <alignment vertical="center"/>
    </xf>
    <xf numFmtId="190" fontId="77" fillId="6" borderId="34" xfId="2" applyFont="1" applyFill="1" applyBorder="1" applyAlignment="1">
      <alignment vertical="center"/>
    </xf>
    <xf numFmtId="190" fontId="77" fillId="6" borderId="34" xfId="2" applyFont="1" applyFill="1" applyBorder="1" applyAlignment="1">
      <alignment horizontal="center" vertical="center" wrapText="1"/>
    </xf>
    <xf numFmtId="0" fontId="0" fillId="6" borderId="17" xfId="0" applyNumberFormat="1" applyFont="1" applyFill="1" applyBorder="1" applyAlignment="1">
      <alignment vertical="center"/>
    </xf>
    <xf numFmtId="0" fontId="0" fillId="6" borderId="17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9" fontId="0" fillId="6" borderId="0" xfId="1" applyNumberFormat="1" applyFont="1" applyFill="1" applyBorder="1" applyAlignment="1">
      <alignment horizontal="right" vertical="center"/>
    </xf>
    <xf numFmtId="0" fontId="0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90" fontId="0" fillId="6" borderId="0" xfId="2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190" fontId="68" fillId="6" borderId="29" xfId="4" applyNumberFormat="1" applyFill="1" applyBorder="1" applyAlignment="1">
      <alignment horizontal="right" vertical="center"/>
    </xf>
    <xf numFmtId="190" fontId="86" fillId="6" borderId="38" xfId="2" applyFont="1" applyFill="1" applyBorder="1" applyAlignment="1">
      <alignment vertical="center"/>
    </xf>
    <xf numFmtId="190" fontId="86" fillId="2" borderId="38" xfId="2" applyFont="1" applyFill="1" applyBorder="1" applyAlignment="1">
      <alignment vertical="center"/>
    </xf>
    <xf numFmtId="190" fontId="86" fillId="8" borderId="38" xfId="2" applyFont="1" applyFill="1" applyBorder="1" applyAlignment="1">
      <alignment vertical="center"/>
    </xf>
    <xf numFmtId="190" fontId="86" fillId="7" borderId="38" xfId="2" applyFont="1" applyFill="1" applyBorder="1" applyAlignment="1">
      <alignment vertical="center"/>
    </xf>
    <xf numFmtId="190" fontId="68" fillId="6" borderId="33" xfId="4" applyNumberFormat="1" applyFill="1" applyBorder="1" applyAlignment="1">
      <alignment vertical="center"/>
    </xf>
    <xf numFmtId="190" fontId="68" fillId="6" borderId="33" xfId="4" applyNumberFormat="1" applyFill="1" applyBorder="1" applyAlignment="1">
      <alignment horizontal="center" vertical="center" wrapText="1"/>
    </xf>
    <xf numFmtId="190" fontId="68" fillId="6" borderId="33" xfId="4" applyNumberFormat="1" applyFill="1" applyBorder="1" applyAlignment="1">
      <alignment horizontal="right" vertical="center"/>
    </xf>
    <xf numFmtId="190" fontId="68" fillId="2" borderId="33" xfId="4" applyNumberFormat="1" applyFill="1" applyBorder="1" applyAlignment="1">
      <alignment vertical="center"/>
    </xf>
    <xf numFmtId="190" fontId="68" fillId="7" borderId="33" xfId="4" applyNumberFormat="1" applyFill="1" applyBorder="1" applyAlignment="1">
      <alignment vertical="center"/>
    </xf>
    <xf numFmtId="190" fontId="68" fillId="0" borderId="0" xfId="4" applyNumberFormat="1"/>
    <xf numFmtId="0" fontId="0" fillId="0" borderId="0" xfId="0" applyAlignment="1">
      <alignment horizontal="center"/>
    </xf>
    <xf numFmtId="0" fontId="12" fillId="2" borderId="39" xfId="0" applyFont="1" applyFill="1" applyBorder="1" applyAlignment="1">
      <alignment vertical="center"/>
    </xf>
    <xf numFmtId="0" fontId="10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95" fillId="0" borderId="0" xfId="0" applyFont="1"/>
    <xf numFmtId="3" fontId="0" fillId="0" borderId="0" xfId="0" applyNumberForma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190" fontId="68" fillId="2" borderId="35" xfId="2" applyFont="1" applyFill="1" applyBorder="1" applyAlignment="1">
      <alignment vertical="center"/>
    </xf>
    <xf numFmtId="0" fontId="96" fillId="18" borderId="40" xfId="0" applyFont="1" applyFill="1" applyBorder="1" applyAlignment="1">
      <alignment horizontal="centerContinuous" vertical="center" wrapText="1"/>
    </xf>
    <xf numFmtId="0" fontId="13" fillId="18" borderId="39" xfId="0" applyFont="1" applyFill="1" applyBorder="1" applyAlignment="1">
      <alignment horizontal="centerContinuous" vertical="center" wrapText="1"/>
    </xf>
    <xf numFmtId="0" fontId="96" fillId="12" borderId="39" xfId="0" applyFont="1" applyFill="1" applyBorder="1" applyAlignment="1">
      <alignment horizontal="centerContinuous" vertical="center" wrapText="1"/>
    </xf>
    <xf numFmtId="0" fontId="13" fillId="12" borderId="39" xfId="0" applyFont="1" applyFill="1" applyBorder="1" applyAlignment="1">
      <alignment horizontal="centerContinuous" vertical="center" wrapText="1"/>
    </xf>
    <xf numFmtId="0" fontId="13" fillId="18" borderId="41" xfId="0" applyFont="1" applyFill="1" applyBorder="1" applyAlignment="1">
      <alignment horizontal="centerContinuous" vertical="center" wrapText="1"/>
    </xf>
    <xf numFmtId="0" fontId="96" fillId="18" borderId="39" xfId="0" applyFont="1" applyFill="1" applyBorder="1" applyAlignment="1">
      <alignment horizontal="centerContinuous" vertical="center" wrapText="1"/>
    </xf>
    <xf numFmtId="0" fontId="13" fillId="12" borderId="40" xfId="0" applyFont="1" applyFill="1" applyBorder="1" applyAlignment="1">
      <alignment horizontal="centerContinuous" vertical="center" wrapText="1"/>
    </xf>
    <xf numFmtId="0" fontId="13" fillId="12" borderId="41" xfId="0" applyFont="1" applyFill="1" applyBorder="1" applyAlignment="1">
      <alignment horizontal="centerContinuous" vertical="center" wrapText="1"/>
    </xf>
    <xf numFmtId="0" fontId="0" fillId="0" borderId="0" xfId="0" applyAlignment="1">
      <alignment horizontal="right" vertical="center"/>
    </xf>
    <xf numFmtId="0" fontId="96" fillId="16" borderId="40" xfId="0" applyFont="1" applyFill="1" applyBorder="1" applyAlignment="1">
      <alignment horizontal="centerContinuous" vertical="center" wrapText="1"/>
    </xf>
    <xf numFmtId="0" fontId="96" fillId="16" borderId="39" xfId="0" applyFont="1" applyFill="1" applyBorder="1" applyAlignment="1">
      <alignment horizontal="centerContinuous" vertical="center"/>
    </xf>
    <xf numFmtId="0" fontId="0" fillId="17" borderId="32" xfId="0" applyFill="1" applyBorder="1" applyAlignment="1">
      <alignment horizontal="center" vertical="center"/>
    </xf>
    <xf numFmtId="0" fontId="0" fillId="15" borderId="37" xfId="0" applyFill="1" applyBorder="1"/>
    <xf numFmtId="0" fontId="0" fillId="15" borderId="29" xfId="0" applyFill="1" applyBorder="1"/>
    <xf numFmtId="0" fontId="0" fillId="17" borderId="42" xfId="0" applyFont="1" applyFill="1" applyBorder="1" applyAlignment="1">
      <alignment horizontal="centerContinuous" vertical="center" wrapText="1"/>
    </xf>
    <xf numFmtId="0" fontId="0" fillId="17" borderId="36" xfId="0" applyFont="1" applyFill="1" applyBorder="1" applyAlignment="1">
      <alignment horizontal="centerContinuous" vertical="center" wrapText="1"/>
    </xf>
    <xf numFmtId="0" fontId="0" fillId="17" borderId="43" xfId="0" applyFont="1" applyFill="1" applyBorder="1" applyAlignment="1">
      <alignment horizontal="centerContinuous" vertical="center" wrapText="1"/>
    </xf>
    <xf numFmtId="0" fontId="16" fillId="17" borderId="44" xfId="0" applyFont="1" applyFill="1" applyBorder="1" applyAlignment="1">
      <alignment horizontal="centerContinuous" vertical="center"/>
    </xf>
    <xf numFmtId="0" fontId="16" fillId="17" borderId="30" xfId="0" applyFont="1" applyFill="1" applyBorder="1" applyAlignment="1">
      <alignment horizontal="centerContinuous" vertical="center"/>
    </xf>
    <xf numFmtId="0" fontId="16" fillId="17" borderId="45" xfId="0" applyFont="1" applyFill="1" applyBorder="1" applyAlignment="1">
      <alignment horizontal="centerContinuous" vertical="center"/>
    </xf>
    <xf numFmtId="0" fontId="12" fillId="6" borderId="46" xfId="0" applyFont="1" applyFill="1" applyBorder="1"/>
    <xf numFmtId="0" fontId="0" fillId="6" borderId="46" xfId="0" applyFont="1" applyFill="1" applyBorder="1"/>
    <xf numFmtId="0" fontId="103" fillId="0" borderId="0" xfId="0" applyFont="1" applyAlignment="1">
      <alignment vertical="center"/>
    </xf>
    <xf numFmtId="0" fontId="103" fillId="0" borderId="0" xfId="0" applyFont="1"/>
    <xf numFmtId="0" fontId="0" fillId="8" borderId="46" xfId="0" applyFill="1" applyBorder="1"/>
    <xf numFmtId="0" fontId="0" fillId="8" borderId="0" xfId="0" applyFont="1" applyFill="1" applyBorder="1"/>
    <xf numFmtId="0" fontId="0" fillId="8" borderId="0" xfId="0" applyFill="1" applyBorder="1"/>
    <xf numFmtId="0" fontId="0" fillId="8" borderId="47" xfId="0" applyFill="1" applyBorder="1"/>
    <xf numFmtId="0" fontId="12" fillId="8" borderId="46" xfId="0" applyFont="1" applyFill="1" applyBorder="1"/>
    <xf numFmtId="0" fontId="12" fillId="8" borderId="44" xfId="0" applyFont="1" applyFill="1" applyBorder="1"/>
    <xf numFmtId="0" fontId="0" fillId="12" borderId="39" xfId="0" applyFill="1" applyBorder="1"/>
    <xf numFmtId="0" fontId="0" fillId="12" borderId="41" xfId="0" applyFill="1" applyBorder="1"/>
    <xf numFmtId="0" fontId="20" fillId="8" borderId="0" xfId="0" applyFont="1" applyFill="1" applyBorder="1"/>
    <xf numFmtId="0" fontId="12" fillId="8" borderId="46" xfId="0" applyFont="1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190" fontId="0" fillId="6" borderId="30" xfId="2" applyFont="1" applyFill="1" applyBorder="1" applyAlignment="1">
      <alignment vertical="center"/>
    </xf>
    <xf numFmtId="0" fontId="20" fillId="7" borderId="0" xfId="0" applyFont="1" applyFill="1" applyBorder="1"/>
    <xf numFmtId="0" fontId="12" fillId="7" borderId="46" xfId="0" applyFont="1" applyFill="1" applyBorder="1"/>
    <xf numFmtId="0" fontId="0" fillId="6" borderId="44" xfId="0" applyFont="1" applyFill="1" applyBorder="1"/>
    <xf numFmtId="0" fontId="13" fillId="12" borderId="40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horizontal="right"/>
    </xf>
    <xf numFmtId="0" fontId="0" fillId="6" borderId="0" xfId="0" quotePrefix="1" applyFont="1" applyFill="1" applyBorder="1" applyAlignment="1">
      <alignment horizontal="right"/>
    </xf>
    <xf numFmtId="9" fontId="0" fillId="6" borderId="0" xfId="1" applyNumberFormat="1" applyFont="1" applyFill="1" applyBorder="1" applyAlignment="1">
      <alignment vertical="center"/>
    </xf>
    <xf numFmtId="0" fontId="0" fillId="6" borderId="0" xfId="0" applyNumberFormat="1" applyFont="1" applyFill="1" applyBorder="1"/>
    <xf numFmtId="190" fontId="0" fillId="7" borderId="0" xfId="2" applyNumberFormat="1" applyFont="1" applyFill="1" applyBorder="1" applyAlignment="1">
      <alignment vertical="center"/>
    </xf>
    <xf numFmtId="0" fontId="12" fillId="7" borderId="44" xfId="0" applyFont="1" applyFill="1" applyBorder="1"/>
    <xf numFmtId="0" fontId="0" fillId="6" borderId="0" xfId="0" applyNumberFormat="1" applyFont="1" applyFill="1" applyBorder="1" applyAlignment="1">
      <alignment vertical="center"/>
    </xf>
    <xf numFmtId="190" fontId="0" fillId="7" borderId="0" xfId="0" applyNumberFormat="1" applyFont="1" applyFill="1" applyBorder="1" applyAlignment="1">
      <alignment vertical="center"/>
    </xf>
    <xf numFmtId="0" fontId="0" fillId="16" borderId="30" xfId="0" applyFill="1" applyBorder="1"/>
    <xf numFmtId="0" fontId="20" fillId="0" borderId="0" xfId="0" applyFont="1" applyAlignment="1">
      <alignment horizontal="left"/>
    </xf>
    <xf numFmtId="0" fontId="32" fillId="4" borderId="0" xfId="6" applyFont="1" applyFill="1"/>
    <xf numFmtId="0" fontId="74" fillId="4" borderId="0" xfId="6" applyFont="1" applyFill="1"/>
    <xf numFmtId="0" fontId="74" fillId="4" borderId="0" xfId="6" applyFont="1" applyFill="1" applyBorder="1"/>
    <xf numFmtId="14" fontId="65" fillId="4" borderId="0" xfId="6" applyNumberFormat="1" applyFont="1" applyFill="1" applyBorder="1"/>
    <xf numFmtId="14" fontId="104" fillId="4" borderId="0" xfId="6" applyNumberFormat="1" applyFont="1" applyFill="1" applyBorder="1"/>
    <xf numFmtId="195" fontId="74" fillId="4" borderId="0" xfId="6" applyNumberFormat="1" applyFont="1" applyFill="1" applyBorder="1"/>
    <xf numFmtId="195" fontId="74" fillId="4" borderId="0" xfId="6" applyNumberFormat="1" applyFont="1" applyFill="1"/>
    <xf numFmtId="0" fontId="65" fillId="4" borderId="0" xfId="6" applyFont="1" applyFill="1"/>
    <xf numFmtId="0" fontId="65" fillId="4" borderId="0" xfId="6" applyFont="1" applyFill="1" applyBorder="1"/>
    <xf numFmtId="195" fontId="65" fillId="4" borderId="0" xfId="6" applyNumberFormat="1" applyFont="1" applyFill="1"/>
    <xf numFmtId="0" fontId="36" fillId="4" borderId="0" xfId="6" applyFont="1" applyFill="1"/>
    <xf numFmtId="0" fontId="37" fillId="4" borderId="0" xfId="6" applyFont="1" applyFill="1" applyAlignment="1">
      <alignment horizontal="left"/>
    </xf>
    <xf numFmtId="0" fontId="39" fillId="4" borderId="0" xfId="6" applyFont="1" applyFill="1"/>
    <xf numFmtId="0" fontId="37" fillId="4" borderId="0" xfId="6" applyFont="1" applyFill="1" applyAlignment="1">
      <alignment horizontal="right"/>
    </xf>
    <xf numFmtId="0" fontId="31" fillId="4" borderId="0" xfId="6" applyFill="1"/>
    <xf numFmtId="0" fontId="50" fillId="4" borderId="0" xfId="6" applyFont="1" applyFill="1" applyAlignment="1">
      <alignment horizontal="right"/>
    </xf>
    <xf numFmtId="195" fontId="36" fillId="4" borderId="0" xfId="6" applyNumberFormat="1" applyFont="1" applyFill="1"/>
    <xf numFmtId="0" fontId="37" fillId="4" borderId="0" xfId="6" applyFont="1" applyFill="1"/>
    <xf numFmtId="0" fontId="31" fillId="0" borderId="0" xfId="6"/>
    <xf numFmtId="0" fontId="106" fillId="4" borderId="0" xfId="6" applyFont="1" applyFill="1" applyAlignment="1">
      <alignment horizontal="right"/>
    </xf>
    <xf numFmtId="0" fontId="106" fillId="4" borderId="7" xfId="6" applyFont="1" applyFill="1" applyBorder="1" applyAlignment="1">
      <alignment horizontal="right"/>
    </xf>
    <xf numFmtId="195" fontId="55" fillId="4" borderId="4" xfId="6" applyNumberFormat="1" applyFont="1" applyFill="1" applyBorder="1"/>
    <xf numFmtId="0" fontId="55" fillId="4" borderId="4" xfId="6" applyFont="1" applyFill="1" applyBorder="1"/>
    <xf numFmtId="0" fontId="55" fillId="4" borderId="4" xfId="6" applyNumberFormat="1" applyFont="1" applyFill="1" applyBorder="1"/>
    <xf numFmtId="195" fontId="31" fillId="4" borderId="0" xfId="6" applyNumberFormat="1" applyFill="1"/>
    <xf numFmtId="0" fontId="40" fillId="4" borderId="0" xfId="6" applyFont="1" applyFill="1" applyAlignment="1">
      <alignment vertical="center"/>
    </xf>
    <xf numFmtId="172" fontId="36" fillId="4" borderId="0" xfId="6" applyNumberFormat="1" applyFont="1" applyFill="1" applyAlignment="1">
      <alignment vertical="center"/>
    </xf>
    <xf numFmtId="172" fontId="65" fillId="4" borderId="0" xfId="6" applyNumberFormat="1" applyFont="1" applyFill="1" applyBorder="1" applyAlignment="1">
      <alignment vertical="center"/>
    </xf>
    <xf numFmtId="195" fontId="31" fillId="4" borderId="0" xfId="6" applyNumberFormat="1" applyFill="1" applyBorder="1" applyAlignment="1">
      <alignment vertical="center"/>
    </xf>
    <xf numFmtId="195" fontId="65" fillId="4" borderId="0" xfId="6" applyNumberFormat="1" applyFont="1" applyFill="1" applyBorder="1" applyAlignment="1">
      <alignment vertical="center"/>
    </xf>
    <xf numFmtId="195" fontId="36" fillId="4" borderId="0" xfId="6" applyNumberFormat="1" applyFont="1" applyFill="1" applyBorder="1" applyAlignment="1">
      <alignment vertical="center"/>
    </xf>
    <xf numFmtId="195" fontId="31" fillId="4" borderId="0" xfId="6" applyNumberFormat="1" applyFill="1" applyAlignment="1">
      <alignment vertical="center"/>
    </xf>
    <xf numFmtId="0" fontId="31" fillId="4" borderId="0" xfId="6" applyFill="1" applyAlignment="1">
      <alignment vertical="center"/>
    </xf>
    <xf numFmtId="165" fontId="59" fillId="4" borderId="0" xfId="6" applyNumberFormat="1" applyFont="1" applyFill="1" applyAlignment="1">
      <alignment horizontal="right"/>
    </xf>
    <xf numFmtId="172" fontId="59" fillId="4" borderId="0" xfId="6" applyNumberFormat="1" applyFont="1" applyFill="1" applyAlignment="1">
      <alignment horizontal="right"/>
    </xf>
    <xf numFmtId="172" fontId="59" fillId="4" borderId="0" xfId="6" applyNumberFormat="1" applyFont="1" applyFill="1" applyBorder="1" applyAlignment="1">
      <alignment horizontal="right"/>
    </xf>
    <xf numFmtId="172" fontId="36" fillId="4" borderId="0" xfId="6" applyNumberFormat="1" applyFont="1" applyFill="1" applyBorder="1" applyAlignment="1">
      <alignment horizontal="right"/>
    </xf>
    <xf numFmtId="173" fontId="36" fillId="4" borderId="0" xfId="6" applyNumberFormat="1" applyFont="1" applyFill="1" applyBorder="1" applyAlignment="1">
      <alignment horizontal="right"/>
    </xf>
    <xf numFmtId="173" fontId="59" fillId="4" borderId="0" xfId="6" applyNumberFormat="1" applyFont="1" applyFill="1" applyBorder="1" applyAlignment="1">
      <alignment horizontal="right"/>
    </xf>
    <xf numFmtId="0" fontId="40" fillId="4" borderId="6" xfId="6" applyFont="1" applyFill="1" applyBorder="1" applyAlignment="1">
      <alignment vertical="center"/>
    </xf>
    <xf numFmtId="165" fontId="62" fillId="4" borderId="6" xfId="6" applyNumberFormat="1" applyFont="1" applyFill="1" applyBorder="1" applyAlignment="1">
      <alignment horizontal="right"/>
    </xf>
    <xf numFmtId="172" fontId="62" fillId="4" borderId="6" xfId="6" applyNumberFormat="1" applyFont="1" applyFill="1" applyBorder="1" applyAlignment="1">
      <alignment horizontal="right"/>
    </xf>
    <xf numFmtId="172" fontId="37" fillId="4" borderId="6" xfId="6" applyNumberFormat="1" applyFont="1" applyFill="1" applyBorder="1" applyAlignment="1">
      <alignment horizontal="right"/>
    </xf>
    <xf numFmtId="173" fontId="37" fillId="4" borderId="6" xfId="6" applyNumberFormat="1" applyFont="1" applyFill="1" applyBorder="1" applyAlignment="1">
      <alignment horizontal="right"/>
    </xf>
    <xf numFmtId="165" fontId="62" fillId="4" borderId="0" xfId="6" applyNumberFormat="1" applyFont="1" applyFill="1" applyAlignment="1">
      <alignment horizontal="right"/>
    </xf>
    <xf numFmtId="172" fontId="62" fillId="4" borderId="0" xfId="6" applyNumberFormat="1" applyFont="1" applyFill="1" applyAlignment="1">
      <alignment horizontal="right"/>
    </xf>
    <xf numFmtId="172" fontId="37" fillId="4" borderId="0" xfId="6" applyNumberFormat="1" applyFont="1" applyFill="1" applyAlignment="1">
      <alignment horizontal="right"/>
    </xf>
    <xf numFmtId="0" fontId="40" fillId="4" borderId="1" xfId="6" applyFont="1" applyFill="1" applyBorder="1" applyAlignment="1">
      <alignment vertical="center"/>
    </xf>
    <xf numFmtId="165" fontId="59" fillId="4" borderId="1" xfId="6" applyNumberFormat="1" applyFont="1" applyFill="1" applyBorder="1" applyAlignment="1">
      <alignment horizontal="right"/>
    </xf>
    <xf numFmtId="172" fontId="59" fillId="4" borderId="1" xfId="6" applyNumberFormat="1" applyFont="1" applyFill="1" applyBorder="1" applyAlignment="1">
      <alignment horizontal="right"/>
    </xf>
    <xf numFmtId="172" fontId="36" fillId="4" borderId="1" xfId="6" applyNumberFormat="1" applyFont="1" applyFill="1" applyBorder="1" applyAlignment="1">
      <alignment horizontal="right"/>
    </xf>
    <xf numFmtId="173" fontId="37" fillId="4" borderId="0" xfId="6" applyNumberFormat="1" applyFont="1" applyFill="1" applyAlignment="1">
      <alignment horizontal="right"/>
    </xf>
    <xf numFmtId="0" fontId="40" fillId="4" borderId="7" xfId="6" applyFont="1" applyFill="1" applyBorder="1" applyAlignment="1">
      <alignment vertical="center"/>
    </xf>
    <xf numFmtId="165" fontId="59" fillId="4" borderId="7" xfId="6" applyNumberFormat="1" applyFont="1" applyFill="1" applyBorder="1" applyAlignment="1">
      <alignment horizontal="right"/>
    </xf>
    <xf numFmtId="172" fontId="59" fillId="4" borderId="7" xfId="6" applyNumberFormat="1" applyFont="1" applyFill="1" applyBorder="1" applyAlignment="1">
      <alignment horizontal="right"/>
    </xf>
    <xf numFmtId="173" fontId="36" fillId="4" borderId="7" xfId="6" applyNumberFormat="1" applyFont="1" applyFill="1" applyBorder="1" applyAlignment="1">
      <alignment horizontal="right"/>
    </xf>
    <xf numFmtId="172" fontId="60" fillId="4" borderId="0" xfId="6" applyNumberFormat="1" applyFont="1" applyFill="1" applyAlignment="1">
      <alignment horizontal="right"/>
    </xf>
    <xf numFmtId="173" fontId="36" fillId="4" borderId="0" xfId="6" applyNumberFormat="1" applyFont="1" applyFill="1" applyAlignment="1">
      <alignment horizontal="right"/>
    </xf>
    <xf numFmtId="172" fontId="36" fillId="4" borderId="0" xfId="6" applyNumberFormat="1" applyFont="1" applyFill="1" applyAlignment="1">
      <alignment horizontal="right"/>
    </xf>
    <xf numFmtId="0" fontId="36" fillId="4" borderId="1" xfId="6" applyFont="1" applyFill="1" applyBorder="1"/>
    <xf numFmtId="173" fontId="36" fillId="4" borderId="1" xfId="6" applyNumberFormat="1" applyFont="1" applyFill="1" applyBorder="1" applyAlignment="1">
      <alignment horizontal="right"/>
    </xf>
    <xf numFmtId="165" fontId="62" fillId="4" borderId="7" xfId="6" applyNumberFormat="1" applyFont="1" applyFill="1" applyBorder="1" applyAlignment="1">
      <alignment horizontal="right"/>
    </xf>
    <xf numFmtId="172" fontId="62" fillId="4" borderId="7" xfId="6" applyNumberFormat="1" applyFont="1" applyFill="1" applyBorder="1" applyAlignment="1">
      <alignment horizontal="right"/>
    </xf>
    <xf numFmtId="172" fontId="62" fillId="4" borderId="7" xfId="6" applyNumberFormat="1" applyFont="1" applyFill="1" applyBorder="1" applyAlignment="1">
      <alignment horizontal="right" vertical="center"/>
    </xf>
    <xf numFmtId="173" fontId="37" fillId="4" borderId="7" xfId="6" applyNumberFormat="1" applyFont="1" applyFill="1" applyBorder="1" applyAlignment="1">
      <alignment horizontal="right" vertical="center"/>
    </xf>
    <xf numFmtId="172" fontId="37" fillId="4" borderId="7" xfId="6" applyNumberFormat="1" applyFont="1" applyFill="1" applyBorder="1" applyAlignment="1">
      <alignment horizontal="right" vertical="center"/>
    </xf>
    <xf numFmtId="0" fontId="40" fillId="4" borderId="0" xfId="6" applyFont="1" applyFill="1"/>
    <xf numFmtId="195" fontId="36" fillId="4" borderId="1" xfId="6" applyNumberFormat="1" applyFont="1" applyFill="1" applyBorder="1"/>
    <xf numFmtId="195" fontId="44" fillId="4" borderId="7" xfId="6" applyNumberFormat="1" applyFont="1" applyFill="1" applyBorder="1"/>
    <xf numFmtId="165" fontId="36" fillId="4" borderId="0" xfId="6" applyNumberFormat="1" applyFont="1" applyFill="1" applyAlignment="1">
      <alignment horizontal="right"/>
    </xf>
    <xf numFmtId="172" fontId="62" fillId="4" borderId="0" xfId="6" applyNumberFormat="1" applyFont="1" applyFill="1" applyAlignment="1">
      <alignment horizontal="right" vertical="center"/>
    </xf>
    <xf numFmtId="173" fontId="37" fillId="4" borderId="0" xfId="6" applyNumberFormat="1" applyFont="1" applyFill="1" applyAlignment="1">
      <alignment horizontal="right" vertical="center"/>
    </xf>
    <xf numFmtId="172" fontId="59" fillId="4" borderId="1" xfId="6" applyNumberFormat="1" applyFont="1" applyFill="1" applyBorder="1" applyAlignment="1">
      <alignment horizontal="right" vertical="center"/>
    </xf>
    <xf numFmtId="173" fontId="36" fillId="4" borderId="1" xfId="6" applyNumberFormat="1" applyFont="1" applyFill="1" applyBorder="1" applyAlignment="1">
      <alignment horizontal="right" vertical="center"/>
    </xf>
    <xf numFmtId="172" fontId="59" fillId="4" borderId="7" xfId="6" applyNumberFormat="1" applyFont="1" applyFill="1" applyBorder="1" applyAlignment="1">
      <alignment horizontal="right" vertical="center"/>
    </xf>
    <xf numFmtId="173" fontId="36" fillId="4" borderId="7" xfId="6" applyNumberFormat="1" applyFont="1" applyFill="1" applyBorder="1" applyAlignment="1">
      <alignment horizontal="right" vertical="center"/>
    </xf>
    <xf numFmtId="172" fontId="60" fillId="4" borderId="0" xfId="6" applyNumberFormat="1" applyFont="1" applyFill="1" applyAlignment="1">
      <alignment horizontal="right" vertical="center"/>
    </xf>
    <xf numFmtId="172" fontId="37" fillId="4" borderId="0" xfId="6" applyNumberFormat="1" applyFont="1" applyFill="1" applyAlignment="1">
      <alignment horizontal="right" vertical="center"/>
    </xf>
    <xf numFmtId="0" fontId="59" fillId="4" borderId="0" xfId="6" applyFont="1" applyFill="1"/>
    <xf numFmtId="0" fontId="59" fillId="4" borderId="0" xfId="6" applyFont="1" applyFill="1" applyAlignment="1">
      <alignment horizontal="right"/>
    </xf>
    <xf numFmtId="0" fontId="31" fillId="4" borderId="0" xfId="6" applyFont="1" applyFill="1" applyBorder="1" applyAlignment="1">
      <alignment horizontal="right"/>
    </xf>
    <xf numFmtId="0" fontId="31" fillId="4" borderId="0" xfId="6" applyFill="1" applyBorder="1" applyAlignment="1">
      <alignment horizontal="right"/>
    </xf>
    <xf numFmtId="0" fontId="65" fillId="4" borderId="0" xfId="6" applyFont="1" applyFill="1" applyBorder="1" applyAlignment="1">
      <alignment horizontal="right"/>
    </xf>
    <xf numFmtId="195" fontId="36" fillId="4" borderId="0" xfId="6" applyNumberFormat="1" applyFont="1" applyFill="1" applyBorder="1"/>
    <xf numFmtId="0" fontId="44" fillId="4" borderId="0" xfId="6" applyFont="1" applyFill="1"/>
    <xf numFmtId="0" fontId="36" fillId="4" borderId="0" xfId="6" applyFont="1" applyFill="1" applyAlignment="1">
      <alignment horizontal="right"/>
    </xf>
    <xf numFmtId="195" fontId="31" fillId="4" borderId="0" xfId="6" applyNumberFormat="1" applyFont="1" applyFill="1"/>
    <xf numFmtId="0" fontId="31" fillId="4" borderId="0" xfId="6" applyFont="1" applyFill="1"/>
    <xf numFmtId="0" fontId="31" fillId="4" borderId="0" xfId="6" applyFill="1" applyAlignment="1">
      <alignment horizontal="right"/>
    </xf>
    <xf numFmtId="195" fontId="37" fillId="4" borderId="0" xfId="6" applyNumberFormat="1" applyFont="1" applyFill="1" applyBorder="1"/>
    <xf numFmtId="0" fontId="31" fillId="4" borderId="0" xfId="6" applyFill="1" applyBorder="1"/>
    <xf numFmtId="0" fontId="31" fillId="0" borderId="0" xfId="6" applyFont="1"/>
    <xf numFmtId="195" fontId="55" fillId="4" borderId="0" xfId="6" applyNumberFormat="1" applyFont="1" applyFill="1"/>
    <xf numFmtId="0" fontId="55" fillId="4" borderId="0" xfId="6" applyFont="1" applyFill="1"/>
    <xf numFmtId="195" fontId="36" fillId="4" borderId="0" xfId="6" applyNumberFormat="1" applyFont="1" applyFill="1" applyAlignment="1">
      <alignment vertical="center"/>
    </xf>
    <xf numFmtId="195" fontId="60" fillId="4" borderId="0" xfId="6" applyNumberFormat="1" applyFont="1" applyFill="1" applyAlignment="1">
      <alignment vertical="center"/>
    </xf>
    <xf numFmtId="195" fontId="63" fillId="4" borderId="0" xfId="6" applyNumberFormat="1" applyFont="1" applyFill="1" applyBorder="1" applyAlignment="1">
      <alignment vertical="center"/>
    </xf>
    <xf numFmtId="165" fontId="59" fillId="4" borderId="0" xfId="6" applyNumberFormat="1" applyFont="1" applyFill="1"/>
    <xf numFmtId="172" fontId="59" fillId="4" borderId="0" xfId="6" applyNumberFormat="1" applyFont="1" applyFill="1"/>
    <xf numFmtId="172" fontId="36" fillId="4" borderId="0" xfId="6" applyNumberFormat="1" applyFont="1" applyFill="1"/>
    <xf numFmtId="173" fontId="36" fillId="4" borderId="0" xfId="6" applyNumberFormat="1" applyFont="1" applyFill="1"/>
    <xf numFmtId="165" fontId="36" fillId="4" borderId="0" xfId="6" applyNumberFormat="1" applyFont="1" applyFill="1"/>
    <xf numFmtId="172" fontId="59" fillId="4" borderId="1" xfId="6" quotePrefix="1" applyNumberFormat="1" applyFont="1" applyFill="1" applyBorder="1" applyAlignment="1">
      <alignment horizontal="right"/>
    </xf>
    <xf numFmtId="0" fontId="40" fillId="4" borderId="7" xfId="6" applyFont="1" applyFill="1" applyBorder="1"/>
    <xf numFmtId="165" fontId="62" fillId="4" borderId="7" xfId="6" applyNumberFormat="1" applyFont="1" applyFill="1" applyBorder="1"/>
    <xf numFmtId="172" fontId="62" fillId="4" borderId="7" xfId="6" applyNumberFormat="1" applyFont="1" applyFill="1" applyBorder="1"/>
    <xf numFmtId="173" fontId="37" fillId="4" borderId="7" xfId="6" applyNumberFormat="1" applyFont="1" applyFill="1" applyBorder="1"/>
    <xf numFmtId="0" fontId="40" fillId="4" borderId="9" xfId="6" applyFont="1" applyFill="1" applyBorder="1"/>
    <xf numFmtId="165" fontId="62" fillId="4" borderId="9" xfId="6" applyNumberFormat="1" applyFont="1" applyFill="1" applyBorder="1"/>
    <xf numFmtId="172" fontId="62" fillId="4" borderId="9" xfId="6" applyNumberFormat="1" applyFont="1" applyFill="1" applyBorder="1"/>
    <xf numFmtId="172" fontId="37" fillId="4" borderId="9" xfId="6" applyNumberFormat="1" applyFont="1" applyFill="1" applyBorder="1"/>
    <xf numFmtId="173" fontId="37" fillId="4" borderId="9" xfId="6" applyNumberFormat="1" applyFont="1" applyFill="1" applyBorder="1"/>
    <xf numFmtId="0" fontId="40" fillId="4" borderId="0" xfId="6" applyFont="1" applyFill="1" applyBorder="1"/>
    <xf numFmtId="165" fontId="62" fillId="4" borderId="0" xfId="6" applyNumberFormat="1" applyFont="1" applyFill="1" applyBorder="1"/>
    <xf numFmtId="172" fontId="62" fillId="4" borderId="0" xfId="6" applyNumberFormat="1" applyFont="1" applyFill="1" applyBorder="1"/>
    <xf numFmtId="173" fontId="37" fillId="4" borderId="0" xfId="6" applyNumberFormat="1" applyFont="1" applyFill="1" applyBorder="1"/>
    <xf numFmtId="172" fontId="60" fillId="4" borderId="0" xfId="6" applyNumberFormat="1" applyFont="1" applyFill="1"/>
    <xf numFmtId="165" fontId="59" fillId="4" borderId="1" xfId="6" applyNumberFormat="1" applyFont="1" applyFill="1" applyBorder="1"/>
    <xf numFmtId="172" fontId="59" fillId="4" borderId="1" xfId="6" applyNumberFormat="1" applyFont="1" applyFill="1" applyBorder="1"/>
    <xf numFmtId="173" fontId="36" fillId="4" borderId="1" xfId="6" applyNumberFormat="1" applyFont="1" applyFill="1" applyBorder="1"/>
    <xf numFmtId="165" fontId="62" fillId="4" borderId="0" xfId="6" applyNumberFormat="1" applyFont="1" applyFill="1"/>
    <xf numFmtId="172" fontId="62" fillId="4" borderId="0" xfId="6" applyNumberFormat="1" applyFont="1" applyFill="1"/>
    <xf numFmtId="173" fontId="37" fillId="4" borderId="0" xfId="6" applyNumberFormat="1" applyFont="1" applyFill="1"/>
    <xf numFmtId="165" fontId="62" fillId="4" borderId="0" xfId="6" applyNumberFormat="1" applyFont="1" applyFill="1" applyBorder="1" applyAlignment="1">
      <alignment horizontal="right"/>
    </xf>
    <xf numFmtId="172" fontId="62" fillId="4" borderId="0" xfId="6" applyNumberFormat="1" applyFont="1" applyFill="1" applyBorder="1" applyAlignment="1">
      <alignment horizontal="right"/>
    </xf>
    <xf numFmtId="173" fontId="37" fillId="4" borderId="0" xfId="6" applyNumberFormat="1" applyFont="1" applyFill="1" applyBorder="1" applyAlignment="1">
      <alignment horizontal="right"/>
    </xf>
    <xf numFmtId="0" fontId="40" fillId="4" borderId="0" xfId="6" applyFont="1" applyFill="1" applyAlignment="1"/>
    <xf numFmtId="172" fontId="60" fillId="4" borderId="0" xfId="6" applyNumberFormat="1" applyFont="1" applyFill="1" applyAlignment="1">
      <alignment vertical="center"/>
    </xf>
    <xf numFmtId="195" fontId="36" fillId="4" borderId="7" xfId="6" applyNumberFormat="1" applyFont="1" applyFill="1" applyBorder="1"/>
    <xf numFmtId="0" fontId="61" fillId="4" borderId="0" xfId="6" applyFont="1" applyFill="1"/>
    <xf numFmtId="0" fontId="73" fillId="4" borderId="0" xfId="6" applyFont="1" applyFill="1"/>
    <xf numFmtId="0" fontId="31" fillId="4" borderId="0" xfId="6" applyFont="1" applyFill="1" applyBorder="1"/>
    <xf numFmtId="0" fontId="40" fillId="4" borderId="0" xfId="6" applyFont="1" applyFill="1" applyAlignment="1">
      <alignment horizontal="right"/>
    </xf>
    <xf numFmtId="3" fontId="59" fillId="4" borderId="0" xfId="6" applyNumberFormat="1" applyFont="1" applyFill="1"/>
    <xf numFmtId="1" fontId="59" fillId="4" borderId="0" xfId="6" applyNumberFormat="1" applyFont="1" applyFill="1"/>
    <xf numFmtId="3" fontId="62" fillId="4" borderId="0" xfId="6" applyNumberFormat="1" applyFont="1" applyFill="1"/>
    <xf numFmtId="172" fontId="62" fillId="0" borderId="0" xfId="6" applyNumberFormat="1" applyFont="1" applyFill="1"/>
    <xf numFmtId="173" fontId="37" fillId="0" borderId="0" xfId="6" applyNumberFormat="1" applyFont="1" applyFill="1"/>
    <xf numFmtId="0" fontId="62" fillId="4" borderId="0" xfId="6" applyFont="1" applyFill="1"/>
    <xf numFmtId="172" fontId="58" fillId="4" borderId="0" xfId="6" applyNumberFormat="1" applyFont="1" applyFill="1"/>
    <xf numFmtId="165" fontId="58" fillId="4" borderId="0" xfId="6" applyNumberFormat="1" applyFont="1" applyFill="1" applyBorder="1"/>
    <xf numFmtId="172" fontId="63" fillId="4" borderId="0" xfId="6" applyNumberFormat="1" applyFont="1" applyFill="1" applyAlignment="1">
      <alignment horizontal="right"/>
    </xf>
    <xf numFmtId="0" fontId="58" fillId="4" borderId="0" xfId="6" applyFont="1" applyFill="1"/>
    <xf numFmtId="190" fontId="0" fillId="0" borderId="0" xfId="2" applyFont="1" applyAlignment="1">
      <alignment horizontal="right"/>
    </xf>
    <xf numFmtId="190" fontId="0" fillId="8" borderId="0" xfId="0" applyNumberFormat="1" applyFont="1" applyFill="1" applyBorder="1" applyAlignment="1">
      <alignment vertical="center"/>
    </xf>
    <xf numFmtId="10" fontId="0" fillId="6" borderId="0" xfId="1" applyNumberFormat="1" applyFont="1" applyFill="1" applyBorder="1" applyAlignment="1">
      <alignment horizontal="right" vertical="center"/>
    </xf>
    <xf numFmtId="10" fontId="0" fillId="6" borderId="17" xfId="1" applyNumberFormat="1" applyFont="1" applyFill="1" applyBorder="1" applyAlignment="1">
      <alignment horizontal="right" vertical="center"/>
    </xf>
    <xf numFmtId="0" fontId="28" fillId="0" borderId="0" xfId="0" applyFont="1"/>
    <xf numFmtId="190" fontId="92" fillId="6" borderId="32" xfId="4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68" fillId="0" borderId="0" xfId="4" applyNumberFormat="1" applyBorder="1" applyAlignment="1">
      <alignment vertical="center"/>
    </xf>
    <xf numFmtId="190" fontId="68" fillId="15" borderId="29" xfId="2" applyFont="1" applyFill="1" applyBorder="1" applyAlignment="1">
      <alignment vertical="center"/>
    </xf>
    <xf numFmtId="190" fontId="0" fillId="15" borderId="29" xfId="2" applyFont="1" applyFill="1" applyBorder="1" applyAlignment="1">
      <alignment vertical="center"/>
    </xf>
    <xf numFmtId="0" fontId="68" fillId="0" borderId="30" xfId="4" applyNumberFormat="1" applyBorder="1" applyAlignment="1">
      <alignment vertical="center"/>
    </xf>
    <xf numFmtId="0" fontId="68" fillId="0" borderId="0" xfId="4" applyNumberFormat="1" applyAlignment="1">
      <alignment vertical="center"/>
    </xf>
    <xf numFmtId="190" fontId="68" fillId="15" borderId="33" xfId="2" applyFont="1" applyFill="1" applyBorder="1" applyAlignment="1">
      <alignment vertical="center"/>
    </xf>
    <xf numFmtId="190" fontId="0" fillId="15" borderId="33" xfId="2" applyFont="1" applyFill="1" applyBorder="1" applyAlignment="1">
      <alignment vertical="center"/>
    </xf>
    <xf numFmtId="190" fontId="20" fillId="15" borderId="48" xfId="2" applyFont="1" applyFill="1" applyBorder="1" applyAlignment="1">
      <alignment vertical="center"/>
    </xf>
    <xf numFmtId="0" fontId="92" fillId="0" borderId="0" xfId="4" applyNumberFormat="1" applyFont="1" applyAlignment="1">
      <alignment vertical="center"/>
    </xf>
    <xf numFmtId="0" fontId="99" fillId="0" borderId="0" xfId="4" applyNumberFormat="1" applyFont="1" applyAlignment="1">
      <alignment vertical="center"/>
    </xf>
    <xf numFmtId="190" fontId="92" fillId="15" borderId="29" xfId="2" applyFont="1" applyFill="1" applyBorder="1" applyAlignment="1">
      <alignment vertical="center"/>
    </xf>
    <xf numFmtId="0" fontId="92" fillId="0" borderId="39" xfId="4" applyNumberFormat="1" applyFont="1" applyBorder="1" applyAlignment="1">
      <alignment vertical="center"/>
    </xf>
    <xf numFmtId="0" fontId="28" fillId="0" borderId="0" xfId="4" applyNumberFormat="1" applyFont="1" applyAlignment="1">
      <alignment vertical="center"/>
    </xf>
    <xf numFmtId="190" fontId="14" fillId="15" borderId="49" xfId="2" applyFont="1" applyFill="1" applyBorder="1" applyAlignment="1">
      <alignment vertical="center"/>
    </xf>
    <xf numFmtId="0" fontId="0" fillId="15" borderId="31" xfId="0" applyFill="1" applyBorder="1" applyAlignment="1">
      <alignment vertical="center"/>
    </xf>
    <xf numFmtId="1" fontId="0" fillId="6" borderId="19" xfId="2" applyNumberFormat="1" applyFont="1" applyFill="1" applyBorder="1" applyAlignment="1">
      <alignment vertical="center"/>
    </xf>
    <xf numFmtId="11" fontId="0" fillId="6" borderId="0" xfId="2" applyNumberFormat="1" applyFont="1" applyFill="1" applyBorder="1" applyAlignment="1">
      <alignment vertical="center"/>
    </xf>
    <xf numFmtId="11" fontId="0" fillId="6" borderId="0" xfId="2" applyNumberFormat="1" applyFont="1" applyFill="1" applyBorder="1" applyAlignment="1">
      <alignment horizontal="right" vertical="center"/>
    </xf>
    <xf numFmtId="196" fontId="0" fillId="6" borderId="27" xfId="1" applyFont="1" applyFill="1" applyBorder="1" applyAlignment="1">
      <alignment horizontal="right" vertical="center"/>
    </xf>
    <xf numFmtId="196" fontId="0" fillId="6" borderId="1" xfId="1" applyFont="1" applyFill="1" applyBorder="1" applyAlignment="1">
      <alignment horizontal="right" vertical="center"/>
    </xf>
    <xf numFmtId="0" fontId="92" fillId="0" borderId="39" xfId="4" applyNumberFormat="1" applyFont="1" applyFill="1" applyBorder="1" applyAlignment="1">
      <alignment horizontal="right" vertical="center"/>
    </xf>
    <xf numFmtId="0" fontId="92" fillId="0" borderId="39" xfId="4" applyNumberFormat="1" applyFont="1" applyFill="1" applyBorder="1" applyAlignment="1">
      <alignment vertical="center"/>
    </xf>
    <xf numFmtId="190" fontId="92" fillId="0" borderId="39" xfId="4" applyNumberFormat="1" applyFont="1" applyFill="1" applyBorder="1" applyAlignment="1">
      <alignment vertical="center"/>
    </xf>
    <xf numFmtId="190" fontId="92" fillId="0" borderId="39" xfId="4" applyNumberFormat="1" applyFont="1" applyBorder="1" applyAlignment="1">
      <alignment vertical="center"/>
    </xf>
    <xf numFmtId="190" fontId="92" fillId="15" borderId="32" xfId="4" applyNumberFormat="1" applyFont="1" applyFill="1" applyBorder="1" applyAlignment="1">
      <alignment vertical="center"/>
    </xf>
    <xf numFmtId="0" fontId="0" fillId="6" borderId="0" xfId="0" applyFont="1" applyFill="1" applyBorder="1"/>
    <xf numFmtId="0" fontId="20" fillId="0" borderId="16" xfId="0" applyFont="1" applyFill="1" applyBorder="1" applyAlignment="1">
      <alignment horizontal="center" vertical="center"/>
    </xf>
    <xf numFmtId="0" fontId="0" fillId="0" borderId="1" xfId="0" applyBorder="1"/>
    <xf numFmtId="0" fontId="25" fillId="0" borderId="0" xfId="0" applyFont="1" applyAlignment="1">
      <alignment horizontal="right"/>
    </xf>
    <xf numFmtId="9" fontId="0" fillId="6" borderId="14" xfId="1" applyNumberFormat="1" applyFont="1" applyFill="1" applyBorder="1" applyAlignment="1">
      <alignment vertical="center"/>
    </xf>
    <xf numFmtId="0" fontId="0" fillId="0" borderId="0" xfId="0" applyFont="1" applyAlignment="1">
      <alignment horizontal="right"/>
    </xf>
    <xf numFmtId="190" fontId="20" fillId="0" borderId="5" xfId="2" applyFont="1" applyBorder="1" applyAlignment="1">
      <alignment vertical="center"/>
    </xf>
    <xf numFmtId="190" fontId="20" fillId="0" borderId="5" xfId="2" applyFont="1" applyBorder="1" applyAlignment="1">
      <alignment horizontal="right" vertical="center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/>
    </xf>
    <xf numFmtId="0" fontId="20" fillId="0" borderId="0" xfId="0" applyFont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90" fontId="20" fillId="0" borderId="8" xfId="2" applyFont="1" applyBorder="1"/>
    <xf numFmtId="0" fontId="12" fillId="0" borderId="44" xfId="0" applyFont="1" applyFill="1" applyBorder="1"/>
    <xf numFmtId="0" fontId="0" fillId="0" borderId="0" xfId="0" applyFill="1"/>
    <xf numFmtId="192" fontId="20" fillId="0" borderId="8" xfId="0" applyNumberFormat="1" applyFont="1" applyBorder="1" applyAlignment="1">
      <alignment vertical="center"/>
    </xf>
    <xf numFmtId="192" fontId="0" fillId="0" borderId="0" xfId="0" applyNumberFormat="1" applyFont="1"/>
    <xf numFmtId="192" fontId="0" fillId="0" borderId="0" xfId="0" applyNumberFormat="1" applyFont="1" applyAlignment="1">
      <alignment vertical="center"/>
    </xf>
    <xf numFmtId="190" fontId="0" fillId="8" borderId="17" xfId="2" applyNumberFormat="1" applyFont="1" applyFill="1" applyBorder="1" applyAlignment="1">
      <alignment vertical="center"/>
    </xf>
    <xf numFmtId="192" fontId="0" fillId="0" borderId="0" xfId="0" applyNumberFormat="1" applyFont="1" applyAlignment="1">
      <alignment horizontal="right"/>
    </xf>
    <xf numFmtId="0" fontId="95" fillId="0" borderId="0" xfId="0" applyFont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left" vertical="center" wrapText="1"/>
    </xf>
    <xf numFmtId="190" fontId="68" fillId="15" borderId="29" xfId="4" applyNumberFormat="1" applyFill="1" applyBorder="1" applyAlignment="1">
      <alignment vertical="center"/>
    </xf>
    <xf numFmtId="190" fontId="68" fillId="0" borderId="0" xfId="4" applyNumberFormat="1" applyAlignment="1">
      <alignment vertical="center"/>
    </xf>
    <xf numFmtId="190" fontId="98" fillId="6" borderId="29" xfId="4" applyNumberFormat="1" applyFont="1" applyFill="1" applyBorder="1" applyAlignment="1">
      <alignment horizontal="right" vertical="center"/>
    </xf>
    <xf numFmtId="190" fontId="98" fillId="6" borderId="29" xfId="4" applyNumberFormat="1" applyFont="1" applyFill="1" applyBorder="1" applyAlignment="1">
      <alignment horizontal="right" vertical="center" wrapText="1"/>
    </xf>
    <xf numFmtId="190" fontId="98" fillId="2" borderId="29" xfId="4" applyNumberFormat="1" applyFont="1" applyFill="1" applyBorder="1" applyAlignment="1">
      <alignment vertical="center"/>
    </xf>
    <xf numFmtId="190" fontId="98" fillId="8" borderId="29" xfId="4" applyNumberFormat="1" applyFont="1" applyFill="1" applyBorder="1" applyAlignment="1">
      <alignment vertical="center"/>
    </xf>
    <xf numFmtId="190" fontId="98" fillId="7" borderId="29" xfId="4" applyNumberFormat="1" applyFont="1" applyFill="1" applyBorder="1" applyAlignment="1">
      <alignment vertical="center"/>
    </xf>
    <xf numFmtId="0" fontId="12" fillId="8" borderId="0" xfId="0" applyFont="1" applyFill="1" applyBorder="1"/>
    <xf numFmtId="190" fontId="0" fillId="0" borderId="0" xfId="2" applyFont="1" applyBorder="1" applyAlignment="1">
      <alignment vertical="center"/>
    </xf>
    <xf numFmtId="190" fontId="0" fillId="6" borderId="25" xfId="2" applyFont="1" applyFill="1" applyBorder="1" applyAlignment="1">
      <alignment horizontal="right" vertical="center"/>
    </xf>
    <xf numFmtId="0" fontId="0" fillId="0" borderId="0" xfId="0" applyFont="1" applyAlignment="1">
      <alignment horizontal="left"/>
    </xf>
    <xf numFmtId="193" fontId="0" fillId="0" borderId="0" xfId="2" applyNumberFormat="1" applyFont="1"/>
    <xf numFmtId="0" fontId="20" fillId="6" borderId="0" xfId="0" applyNumberFormat="1" applyFont="1" applyFill="1" applyBorder="1" applyAlignment="1">
      <alignment horizontal="left" vertical="center"/>
    </xf>
    <xf numFmtId="191" fontId="0" fillId="0" borderId="0" xfId="2" applyNumberFormat="1" applyFont="1"/>
    <xf numFmtId="0" fontId="0" fillId="0" borderId="0" xfId="0" applyFont="1" applyBorder="1" applyAlignment="1">
      <alignment horizontal="left" vertical="center" wrapText="1"/>
    </xf>
    <xf numFmtId="191" fontId="0" fillId="6" borderId="17" xfId="2" applyNumberFormat="1" applyFont="1" applyFill="1" applyBorder="1" applyAlignment="1">
      <alignment vertical="center"/>
    </xf>
    <xf numFmtId="191" fontId="0" fillId="6" borderId="14" xfId="2" applyNumberFormat="1" applyFont="1" applyFill="1" applyBorder="1" applyAlignment="1">
      <alignment vertical="center"/>
    </xf>
    <xf numFmtId="191" fontId="0" fillId="6" borderId="1" xfId="2" applyNumberFormat="1" applyFont="1" applyFill="1" applyBorder="1" applyAlignment="1">
      <alignment vertical="center"/>
    </xf>
    <xf numFmtId="191" fontId="0" fillId="6" borderId="28" xfId="2" applyNumberFormat="1" applyFont="1" applyFill="1" applyBorder="1" applyAlignment="1">
      <alignment vertical="center"/>
    </xf>
    <xf numFmtId="191" fontId="0" fillId="6" borderId="27" xfId="2" applyNumberFormat="1" applyFont="1" applyFill="1" applyBorder="1" applyAlignment="1">
      <alignment vertical="center"/>
    </xf>
    <xf numFmtId="191" fontId="0" fillId="6" borderId="0" xfId="2" applyNumberFormat="1" applyFont="1" applyFill="1" applyBorder="1"/>
    <xf numFmtId="191" fontId="0" fillId="6" borderId="1" xfId="2" applyNumberFormat="1" applyFont="1" applyFill="1" applyBorder="1"/>
    <xf numFmtId="0" fontId="0" fillId="6" borderId="0" xfId="0" quotePrefix="1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0" fillId="8" borderId="50" xfId="0" applyFill="1" applyBorder="1" applyAlignment="1">
      <alignment horizontal="left" vertical="center"/>
    </xf>
    <xf numFmtId="0" fontId="17" fillId="8" borderId="50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190" fontId="20" fillId="8" borderId="14" xfId="2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68" fillId="8" borderId="46" xfId="4" applyNumberFormat="1" applyFill="1" applyBorder="1"/>
    <xf numFmtId="0" fontId="68" fillId="8" borderId="0" xfId="4" applyNumberFormat="1" applyFill="1" applyBorder="1"/>
    <xf numFmtId="190" fontId="68" fillId="8" borderId="0" xfId="4" applyNumberFormat="1" applyFill="1" applyBorder="1"/>
    <xf numFmtId="190" fontId="68" fillId="8" borderId="47" xfId="4" applyNumberFormat="1" applyFill="1" applyBorder="1"/>
    <xf numFmtId="190" fontId="0" fillId="8" borderId="0" xfId="2" applyFont="1" applyFill="1" applyBorder="1"/>
    <xf numFmtId="190" fontId="0" fillId="8" borderId="47" xfId="2" applyFont="1" applyFill="1" applyBorder="1"/>
    <xf numFmtId="0" fontId="107" fillId="8" borderId="46" xfId="0" applyFont="1" applyFill="1" applyBorder="1" applyAlignment="1">
      <alignment vertical="center"/>
    </xf>
    <xf numFmtId="190" fontId="20" fillId="8" borderId="47" xfId="2" applyFont="1" applyFill="1" applyBorder="1" applyAlignment="1">
      <alignment vertical="center"/>
    </xf>
    <xf numFmtId="0" fontId="77" fillId="8" borderId="0" xfId="4" applyNumberFormat="1" applyFont="1" applyFill="1" applyBorder="1"/>
    <xf numFmtId="0" fontId="16" fillId="8" borderId="0" xfId="0" applyFont="1" applyFill="1" applyBorder="1"/>
    <xf numFmtId="0" fontId="112" fillId="8" borderId="0" xfId="0" applyFont="1" applyFill="1" applyBorder="1" applyAlignment="1">
      <alignment vertical="center"/>
    </xf>
    <xf numFmtId="0" fontId="0" fillId="2" borderId="0" xfId="0" applyFill="1" applyBorder="1"/>
    <xf numFmtId="0" fontId="0" fillId="0" borderId="0" xfId="0" applyFont="1" applyFill="1"/>
    <xf numFmtId="191" fontId="12" fillId="0" borderId="0" xfId="2" applyNumberFormat="1" applyFont="1" applyAlignment="1">
      <alignment vertical="center"/>
    </xf>
    <xf numFmtId="0" fontId="0" fillId="6" borderId="47" xfId="0" applyFont="1" applyFill="1" applyBorder="1"/>
    <xf numFmtId="0" fontId="0" fillId="6" borderId="30" xfId="0" applyFont="1" applyFill="1" applyBorder="1"/>
    <xf numFmtId="0" fontId="0" fillId="6" borderId="45" xfId="0" applyFont="1" applyFill="1" applyBorder="1"/>
    <xf numFmtId="0" fontId="68" fillId="0" borderId="39" xfId="4" applyNumberFormat="1" applyBorder="1" applyAlignment="1">
      <alignment vertical="center"/>
    </xf>
    <xf numFmtId="0" fontId="68" fillId="0" borderId="39" xfId="4" applyNumberFormat="1" applyFill="1" applyBorder="1" applyAlignment="1">
      <alignment horizontal="right" vertical="center"/>
    </xf>
    <xf numFmtId="0" fontId="68" fillId="0" borderId="39" xfId="4" applyNumberFormat="1" applyFill="1" applyBorder="1" applyAlignment="1">
      <alignment vertical="center"/>
    </xf>
    <xf numFmtId="0" fontId="0" fillId="0" borderId="39" xfId="0" applyBorder="1" applyAlignment="1">
      <alignment vertical="center"/>
    </xf>
    <xf numFmtId="190" fontId="68" fillId="0" borderId="39" xfId="4" applyNumberFormat="1" applyFill="1" applyBorder="1" applyAlignment="1">
      <alignment vertical="center"/>
    </xf>
    <xf numFmtId="190" fontId="0" fillId="0" borderId="39" xfId="2" applyFont="1" applyBorder="1" applyAlignment="1">
      <alignment vertical="center"/>
    </xf>
    <xf numFmtId="190" fontId="68" fillId="15" borderId="32" xfId="2" applyFont="1" applyFill="1" applyBorder="1" applyAlignment="1">
      <alignment vertical="center"/>
    </xf>
    <xf numFmtId="190" fontId="0" fillId="15" borderId="32" xfId="2" applyFont="1" applyFill="1" applyBorder="1" applyAlignment="1">
      <alignment vertical="center"/>
    </xf>
    <xf numFmtId="190" fontId="0" fillId="0" borderId="39" xfId="0" applyNumberFormat="1" applyBorder="1" applyAlignment="1">
      <alignment vertical="center"/>
    </xf>
    <xf numFmtId="190" fontId="92" fillId="15" borderId="32" xfId="2" applyFont="1" applyFill="1" applyBorder="1" applyAlignment="1">
      <alignment vertical="center"/>
    </xf>
    <xf numFmtId="0" fontId="33" fillId="4" borderId="0" xfId="6" applyFont="1" applyFill="1"/>
    <xf numFmtId="14" fontId="58" fillId="4" borderId="0" xfId="6" applyNumberFormat="1" applyFont="1" applyFill="1"/>
    <xf numFmtId="0" fontId="113" fillId="4" borderId="0" xfId="6" applyFont="1" applyFill="1"/>
    <xf numFmtId="0" fontId="31" fillId="4" borderId="7" xfId="6" applyFill="1" applyBorder="1"/>
    <xf numFmtId="0" fontId="57" fillId="4" borderId="4" xfId="6" applyFont="1" applyFill="1" applyBorder="1"/>
    <xf numFmtId="0" fontId="55" fillId="4" borderId="1" xfId="6" applyFont="1" applyFill="1" applyBorder="1"/>
    <xf numFmtId="0" fontId="38" fillId="4" borderId="0" xfId="6" applyFont="1" applyFill="1"/>
    <xf numFmtId="198" fontId="59" fillId="4" borderId="0" xfId="6" applyNumberFormat="1" applyFont="1" applyFill="1" applyAlignment="1">
      <alignment horizontal="right"/>
    </xf>
    <xf numFmtId="198" fontId="31" fillId="4" borderId="0" xfId="6" applyNumberFormat="1" applyFill="1"/>
    <xf numFmtId="199" fontId="59" fillId="4" borderId="0" xfId="6" applyNumberFormat="1" applyFont="1" applyFill="1" applyAlignment="1">
      <alignment horizontal="right"/>
    </xf>
    <xf numFmtId="0" fontId="36" fillId="4" borderId="0" xfId="6" applyFont="1" applyFill="1" applyBorder="1"/>
    <xf numFmtId="198" fontId="59" fillId="4" borderId="1" xfId="6" applyNumberFormat="1" applyFont="1" applyFill="1" applyBorder="1" applyAlignment="1">
      <alignment horizontal="right"/>
    </xf>
    <xf numFmtId="0" fontId="40" fillId="4" borderId="10" xfId="6" applyFont="1" applyFill="1" applyBorder="1"/>
    <xf numFmtId="198" fontId="62" fillId="4" borderId="10" xfId="6" applyNumberFormat="1" applyFont="1" applyFill="1" applyBorder="1" applyAlignment="1">
      <alignment horizontal="right"/>
    </xf>
    <xf numFmtId="199" fontId="62" fillId="4" borderId="10" xfId="6" applyNumberFormat="1" applyFont="1" applyFill="1" applyBorder="1" applyAlignment="1">
      <alignment horizontal="right"/>
    </xf>
    <xf numFmtId="0" fontId="55" fillId="4" borderId="10" xfId="6" applyFont="1" applyFill="1" applyBorder="1"/>
    <xf numFmtId="198" fontId="59" fillId="4" borderId="10" xfId="6" applyNumberFormat="1" applyFont="1" applyFill="1" applyBorder="1" applyAlignment="1">
      <alignment horizontal="right"/>
    </xf>
    <xf numFmtId="185" fontId="59" fillId="4" borderId="0" xfId="6" applyNumberFormat="1" applyFont="1" applyFill="1" applyAlignment="1">
      <alignment horizontal="right"/>
    </xf>
    <xf numFmtId="186" fontId="59" fillId="4" borderId="0" xfId="6" applyNumberFormat="1" applyFont="1" applyFill="1" applyAlignment="1">
      <alignment horizontal="right"/>
    </xf>
    <xf numFmtId="0" fontId="36" fillId="4" borderId="5" xfId="6" applyFont="1" applyFill="1" applyBorder="1"/>
    <xf numFmtId="185" fontId="59" fillId="4" borderId="5" xfId="6" applyNumberFormat="1" applyFont="1" applyFill="1" applyBorder="1" applyAlignment="1">
      <alignment horizontal="right"/>
    </xf>
    <xf numFmtId="186" fontId="59" fillId="4" borderId="5" xfId="6" applyNumberFormat="1" applyFont="1" applyFill="1" applyBorder="1" applyAlignment="1">
      <alignment horizontal="right"/>
    </xf>
    <xf numFmtId="185" fontId="62" fillId="4" borderId="10" xfId="6" applyNumberFormat="1" applyFont="1" applyFill="1" applyBorder="1" applyAlignment="1">
      <alignment horizontal="right"/>
    </xf>
    <xf numFmtId="186" fontId="62" fillId="4" borderId="10" xfId="6" applyNumberFormat="1" applyFont="1" applyFill="1" applyBorder="1" applyAlignment="1">
      <alignment horizontal="right"/>
    </xf>
    <xf numFmtId="185" fontId="59" fillId="4" borderId="10" xfId="6" applyNumberFormat="1" applyFont="1" applyFill="1" applyBorder="1" applyAlignment="1">
      <alignment horizontal="right"/>
    </xf>
    <xf numFmtId="0" fontId="60" fillId="4" borderId="0" xfId="6" applyFont="1" applyFill="1" applyBorder="1" applyAlignment="1">
      <alignment horizontal="right"/>
    </xf>
    <xf numFmtId="0" fontId="59" fillId="4" borderId="0" xfId="6" applyFont="1" applyFill="1" applyBorder="1" applyAlignment="1">
      <alignment horizontal="right"/>
    </xf>
    <xf numFmtId="198" fontId="60" fillId="4" borderId="0" xfId="6" applyNumberFormat="1" applyFont="1" applyFill="1" applyBorder="1" applyAlignment="1">
      <alignment horizontal="right"/>
    </xf>
    <xf numFmtId="198" fontId="59" fillId="4" borderId="0" xfId="6" applyNumberFormat="1" applyFont="1" applyFill="1" applyBorder="1" applyAlignment="1">
      <alignment horizontal="right"/>
    </xf>
    <xf numFmtId="199" fontId="59" fillId="4" borderId="0" xfId="6" applyNumberFormat="1" applyFont="1" applyFill="1" applyBorder="1" applyAlignment="1">
      <alignment horizontal="right"/>
    </xf>
    <xf numFmtId="0" fontId="36" fillId="4" borderId="7" xfId="6" applyFont="1" applyFill="1" applyBorder="1"/>
    <xf numFmtId="198" fontId="59" fillId="4" borderId="7" xfId="6" applyNumberFormat="1" applyFont="1" applyFill="1" applyBorder="1" applyAlignment="1">
      <alignment horizontal="right"/>
    </xf>
    <xf numFmtId="199" fontId="59" fillId="4" borderId="7" xfId="6" applyNumberFormat="1" applyFont="1" applyFill="1" applyBorder="1" applyAlignment="1">
      <alignment horizontal="right"/>
    </xf>
    <xf numFmtId="0" fontId="36" fillId="4" borderId="10" xfId="6" applyFont="1" applyFill="1" applyBorder="1"/>
    <xf numFmtId="0" fontId="37" fillId="4" borderId="0" xfId="6" applyFont="1" applyFill="1" applyBorder="1"/>
    <xf numFmtId="198" fontId="60" fillId="4" borderId="0" xfId="6" applyNumberFormat="1" applyFont="1" applyFill="1" applyBorder="1"/>
    <xf numFmtId="199" fontId="59" fillId="4" borderId="7" xfId="6" applyNumberFormat="1" applyFont="1" applyFill="1" applyBorder="1"/>
    <xf numFmtId="198" fontId="59" fillId="4" borderId="7" xfId="6" applyNumberFormat="1" applyFont="1" applyFill="1" applyBorder="1"/>
    <xf numFmtId="0" fontId="60" fillId="4" borderId="0" xfId="6" applyFont="1" applyFill="1"/>
    <xf numFmtId="0" fontId="66" fillId="4" borderId="0" xfId="6" applyFont="1" applyFill="1"/>
    <xf numFmtId="0" fontId="104" fillId="4" borderId="0" xfId="6" applyFont="1" applyFill="1"/>
    <xf numFmtId="0" fontId="58" fillId="4" borderId="0" xfId="6" applyFont="1" applyFill="1" applyBorder="1"/>
    <xf numFmtId="0" fontId="55" fillId="4" borderId="0" xfId="6" applyFont="1" applyFill="1" applyBorder="1"/>
    <xf numFmtId="0" fontId="57" fillId="4" borderId="0" xfId="6" applyFont="1" applyFill="1" applyBorder="1"/>
    <xf numFmtId="2" fontId="36" fillId="4" borderId="0" xfId="6" applyNumberFormat="1" applyFont="1" applyFill="1" applyBorder="1"/>
    <xf numFmtId="2" fontId="59" fillId="4" borderId="0" xfId="6" applyNumberFormat="1" applyFont="1" applyFill="1" applyBorder="1"/>
    <xf numFmtId="0" fontId="0" fillId="2" borderId="50" xfId="0" applyFill="1" applyBorder="1"/>
    <xf numFmtId="190" fontId="98" fillId="6" borderId="37" xfId="2" applyFont="1" applyFill="1" applyBorder="1" applyAlignment="1">
      <alignment horizontal="right" vertical="center"/>
    </xf>
    <xf numFmtId="190" fontId="68" fillId="6" borderId="37" xfId="2" applyFont="1" applyFill="1" applyBorder="1" applyAlignment="1">
      <alignment horizontal="right" vertical="center"/>
    </xf>
    <xf numFmtId="190" fontId="98" fillId="2" borderId="37" xfId="2" applyFont="1" applyFill="1" applyBorder="1" applyAlignment="1">
      <alignment vertical="center"/>
    </xf>
    <xf numFmtId="190" fontId="68" fillId="2" borderId="37" xfId="2" applyFont="1" applyFill="1" applyBorder="1" applyAlignment="1">
      <alignment vertical="center"/>
    </xf>
    <xf numFmtId="190" fontId="98" fillId="8" borderId="37" xfId="2" applyFont="1" applyFill="1" applyBorder="1" applyAlignment="1">
      <alignment vertical="center"/>
    </xf>
    <xf numFmtId="190" fontId="68" fillId="8" borderId="37" xfId="4" applyNumberFormat="1" applyFill="1" applyBorder="1" applyAlignment="1">
      <alignment vertical="center"/>
    </xf>
    <xf numFmtId="190" fontId="98" fillId="7" borderId="37" xfId="2" applyFont="1" applyFill="1" applyBorder="1" applyAlignment="1">
      <alignment vertical="center"/>
    </xf>
    <xf numFmtId="190" fontId="68" fillId="7" borderId="37" xfId="2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25" fillId="2" borderId="0" xfId="0" applyFont="1" applyFill="1" applyBorder="1"/>
    <xf numFmtId="0" fontId="25" fillId="0" borderId="0" xfId="0" applyFont="1" applyFill="1" applyBorder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25" fillId="2" borderId="0" xfId="0" applyFont="1" applyFill="1" applyAlignment="1">
      <alignment vertical="center"/>
    </xf>
    <xf numFmtId="191" fontId="12" fillId="2" borderId="0" xfId="2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0" fillId="2" borderId="50" xfId="0" applyFont="1" applyFill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0" fillId="2" borderId="14" xfId="0" applyFill="1" applyBorder="1" applyAlignment="1">
      <alignment vertical="center"/>
    </xf>
    <xf numFmtId="0" fontId="110" fillId="2" borderId="14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96" fillId="2" borderId="0" xfId="0" applyFont="1" applyFill="1" applyAlignment="1">
      <alignment vertical="center"/>
    </xf>
    <xf numFmtId="0" fontId="12" fillId="2" borderId="50" xfId="0" applyFont="1" applyFill="1" applyBorder="1" applyAlignment="1">
      <alignment vertical="center"/>
    </xf>
    <xf numFmtId="0" fontId="110" fillId="2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191" fontId="12" fillId="2" borderId="1" xfId="2" applyNumberFormat="1" applyFont="1" applyFill="1" applyBorder="1" applyAlignment="1">
      <alignment vertical="center"/>
    </xf>
    <xf numFmtId="0" fontId="115" fillId="19" borderId="0" xfId="0" applyFont="1" applyFill="1" applyAlignment="1">
      <alignment vertical="center"/>
    </xf>
    <xf numFmtId="0" fontId="116" fillId="19" borderId="0" xfId="0" applyFont="1" applyFill="1" applyAlignment="1">
      <alignment vertical="center"/>
    </xf>
    <xf numFmtId="0" fontId="115" fillId="19" borderId="0" xfId="0" applyFont="1" applyFill="1" applyAlignment="1">
      <alignment horizontal="centerContinuous" vertical="center"/>
    </xf>
    <xf numFmtId="0" fontId="116" fillId="19" borderId="0" xfId="0" applyFont="1" applyFill="1" applyAlignment="1">
      <alignment horizontal="centerContinuous" vertical="center"/>
    </xf>
    <xf numFmtId="0" fontId="0" fillId="0" borderId="0" xfId="0" applyFill="1" applyAlignment="1">
      <alignment vertical="center"/>
    </xf>
    <xf numFmtId="191" fontId="110" fillId="2" borderId="0" xfId="2" applyNumberFormat="1" applyFont="1" applyFill="1" applyAlignment="1">
      <alignment vertical="center"/>
    </xf>
    <xf numFmtId="0" fontId="20" fillId="2" borderId="50" xfId="0" applyFont="1" applyFill="1" applyBorder="1" applyAlignment="1">
      <alignment vertical="center"/>
    </xf>
    <xf numFmtId="0" fontId="0" fillId="2" borderId="50" xfId="0" applyFont="1" applyFill="1" applyBorder="1" applyAlignment="1">
      <alignment horizontal="right" vertical="center"/>
    </xf>
    <xf numFmtId="0" fontId="12" fillId="2" borderId="50" xfId="0" applyFont="1" applyFill="1" applyBorder="1"/>
    <xf numFmtId="0" fontId="117" fillId="2" borderId="50" xfId="0" applyFont="1" applyFill="1" applyBorder="1" applyAlignment="1">
      <alignment vertical="center"/>
    </xf>
    <xf numFmtId="9" fontId="0" fillId="6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/>
    </xf>
    <xf numFmtId="1" fontId="0" fillId="6" borderId="27" xfId="2" applyNumberFormat="1" applyFont="1" applyFill="1" applyBorder="1" applyAlignment="1">
      <alignment vertical="center"/>
    </xf>
    <xf numFmtId="9" fontId="0" fillId="6" borderId="27" xfId="1" applyNumberFormat="1" applyFont="1" applyFill="1" applyBorder="1" applyAlignment="1">
      <alignment vertical="center"/>
    </xf>
    <xf numFmtId="190" fontId="119" fillId="0" borderId="0" xfId="2" applyFont="1"/>
    <xf numFmtId="190" fontId="0" fillId="8" borderId="5" xfId="2" applyFont="1" applyFill="1" applyBorder="1" applyAlignment="1">
      <alignment horizontal="centerContinuous" vertical="center"/>
    </xf>
    <xf numFmtId="191" fontId="20" fillId="8" borderId="0" xfId="2" applyNumberFormat="1" applyFont="1" applyFill="1" applyBorder="1" applyAlignment="1">
      <alignment horizontal="centerContinuous" vertical="center"/>
    </xf>
    <xf numFmtId="190" fontId="0" fillId="8" borderId="15" xfId="2" applyFont="1" applyFill="1" applyBorder="1" applyAlignment="1">
      <alignment horizontal="center" vertical="center"/>
    </xf>
    <xf numFmtId="9" fontId="0" fillId="6" borderId="47" xfId="1" applyNumberFormat="1" applyFont="1" applyFill="1" applyBorder="1" applyAlignment="1">
      <alignment vertical="center"/>
    </xf>
    <xf numFmtId="9" fontId="0" fillId="6" borderId="47" xfId="1" applyNumberFormat="1" applyFont="1" applyFill="1" applyBorder="1" applyAlignment="1">
      <alignment horizontal="right" vertical="center"/>
    </xf>
    <xf numFmtId="0" fontId="93" fillId="0" borderId="0" xfId="0" applyFont="1" applyAlignment="1">
      <alignment vertical="center"/>
    </xf>
    <xf numFmtId="0" fontId="12" fillId="2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196" fontId="12" fillId="2" borderId="0" xfId="1" applyFont="1" applyFill="1" applyBorder="1" applyAlignment="1">
      <alignment vertical="center"/>
    </xf>
    <xf numFmtId="0" fontId="96" fillId="2" borderId="0" xfId="0" applyFont="1" applyFill="1" applyAlignment="1"/>
    <xf numFmtId="0" fontId="27" fillId="0" borderId="0" xfId="0" applyFont="1" applyFill="1" applyBorder="1" applyAlignment="1">
      <alignment horizontal="left" vertical="center"/>
    </xf>
    <xf numFmtId="164" fontId="0" fillId="0" borderId="0" xfId="0" applyNumberFormat="1" applyBorder="1"/>
    <xf numFmtId="194" fontId="28" fillId="6" borderId="0" xfId="2" applyNumberFormat="1" applyFont="1" applyFill="1" applyBorder="1" applyAlignment="1">
      <alignment vertical="center"/>
    </xf>
    <xf numFmtId="0" fontId="20" fillId="0" borderId="0" xfId="0" applyFont="1" applyBorder="1"/>
    <xf numFmtId="0" fontId="101" fillId="20" borderId="39" xfId="0" applyFont="1" applyFill="1" applyBorder="1" applyAlignment="1">
      <alignment vertical="center"/>
    </xf>
    <xf numFmtId="0" fontId="12" fillId="20" borderId="39" xfId="0" applyFont="1" applyFill="1" applyBorder="1" applyAlignment="1">
      <alignment vertical="center"/>
    </xf>
    <xf numFmtId="190" fontId="0" fillId="8" borderId="0" xfId="2" applyNumberFormat="1" applyFont="1" applyFill="1" applyBorder="1" applyAlignment="1">
      <alignment vertical="center"/>
    </xf>
    <xf numFmtId="0" fontId="25" fillId="6" borderId="0" xfId="0" applyFont="1" applyFill="1" applyBorder="1"/>
    <xf numFmtId="191" fontId="0" fillId="0" borderId="0" xfId="2" applyNumberFormat="1" applyFont="1" applyBorder="1" applyAlignment="1">
      <alignment vertical="center"/>
    </xf>
    <xf numFmtId="0" fontId="27" fillId="0" borderId="1" xfId="0" applyFont="1" applyFill="1" applyBorder="1" applyAlignment="1">
      <alignment horizontal="left" vertical="center"/>
    </xf>
    <xf numFmtId="191" fontId="0" fillId="0" borderId="1" xfId="2" applyNumberFormat="1" applyFont="1" applyBorder="1" applyAlignment="1">
      <alignment vertical="center"/>
    </xf>
    <xf numFmtId="11" fontId="0" fillId="0" borderId="0" xfId="2" applyNumberFormat="1" applyFont="1" applyBorder="1" applyAlignment="1">
      <alignment vertical="center"/>
    </xf>
    <xf numFmtId="191" fontId="0" fillId="0" borderId="0" xfId="2" applyNumberFormat="1" applyFont="1" applyBorder="1" applyAlignment="1">
      <alignment horizontal="left" vertical="center"/>
    </xf>
    <xf numFmtId="190" fontId="0" fillId="0" borderId="0" xfId="0" applyNumberFormat="1"/>
    <xf numFmtId="0" fontId="12" fillId="2" borderId="0" xfId="0" applyFont="1" applyFill="1" applyAlignment="1">
      <alignment horizontal="left" vertical="center"/>
    </xf>
    <xf numFmtId="196" fontId="12" fillId="2" borderId="0" xfId="1" applyFont="1" applyFill="1"/>
    <xf numFmtId="0" fontId="12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91" fontId="0" fillId="0" borderId="1" xfId="2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0" fillId="0" borderId="0" xfId="0" applyNumberFormat="1"/>
    <xf numFmtId="0" fontId="12" fillId="6" borderId="0" xfId="0" applyFont="1" applyFill="1" applyBorder="1"/>
    <xf numFmtId="11" fontId="0" fillId="0" borderId="0" xfId="2" applyNumberFormat="1" applyFont="1"/>
    <xf numFmtId="0" fontId="0" fillId="6" borderId="0" xfId="0" applyFont="1" applyFill="1" applyBorder="1" applyAlignment="1">
      <alignment horizontal="right" vertical="center"/>
    </xf>
    <xf numFmtId="0" fontId="0" fillId="0" borderId="8" xfId="0" applyBorder="1"/>
    <xf numFmtId="0" fontId="0" fillId="0" borderId="1" xfId="0" applyFont="1" applyBorder="1"/>
    <xf numFmtId="190" fontId="0" fillId="0" borderId="1" xfId="2" applyFont="1" applyBorder="1"/>
    <xf numFmtId="0" fontId="121" fillId="0" borderId="0" xfId="0" applyFont="1"/>
    <xf numFmtId="196" fontId="0" fillId="6" borderId="47" xfId="1" applyFont="1" applyFill="1" applyBorder="1" applyAlignment="1">
      <alignment vertical="center"/>
    </xf>
    <xf numFmtId="11" fontId="50" fillId="0" borderId="0" xfId="0" applyNumberFormat="1" applyFont="1" applyFill="1" applyBorder="1"/>
    <xf numFmtId="11" fontId="0" fillId="6" borderId="17" xfId="2" applyNumberFormat="1" applyFont="1" applyFill="1" applyBorder="1" applyAlignment="1">
      <alignment horizontal="right" vertical="center"/>
    </xf>
    <xf numFmtId="0" fontId="122" fillId="0" borderId="0" xfId="0" applyFont="1" applyBorder="1"/>
    <xf numFmtId="0" fontId="122" fillId="0" borderId="0" xfId="0" applyFont="1" applyBorder="1" applyAlignment="1">
      <alignment vertical="center"/>
    </xf>
    <xf numFmtId="0" fontId="122" fillId="0" borderId="0" xfId="0" applyFont="1" applyBorder="1" applyAlignment="1">
      <alignment horizontal="left" vertical="center" wrapText="1"/>
    </xf>
    <xf numFmtId="191" fontId="12" fillId="2" borderId="0" xfId="2" applyNumberFormat="1" applyFont="1" applyFill="1" applyBorder="1" applyAlignment="1">
      <alignment vertical="center"/>
    </xf>
    <xf numFmtId="192" fontId="25" fillId="0" borderId="0" xfId="0" applyNumberFormat="1" applyFont="1"/>
    <xf numFmtId="0" fontId="95" fillId="0" borderId="8" xfId="0" applyFont="1" applyBorder="1" applyAlignment="1">
      <alignment horizontal="right" vertical="center"/>
    </xf>
    <xf numFmtId="0" fontId="0" fillId="2" borderId="0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vertic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191" fontId="118" fillId="2" borderId="0" xfId="2" applyNumberFormat="1" applyFont="1" applyFill="1" applyAlignment="1">
      <alignment vertical="center"/>
    </xf>
    <xf numFmtId="191" fontId="117" fillId="2" borderId="14" xfId="0" applyNumberFormat="1" applyFont="1" applyFill="1" applyBorder="1" applyAlignment="1">
      <alignment vertical="center"/>
    </xf>
    <xf numFmtId="0" fontId="123" fillId="2" borderId="50" xfId="0" applyFont="1" applyFill="1" applyBorder="1" applyAlignment="1">
      <alignment vertical="center"/>
    </xf>
    <xf numFmtId="196" fontId="109" fillId="2" borderId="0" xfId="1" applyFont="1" applyFill="1" applyAlignment="1">
      <alignment vertical="center"/>
    </xf>
    <xf numFmtId="196" fontId="123" fillId="2" borderId="14" xfId="1" applyNumberFormat="1" applyFont="1" applyFill="1" applyBorder="1" applyAlignment="1">
      <alignment vertical="center"/>
    </xf>
    <xf numFmtId="0" fontId="94" fillId="2" borderId="1" xfId="0" applyFont="1" applyFill="1" applyBorder="1" applyAlignment="1">
      <alignment vertical="center"/>
    </xf>
    <xf numFmtId="196" fontId="118" fillId="2" borderId="1" xfId="1" applyFont="1" applyFill="1" applyBorder="1" applyAlignment="1">
      <alignment vertical="center"/>
    </xf>
    <xf numFmtId="0" fontId="15" fillId="2" borderId="0" xfId="0" applyFont="1" applyFill="1" applyAlignment="1"/>
    <xf numFmtId="0" fontId="15" fillId="2" borderId="0" xfId="0" applyFont="1" applyFill="1" applyAlignment="1">
      <alignment vertical="center"/>
    </xf>
    <xf numFmtId="0" fontId="97" fillId="12" borderId="0" xfId="0" applyFont="1" applyFill="1" applyAlignment="1">
      <alignment vertical="center"/>
    </xf>
    <xf numFmtId="0" fontId="116" fillId="12" borderId="0" xfId="0" applyFont="1" applyFill="1" applyAlignment="1">
      <alignment vertical="center"/>
    </xf>
    <xf numFmtId="0" fontId="110" fillId="0" borderId="0" xfId="0" applyFont="1"/>
    <xf numFmtId="0" fontId="125" fillId="0" borderId="0" xfId="0" applyFont="1" applyAlignment="1">
      <alignment vertical="center"/>
    </xf>
    <xf numFmtId="0" fontId="126" fillId="0" borderId="0" xfId="0" applyFont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0" borderId="0" xfId="0"/>
    <xf numFmtId="0" fontId="0" fillId="0" borderId="0" xfId="0"/>
    <xf numFmtId="190" fontId="0" fillId="6" borderId="1" xfId="2" applyFont="1" applyFill="1" applyBorder="1" applyAlignment="1">
      <alignment horizontal="right" vertical="center"/>
    </xf>
    <xf numFmtId="191" fontId="0" fillId="25" borderId="0" xfId="2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0" fontId="110" fillId="2" borderId="0" xfId="0" applyFont="1" applyFill="1" applyBorder="1" applyAlignment="1">
      <alignment vertical="center"/>
    </xf>
    <xf numFmtId="0" fontId="12" fillId="2" borderId="0" xfId="0" applyFont="1" applyFill="1" applyBorder="1"/>
    <xf numFmtId="2" fontId="12" fillId="2" borderId="0" xfId="1" applyNumberFormat="1" applyFont="1" applyFill="1"/>
    <xf numFmtId="0" fontId="20" fillId="25" borderId="0" xfId="0" applyFont="1" applyFill="1" applyBorder="1"/>
    <xf numFmtId="0" fontId="12" fillId="25" borderId="44" xfId="0" applyFont="1" applyFill="1" applyBorder="1"/>
    <xf numFmtId="0" fontId="127" fillId="0" borderId="0" xfId="0" applyFont="1" applyBorder="1"/>
    <xf numFmtId="0" fontId="127" fillId="0" borderId="0" xfId="0" applyFont="1" applyBorder="1" applyAlignment="1">
      <alignment vertical="center"/>
    </xf>
    <xf numFmtId="0" fontId="127" fillId="0" borderId="0" xfId="0" applyFont="1" applyBorder="1" applyAlignment="1">
      <alignment horizontal="left" vertical="center" wrapText="1"/>
    </xf>
    <xf numFmtId="191" fontId="0" fillId="0" borderId="0" xfId="0" applyNumberFormat="1"/>
    <xf numFmtId="196" fontId="7" fillId="2" borderId="0" xfId="1" applyFont="1" applyFill="1"/>
    <xf numFmtId="2" fontId="12" fillId="2" borderId="1" xfId="1" applyNumberFormat="1" applyFont="1" applyFill="1" applyBorder="1"/>
    <xf numFmtId="196" fontId="12" fillId="2" borderId="0" xfId="1" applyFont="1" applyFill="1" applyAlignment="1">
      <alignment horizontal="right" vertical="center"/>
    </xf>
    <xf numFmtId="191" fontId="12" fillId="2" borderId="0" xfId="2" applyNumberFormat="1" applyFont="1" applyFill="1" applyAlignment="1">
      <alignment horizontal="right" vertical="center"/>
    </xf>
    <xf numFmtId="191" fontId="12" fillId="2" borderId="0" xfId="2" applyNumberFormat="1" applyFont="1" applyFill="1" applyAlignment="1">
      <alignment horizontal="right"/>
    </xf>
    <xf numFmtId="191" fontId="12" fillId="2" borderId="1" xfId="2" applyNumberFormat="1" applyFont="1" applyFill="1" applyBorder="1" applyAlignment="1">
      <alignment horizontal="right" vertical="center"/>
    </xf>
    <xf numFmtId="191" fontId="12" fillId="2" borderId="1" xfId="2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13" fillId="18" borderId="0" xfId="0" applyFont="1" applyFill="1" applyAlignment="1">
      <alignment vertical="center" wrapText="1"/>
    </xf>
    <xf numFmtId="190" fontId="20" fillId="0" borderId="0" xfId="2" applyFont="1" applyBorder="1"/>
    <xf numFmtId="191" fontId="0" fillId="6" borderId="24" xfId="2" applyNumberFormat="1" applyFont="1" applyFill="1" applyBorder="1" applyAlignment="1">
      <alignment vertical="center"/>
    </xf>
    <xf numFmtId="191" fontId="0" fillId="6" borderId="1" xfId="2" applyNumberFormat="1" applyFont="1" applyFill="1" applyBorder="1" applyAlignment="1">
      <alignment horizontal="right" vertical="center"/>
    </xf>
    <xf numFmtId="0" fontId="13" fillId="18" borderId="0" xfId="0" applyFont="1" applyFill="1" applyAlignment="1">
      <alignment horizontal="center" vertical="center" wrapText="1"/>
    </xf>
    <xf numFmtId="0" fontId="130" fillId="0" borderId="0" xfId="0" applyFont="1" applyBorder="1"/>
    <xf numFmtId="0" fontId="130" fillId="0" borderId="0" xfId="0" applyFont="1" applyBorder="1" applyAlignment="1">
      <alignment vertical="center"/>
    </xf>
    <xf numFmtId="0" fontId="130" fillId="0" borderId="0" xfId="0" applyFont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20" fillId="11" borderId="29" xfId="0" applyFont="1" applyFill="1" applyBorder="1" applyAlignment="1">
      <alignment horizontal="center" textRotation="90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left" vertical="center"/>
    </xf>
    <xf numFmtId="0" fontId="25" fillId="0" borderId="53" xfId="0" applyFont="1" applyBorder="1" applyAlignment="1">
      <alignment vertical="center"/>
    </xf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0" fontId="116" fillId="19" borderId="0" xfId="0" applyFont="1" applyFill="1" applyAlignment="1">
      <alignment horizontal="left" vertical="top"/>
    </xf>
    <xf numFmtId="0" fontId="96" fillId="2" borderId="0" xfId="0" applyFont="1" applyFill="1" applyBorder="1" applyAlignment="1"/>
    <xf numFmtId="0" fontId="15" fillId="2" borderId="0" xfId="0" applyFont="1" applyFill="1" applyBorder="1" applyAlignment="1"/>
    <xf numFmtId="0" fontId="96" fillId="2" borderId="0" xfId="0" applyFont="1" applyFill="1" applyBorder="1" applyAlignment="1">
      <alignment vertical="center"/>
    </xf>
    <xf numFmtId="0" fontId="110" fillId="2" borderId="0" xfId="0" applyFont="1" applyFill="1" applyBorder="1" applyAlignment="1">
      <alignment horizontal="left" vertical="center"/>
    </xf>
    <xf numFmtId="0" fontId="101" fillId="2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101" fillId="2" borderId="0" xfId="0" applyFont="1" applyFill="1" applyBorder="1" applyAlignment="1">
      <alignment vertical="center"/>
    </xf>
    <xf numFmtId="196" fontId="101" fillId="2" borderId="0" xfId="1" applyFont="1" applyFill="1" applyBorder="1" applyAlignment="1">
      <alignment vertical="center"/>
    </xf>
    <xf numFmtId="191" fontId="101" fillId="2" borderId="0" xfId="2" applyNumberFormat="1" applyFont="1" applyFill="1" applyBorder="1" applyAlignment="1">
      <alignment vertical="center"/>
    </xf>
    <xf numFmtId="0" fontId="91" fillId="2" borderId="0" xfId="0" applyFont="1" applyFill="1" applyAlignment="1">
      <alignment vertical="center"/>
    </xf>
    <xf numFmtId="0" fontId="0" fillId="0" borderId="0" xfId="0"/>
    <xf numFmtId="0" fontId="124" fillId="27" borderId="58" xfId="0" applyFont="1" applyFill="1" applyBorder="1" applyAlignment="1">
      <alignment vertical="center"/>
    </xf>
    <xf numFmtId="0" fontId="124" fillId="27" borderId="59" xfId="0" applyFont="1" applyFill="1" applyBorder="1" applyAlignment="1">
      <alignment horizontal="left" vertical="center" wrapText="1"/>
    </xf>
    <xf numFmtId="0" fontId="0" fillId="28" borderId="47" xfId="0" applyFill="1" applyBorder="1"/>
    <xf numFmtId="0" fontId="0" fillId="28" borderId="47" xfId="0" applyFill="1" applyBorder="1" applyAlignment="1">
      <alignment vertical="center"/>
    </xf>
    <xf numFmtId="0" fontId="0" fillId="28" borderId="0" xfId="0" applyFont="1" applyFill="1" applyBorder="1" applyAlignment="1">
      <alignment horizontal="left" vertical="center" wrapText="1"/>
    </xf>
    <xf numFmtId="0" fontId="20" fillId="0" borderId="51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1" fontId="0" fillId="0" borderId="54" xfId="2" applyNumberFormat="1" applyFont="1" applyBorder="1" applyAlignment="1">
      <alignment vertical="center"/>
    </xf>
    <xf numFmtId="0" fontId="0" fillId="0" borderId="55" xfId="0" applyBorder="1" applyAlignment="1">
      <alignment vertical="center"/>
    </xf>
    <xf numFmtId="11" fontId="0" fillId="0" borderId="56" xfId="2" applyNumberFormat="1" applyFont="1" applyBorder="1" applyAlignment="1">
      <alignment vertical="center"/>
    </xf>
    <xf numFmtId="0" fontId="0" fillId="0" borderId="0" xfId="0"/>
    <xf numFmtId="0" fontId="0" fillId="6" borderId="0" xfId="0" applyFill="1"/>
    <xf numFmtId="0" fontId="132" fillId="0" borderId="0" xfId="230" applyAlignment="1" applyProtection="1">
      <alignment vertical="center"/>
    </xf>
    <xf numFmtId="0" fontId="0" fillId="0" borderId="0" xfId="0"/>
    <xf numFmtId="0" fontId="17" fillId="0" borderId="0" xfId="0" applyNumberFormat="1" applyFont="1" applyFill="1" applyBorder="1" applyAlignment="1">
      <alignment horizontal="right" vertical="center"/>
    </xf>
    <xf numFmtId="191" fontId="0" fillId="6" borderId="19" xfId="2" applyNumberFormat="1" applyFont="1" applyFill="1" applyBorder="1" applyAlignment="1">
      <alignment horizontal="right" vertical="center"/>
    </xf>
    <xf numFmtId="191" fontId="0" fillId="6" borderId="27" xfId="2" applyNumberFormat="1" applyFont="1" applyFill="1" applyBorder="1" applyAlignment="1">
      <alignment horizontal="right" vertical="center"/>
    </xf>
    <xf numFmtId="190" fontId="0" fillId="0" borderId="0" xfId="2" applyFont="1" applyAlignment="1">
      <alignment horizontal="right" vertical="center"/>
    </xf>
    <xf numFmtId="190" fontId="0" fillId="0" borderId="1" xfId="2" applyFont="1" applyBorder="1" applyAlignment="1">
      <alignment vertical="center"/>
    </xf>
    <xf numFmtId="191" fontId="0" fillId="25" borderId="0" xfId="2" applyNumberFormat="1" applyFont="1" applyFill="1" applyAlignment="1">
      <alignment vertical="center"/>
    </xf>
    <xf numFmtId="196" fontId="0" fillId="6" borderId="60" xfId="1" applyFont="1" applyFill="1" applyBorder="1" applyAlignment="1">
      <alignment vertical="center"/>
    </xf>
    <xf numFmtId="0" fontId="0" fillId="6" borderId="0" xfId="0" applyNumberForma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applyFill="1" applyBorder="1"/>
    <xf numFmtId="0" fontId="20" fillId="6" borderId="0" xfId="0" applyFont="1" applyFill="1" applyBorder="1"/>
    <xf numFmtId="0" fontId="20" fillId="6" borderId="0" xfId="0" applyFont="1" applyFill="1" applyBorder="1" applyAlignment="1">
      <alignment vertical="center"/>
    </xf>
    <xf numFmtId="0" fontId="20" fillId="6" borderId="46" xfId="0" applyFont="1" applyFill="1" applyBorder="1"/>
    <xf numFmtId="0" fontId="103" fillId="0" borderId="0" xfId="0" applyFont="1"/>
    <xf numFmtId="0" fontId="0" fillId="0" borderId="0" xfId="0" applyAlignment="1">
      <alignment horizontal="right"/>
    </xf>
    <xf numFmtId="0" fontId="20" fillId="0" borderId="0" xfId="0" applyFont="1"/>
    <xf numFmtId="190" fontId="0" fillId="0" borderId="0" xfId="2" applyFont="1" applyAlignment="1">
      <alignment vertical="center"/>
    </xf>
    <xf numFmtId="0" fontId="12" fillId="25" borderId="46" xfId="0" applyFont="1" applyFill="1" applyBorder="1"/>
    <xf numFmtId="0" fontId="0" fillId="25" borderId="0" xfId="0" applyFont="1" applyFill="1" applyBorder="1" applyAlignment="1">
      <alignment vertical="center"/>
    </xf>
    <xf numFmtId="0" fontId="20" fillId="25" borderId="0" xfId="0" applyFont="1" applyFill="1"/>
    <xf numFmtId="0" fontId="15" fillId="25" borderId="46" xfId="0" applyFont="1" applyFill="1" applyBorder="1"/>
    <xf numFmtId="0" fontId="20" fillId="0" borderId="0" xfId="789" applyFont="1" applyFill="1" applyBorder="1" applyAlignment="1">
      <alignment horizontal="left"/>
    </xf>
    <xf numFmtId="0" fontId="0" fillId="0" borderId="0" xfId="0"/>
    <xf numFmtId="191" fontId="0" fillId="6" borderId="19" xfId="2" applyNumberFormat="1" applyFont="1" applyFill="1" applyBorder="1"/>
    <xf numFmtId="191" fontId="0" fillId="6" borderId="28" xfId="2" applyNumberFormat="1" applyFont="1" applyFill="1" applyBorder="1"/>
    <xf numFmtId="191" fontId="0" fillId="6" borderId="14" xfId="2" applyNumberFormat="1" applyFont="1" applyFill="1" applyBorder="1"/>
    <xf numFmtId="191" fontId="0" fillId="6" borderId="27" xfId="2" applyNumberFormat="1" applyFont="1" applyFill="1" applyBorder="1"/>
    <xf numFmtId="0" fontId="0" fillId="0" borderId="0" xfId="0" applyFill="1" applyBorder="1" applyAlignment="1">
      <alignment horizontal="right"/>
    </xf>
    <xf numFmtId="0" fontId="134" fillId="6" borderId="0" xfId="0" applyFont="1" applyFill="1" applyBorder="1"/>
    <xf numFmtId="0" fontId="0" fillId="0" borderId="0" xfId="0"/>
    <xf numFmtId="190" fontId="0" fillId="6" borderId="60" xfId="2" applyNumberFormat="1" applyFont="1" applyFill="1" applyBorder="1" applyAlignment="1">
      <alignment vertical="center"/>
    </xf>
    <xf numFmtId="190" fontId="0" fillId="6" borderId="61" xfId="2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193" fontId="0" fillId="0" borderId="1" xfId="2" applyNumberFormat="1" applyFont="1" applyBorder="1"/>
    <xf numFmtId="0" fontId="20" fillId="0" borderId="51" xfId="0" applyFont="1" applyBorder="1"/>
    <xf numFmtId="0" fontId="0" fillId="0" borderId="0" xfId="0"/>
    <xf numFmtId="0" fontId="124" fillId="27" borderId="47" xfId="0" applyFont="1" applyFill="1" applyBorder="1" applyAlignment="1">
      <alignment vertical="center"/>
    </xf>
    <xf numFmtId="0" fontId="124" fillId="27" borderId="0" xfId="0" applyFont="1" applyFill="1" applyBorder="1" applyAlignment="1">
      <alignment horizontal="left" vertical="center" wrapText="1"/>
    </xf>
    <xf numFmtId="0" fontId="0" fillId="23" borderId="0" xfId="8" applyFont="1" applyBorder="1"/>
    <xf numFmtId="0" fontId="0" fillId="23" borderId="0" xfId="8" applyFont="1"/>
    <xf numFmtId="0" fontId="28" fillId="6" borderId="0" xfId="0" applyFont="1" applyFill="1" applyBorder="1"/>
    <xf numFmtId="0" fontId="28" fillId="6" borderId="0" xfId="0" applyFont="1" applyFill="1" applyBorder="1" applyAlignment="1">
      <alignment vertical="center"/>
    </xf>
    <xf numFmtId="191" fontId="0" fillId="6" borderId="60" xfId="2" applyNumberFormat="1" applyFont="1" applyFill="1" applyBorder="1" applyAlignment="1">
      <alignment vertical="center"/>
    </xf>
    <xf numFmtId="191" fontId="0" fillId="6" borderId="61" xfId="2" applyNumberFormat="1" applyFont="1" applyFill="1" applyBorder="1" applyAlignment="1">
      <alignment vertical="center"/>
    </xf>
    <xf numFmtId="0" fontId="135" fillId="0" borderId="0" xfId="0" applyFont="1"/>
    <xf numFmtId="0" fontId="110" fillId="12" borderId="40" xfId="0" applyFont="1" applyFill="1" applyBorder="1" applyAlignment="1">
      <alignment horizontal="left" vertical="center" indent="1"/>
    </xf>
    <xf numFmtId="0" fontId="0" fillId="12" borderId="39" xfId="0" applyFont="1" applyFill="1" applyBorder="1"/>
    <xf numFmtId="0" fontId="0" fillId="12" borderId="41" xfId="0" applyFont="1" applyFill="1" applyBorder="1"/>
    <xf numFmtId="0" fontId="0" fillId="8" borderId="46" xfId="0" applyFont="1" applyFill="1" applyBorder="1"/>
    <xf numFmtId="0" fontId="0" fillId="8" borderId="47" xfId="0" applyFont="1" applyFill="1" applyBorder="1"/>
    <xf numFmtId="0" fontId="0" fillId="8" borderId="0" xfId="0" applyFont="1" applyFill="1" applyBorder="1" applyAlignment="1">
      <alignment horizontal="right"/>
    </xf>
    <xf numFmtId="0" fontId="0" fillId="8" borderId="47" xfId="0" applyFont="1" applyFill="1" applyBorder="1" applyAlignment="1">
      <alignment vertical="center"/>
    </xf>
    <xf numFmtId="0" fontId="0" fillId="8" borderId="17" xfId="0" applyFont="1" applyFill="1" applyBorder="1" applyAlignment="1">
      <alignment vertical="center"/>
    </xf>
    <xf numFmtId="0" fontId="0" fillId="8" borderId="8" xfId="0" applyFont="1" applyFill="1" applyBorder="1" applyAlignment="1">
      <alignment vertical="center"/>
    </xf>
    <xf numFmtId="0" fontId="0" fillId="8" borderId="5" xfId="0" applyFont="1" applyFill="1" applyBorder="1" applyAlignment="1">
      <alignment horizontal="centerContinuous" vertical="center"/>
    </xf>
    <xf numFmtId="0" fontId="0" fillId="8" borderId="15" xfId="0" applyFont="1" applyFill="1" applyBorder="1" applyAlignment="1">
      <alignment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0" fillId="8" borderId="16" xfId="0" applyNumberFormat="1" applyFont="1" applyFill="1" applyBorder="1" applyAlignment="1">
      <alignment vertical="center"/>
    </xf>
    <xf numFmtId="0" fontId="110" fillId="9" borderId="40" xfId="0" applyFont="1" applyFill="1" applyBorder="1" applyAlignment="1">
      <alignment horizontal="left" vertical="center" indent="1"/>
    </xf>
    <xf numFmtId="0" fontId="0" fillId="9" borderId="39" xfId="0" applyFont="1" applyFill="1" applyBorder="1" applyAlignment="1">
      <alignment vertical="center"/>
    </xf>
    <xf numFmtId="0" fontId="0" fillId="9" borderId="41" xfId="0" applyFont="1" applyFill="1" applyBorder="1" applyAlignment="1">
      <alignment vertical="center"/>
    </xf>
    <xf numFmtId="0" fontId="20" fillId="6" borderId="16" xfId="0" applyFont="1" applyFill="1" applyBorder="1" applyAlignment="1">
      <alignment vertical="center"/>
    </xf>
    <xf numFmtId="0" fontId="20" fillId="6" borderId="16" xfId="0" applyNumberFormat="1" applyFont="1" applyFill="1" applyBorder="1" applyAlignment="1">
      <alignment horizontal="right" vertical="center"/>
    </xf>
    <xf numFmtId="0" fontId="20" fillId="6" borderId="18" xfId="0" applyNumberFormat="1" applyFont="1" applyFill="1" applyBorder="1" applyAlignment="1">
      <alignment horizontal="right" vertical="center"/>
    </xf>
    <xf numFmtId="0" fontId="20" fillId="6" borderId="0" xfId="0" applyNumberFormat="1" applyFont="1" applyFill="1" applyBorder="1" applyAlignment="1">
      <alignment horizontal="right" vertical="center"/>
    </xf>
    <xf numFmtId="0" fontId="0" fillId="6" borderId="60" xfId="0" applyNumberFormat="1" applyFont="1" applyFill="1" applyBorder="1" applyAlignment="1">
      <alignment horizontal="center" vertical="center"/>
    </xf>
    <xf numFmtId="0" fontId="0" fillId="6" borderId="60" xfId="0" applyFont="1" applyFill="1" applyBorder="1" applyAlignment="1">
      <alignment vertical="center"/>
    </xf>
    <xf numFmtId="0" fontId="20" fillId="6" borderId="16" xfId="0" applyFont="1" applyFill="1" applyBorder="1" applyAlignment="1">
      <alignment horizontal="right" vertical="center"/>
    </xf>
    <xf numFmtId="10" fontId="0" fillId="6" borderId="0" xfId="0" applyNumberFormat="1" applyFont="1" applyFill="1" applyBorder="1" applyAlignment="1">
      <alignment vertical="center"/>
    </xf>
    <xf numFmtId="9" fontId="0" fillId="6" borderId="0" xfId="0" applyNumberFormat="1" applyFont="1" applyFill="1" applyBorder="1" applyAlignment="1">
      <alignment vertical="center"/>
    </xf>
    <xf numFmtId="0" fontId="0" fillId="6" borderId="47" xfId="0" quotePrefix="1" applyFont="1" applyFill="1" applyBorder="1" applyAlignment="1">
      <alignment horizontal="right" vertical="center"/>
    </xf>
    <xf numFmtId="0" fontId="0" fillId="6" borderId="47" xfId="0" applyFont="1" applyFill="1" applyBorder="1" applyAlignment="1">
      <alignment horizontal="right" vertical="center"/>
    </xf>
    <xf numFmtId="0" fontId="20" fillId="6" borderId="47" xfId="0" applyNumberFormat="1" applyFont="1" applyFill="1" applyBorder="1" applyAlignment="1">
      <alignment horizontal="right" vertical="center"/>
    </xf>
    <xf numFmtId="0" fontId="0" fillId="6" borderId="60" xfId="0" applyNumberFormat="1" applyFont="1" applyFill="1" applyBorder="1" applyAlignment="1">
      <alignment vertical="center"/>
    </xf>
    <xf numFmtId="0" fontId="0" fillId="6" borderId="5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196" fontId="0" fillId="6" borderId="5" xfId="0" applyNumberFormat="1" applyFont="1" applyFill="1" applyBorder="1" applyAlignment="1">
      <alignment vertical="center"/>
    </xf>
    <xf numFmtId="0" fontId="0" fillId="6" borderId="30" xfId="0" applyNumberFormat="1" applyFont="1" applyFill="1" applyBorder="1" applyAlignment="1">
      <alignment vertical="center"/>
    </xf>
    <xf numFmtId="0" fontId="0" fillId="6" borderId="30" xfId="0" applyFont="1" applyFill="1" applyBorder="1" applyAlignment="1">
      <alignment vertical="center"/>
    </xf>
    <xf numFmtId="0" fontId="0" fillId="6" borderId="30" xfId="0" applyFont="1" applyFill="1" applyBorder="1" applyAlignment="1">
      <alignment horizontal="right" vertical="center"/>
    </xf>
    <xf numFmtId="0" fontId="20" fillId="6" borderId="21" xfId="0" applyFont="1" applyFill="1" applyBorder="1" applyAlignment="1">
      <alignment vertical="center"/>
    </xf>
    <xf numFmtId="0" fontId="20" fillId="6" borderId="21" xfId="0" applyNumberFormat="1" applyFont="1" applyFill="1" applyBorder="1" applyAlignment="1">
      <alignment horizontal="right" vertical="center"/>
    </xf>
    <xf numFmtId="0" fontId="20" fillId="6" borderId="22" xfId="0" applyNumberFormat="1" applyFont="1" applyFill="1" applyBorder="1" applyAlignment="1">
      <alignment horizontal="right" vertical="center"/>
    </xf>
    <xf numFmtId="0" fontId="0" fillId="6" borderId="14" xfId="0" applyFont="1" applyFill="1" applyBorder="1" applyAlignment="1">
      <alignment vertical="center"/>
    </xf>
    <xf numFmtId="190" fontId="0" fillId="6" borderId="24" xfId="2" applyFont="1" applyFill="1" applyBorder="1" applyAlignment="1">
      <alignment horizontal="right" vertical="center"/>
    </xf>
    <xf numFmtId="190" fontId="0" fillId="6" borderId="14" xfId="2" applyFont="1" applyFill="1" applyBorder="1" applyAlignment="1">
      <alignment horizontal="right" vertical="center"/>
    </xf>
    <xf numFmtId="0" fontId="20" fillId="6" borderId="1" xfId="0" applyFont="1" applyFill="1" applyBorder="1" applyAlignment="1">
      <alignment vertical="center"/>
    </xf>
    <xf numFmtId="190" fontId="0" fillId="6" borderId="26" xfId="2" applyFont="1" applyFill="1" applyBorder="1" applyAlignment="1">
      <alignment horizontal="right" vertical="center"/>
    </xf>
    <xf numFmtId="0" fontId="20" fillId="6" borderId="5" xfId="0" applyFont="1" applyFill="1" applyBorder="1" applyAlignment="1">
      <alignment vertical="center"/>
    </xf>
    <xf numFmtId="190" fontId="0" fillId="6" borderId="5" xfId="2" applyFont="1" applyFill="1" applyBorder="1" applyAlignment="1">
      <alignment horizontal="right" vertical="center"/>
    </xf>
    <xf numFmtId="192" fontId="0" fillId="6" borderId="14" xfId="2" applyNumberFormat="1" applyFont="1" applyFill="1" applyBorder="1" applyAlignment="1">
      <alignment horizontal="right" vertical="center"/>
    </xf>
    <xf numFmtId="192" fontId="0" fillId="6" borderId="1" xfId="2" applyNumberFormat="1" applyFont="1" applyFill="1" applyBorder="1" applyAlignment="1">
      <alignment horizontal="right" vertical="center"/>
    </xf>
    <xf numFmtId="11" fontId="20" fillId="6" borderId="0" xfId="2" applyNumberFormat="1" applyFont="1" applyFill="1" applyBorder="1" applyAlignment="1">
      <alignment horizontal="right" vertical="center"/>
    </xf>
    <xf numFmtId="0" fontId="16" fillId="6" borderId="21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right" vertical="center"/>
    </xf>
    <xf numFmtId="0" fontId="20" fillId="6" borderId="0" xfId="0" applyFont="1" applyFill="1" applyBorder="1" applyAlignment="1">
      <alignment horizontal="right" vertical="center"/>
    </xf>
    <xf numFmtId="0" fontId="20" fillId="6" borderId="15" xfId="0" applyFont="1" applyFill="1" applyBorder="1" applyAlignment="1">
      <alignment vertical="center"/>
    </xf>
    <xf numFmtId="0" fontId="112" fillId="6" borderId="15" xfId="0" applyFont="1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20" fillId="6" borderId="18" xfId="0" applyNumberFormat="1" applyFont="1" applyFill="1" applyBorder="1" applyAlignment="1">
      <alignment horizontal="left" vertical="center"/>
    </xf>
    <xf numFmtId="9" fontId="0" fillId="6" borderId="0" xfId="0" applyNumberFormat="1" applyFont="1" applyFill="1" applyBorder="1"/>
    <xf numFmtId="192" fontId="0" fillId="6" borderId="24" xfId="2" applyNumberFormat="1" applyFont="1" applyFill="1" applyBorder="1" applyAlignment="1">
      <alignment horizontal="right" vertical="center"/>
    </xf>
    <xf numFmtId="0" fontId="0" fillId="6" borderId="0" xfId="0" applyFont="1" applyFill="1"/>
    <xf numFmtId="0" fontId="0" fillId="23" borderId="0" xfId="789" applyFont="1" applyAlignment="1">
      <alignment horizontal="left"/>
    </xf>
    <xf numFmtId="0" fontId="0" fillId="23" borderId="0" xfId="789" applyFont="1" applyBorder="1" applyAlignment="1">
      <alignment horizontal="left"/>
    </xf>
    <xf numFmtId="0" fontId="0" fillId="6" borderId="1" xfId="0" applyFont="1" applyFill="1" applyBorder="1"/>
    <xf numFmtId="0" fontId="0" fillId="23" borderId="1" xfId="789" applyFont="1" applyBorder="1" applyAlignment="1">
      <alignment horizontal="left"/>
    </xf>
    <xf numFmtId="191" fontId="0" fillId="6" borderId="14" xfId="2" applyNumberFormat="1" applyFont="1" applyFill="1" applyBorder="1" applyAlignment="1">
      <alignment horizontal="right" vertical="center"/>
    </xf>
    <xf numFmtId="196" fontId="0" fillId="6" borderId="28" xfId="1" applyFont="1" applyFill="1" applyBorder="1" applyAlignment="1">
      <alignment horizontal="right" vertical="center"/>
    </xf>
    <xf numFmtId="175" fontId="0" fillId="23" borderId="0" xfId="789" applyNumberFormat="1" applyFont="1" applyAlignment="1">
      <alignment horizontal="left"/>
    </xf>
    <xf numFmtId="11" fontId="20" fillId="6" borderId="1" xfId="2" applyNumberFormat="1" applyFont="1" applyFill="1" applyBorder="1" applyAlignment="1">
      <alignment horizontal="right" vertical="center"/>
    </xf>
    <xf numFmtId="175" fontId="0" fillId="23" borderId="1" xfId="789" applyNumberFormat="1" applyFont="1" applyBorder="1" applyAlignment="1">
      <alignment horizontal="left"/>
    </xf>
    <xf numFmtId="0" fontId="0" fillId="23" borderId="0" xfId="789" applyFont="1" applyBorder="1" applyAlignment="1">
      <alignment horizontal="left" vertical="center"/>
    </xf>
    <xf numFmtId="11" fontId="0" fillId="23" borderId="0" xfId="789" applyNumberFormat="1" applyFont="1" applyBorder="1" applyAlignment="1">
      <alignment horizontal="left" vertical="center"/>
    </xf>
    <xf numFmtId="192" fontId="0" fillId="23" borderId="0" xfId="789" applyNumberFormat="1" applyFont="1" applyBorder="1" applyAlignment="1">
      <alignment horizontal="left" vertical="center"/>
    </xf>
    <xf numFmtId="0" fontId="68" fillId="6" borderId="46" xfId="4" applyNumberFormat="1" applyFont="1" applyFill="1" applyBorder="1"/>
    <xf numFmtId="0" fontId="68" fillId="6" borderId="0" xfId="4" applyNumberFormat="1" applyFont="1" applyFill="1" applyBorder="1" applyAlignment="1">
      <alignment horizontal="right"/>
    </xf>
    <xf numFmtId="0" fontId="68" fillId="6" borderId="0" xfId="4" applyNumberFormat="1" applyFont="1" applyFill="1" applyBorder="1"/>
    <xf numFmtId="0" fontId="68" fillId="6" borderId="47" xfId="4" applyNumberFormat="1" applyFont="1" applyFill="1" applyBorder="1"/>
    <xf numFmtId="0" fontId="136" fillId="6" borderId="0" xfId="230" applyFont="1" applyFill="1" applyAlignment="1" applyProtection="1">
      <alignment vertical="center"/>
    </xf>
    <xf numFmtId="0" fontId="0" fillId="9" borderId="39" xfId="0" applyFont="1" applyFill="1" applyBorder="1"/>
    <xf numFmtId="0" fontId="0" fillId="9" borderId="41" xfId="0" applyFont="1" applyFill="1" applyBorder="1"/>
    <xf numFmtId="1" fontId="20" fillId="6" borderId="16" xfId="2" applyNumberFormat="1" applyFont="1" applyFill="1" applyBorder="1" applyAlignment="1">
      <alignment horizontal="right" vertical="center"/>
    </xf>
    <xf numFmtId="1" fontId="20" fillId="6" borderId="22" xfId="2" applyNumberFormat="1" applyFont="1" applyFill="1" applyBorder="1" applyAlignment="1">
      <alignment horizontal="right" vertical="center"/>
    </xf>
    <xf numFmtId="1" fontId="20" fillId="6" borderId="21" xfId="2" applyNumberFormat="1" applyFont="1" applyFill="1" applyBorder="1" applyAlignment="1">
      <alignment horizontal="right" vertical="center"/>
    </xf>
    <xf numFmtId="0" fontId="0" fillId="6" borderId="14" xfId="0" applyNumberFormat="1" applyFont="1" applyFill="1" applyBorder="1" applyAlignment="1">
      <alignment vertical="center"/>
    </xf>
    <xf numFmtId="191" fontId="0" fillId="6" borderId="28" xfId="2" applyNumberFormat="1" applyFont="1" applyFill="1" applyBorder="1" applyAlignment="1">
      <alignment horizontal="right" vertical="center"/>
    </xf>
    <xf numFmtId="0" fontId="0" fillId="23" borderId="46" xfId="8" applyFont="1" applyBorder="1"/>
    <xf numFmtId="0" fontId="0" fillId="23" borderId="0" xfId="8" applyNumberFormat="1" applyFont="1" applyBorder="1" applyAlignment="1">
      <alignment vertical="center"/>
    </xf>
    <xf numFmtId="0" fontId="0" fillId="23" borderId="0" xfId="8" applyFont="1" applyBorder="1" applyAlignment="1">
      <alignment vertical="center"/>
    </xf>
    <xf numFmtId="0" fontId="0" fillId="23" borderId="0" xfId="8" quotePrefix="1" applyFont="1" applyBorder="1" applyAlignment="1">
      <alignment horizontal="right" vertical="center"/>
    </xf>
    <xf numFmtId="190" fontId="0" fillId="23" borderId="0" xfId="8" applyNumberFormat="1" applyFont="1" applyBorder="1" applyAlignment="1">
      <alignment vertical="center"/>
    </xf>
    <xf numFmtId="0" fontId="0" fillId="23" borderId="0" xfId="8" applyFont="1" applyBorder="1" applyAlignment="1">
      <alignment horizontal="right" vertical="center"/>
    </xf>
    <xf numFmtId="0" fontId="0" fillId="23" borderId="0" xfId="8" applyFont="1" applyBorder="1" applyAlignment="1">
      <alignment horizontal="right"/>
    </xf>
    <xf numFmtId="0" fontId="0" fillId="23" borderId="47" xfId="8" applyFont="1" applyBorder="1"/>
    <xf numFmtId="0" fontId="0" fillId="23" borderId="16" xfId="8" applyFont="1" applyBorder="1" applyAlignment="1">
      <alignment vertical="center"/>
    </xf>
    <xf numFmtId="0" fontId="0" fillId="23" borderId="16" xfId="8" applyNumberFormat="1" applyFont="1" applyBorder="1" applyAlignment="1">
      <alignment horizontal="right" vertical="center"/>
    </xf>
    <xf numFmtId="0" fontId="0" fillId="23" borderId="22" xfId="8" applyNumberFormat="1" applyFont="1" applyBorder="1" applyAlignment="1">
      <alignment horizontal="right" vertical="center"/>
    </xf>
    <xf numFmtId="0" fontId="0" fillId="23" borderId="21" xfId="8" applyNumberFormat="1" applyFont="1" applyBorder="1" applyAlignment="1">
      <alignment horizontal="right" vertical="center"/>
    </xf>
    <xf numFmtId="9" fontId="0" fillId="23" borderId="24" xfId="8" applyNumberFormat="1" applyFont="1" applyBorder="1" applyAlignment="1">
      <alignment vertical="center"/>
    </xf>
    <xf numFmtId="196" fontId="0" fillId="23" borderId="28" xfId="8" applyNumberFormat="1" applyFont="1" applyBorder="1" applyAlignment="1">
      <alignment horizontal="right" vertical="center"/>
    </xf>
    <xf numFmtId="196" fontId="0" fillId="23" borderId="14" xfId="8" applyNumberFormat="1" applyFont="1" applyBorder="1" applyAlignment="1">
      <alignment horizontal="right" vertical="center"/>
    </xf>
    <xf numFmtId="10" fontId="0" fillId="23" borderId="14" xfId="8" applyNumberFormat="1" applyFont="1" applyBorder="1" applyAlignment="1">
      <alignment horizontal="right" vertical="center"/>
    </xf>
    <xf numFmtId="9" fontId="0" fillId="23" borderId="0" xfId="8" applyNumberFormat="1" applyFont="1" applyBorder="1" applyAlignment="1">
      <alignment vertical="center"/>
    </xf>
    <xf numFmtId="196" fontId="0" fillId="23" borderId="19" xfId="8" applyNumberFormat="1" applyFont="1" applyBorder="1" applyAlignment="1">
      <alignment vertical="center"/>
    </xf>
    <xf numFmtId="196" fontId="0" fillId="23" borderId="0" xfId="8" applyNumberFormat="1" applyFont="1" applyBorder="1" applyAlignment="1">
      <alignment vertical="center"/>
    </xf>
    <xf numFmtId="196" fontId="0" fillId="23" borderId="0" xfId="8" applyNumberFormat="1" applyFont="1" applyBorder="1" applyAlignment="1">
      <alignment horizontal="right" vertical="center"/>
    </xf>
    <xf numFmtId="10" fontId="0" fillId="23" borderId="0" xfId="8" applyNumberFormat="1" applyFont="1" applyBorder="1" applyAlignment="1">
      <alignment horizontal="right" vertical="center"/>
    </xf>
    <xf numFmtId="196" fontId="0" fillId="23" borderId="19" xfId="8" applyNumberFormat="1" applyFont="1" applyBorder="1" applyAlignment="1">
      <alignment horizontal="right" vertical="center"/>
    </xf>
    <xf numFmtId="0" fontId="0" fillId="23" borderId="17" xfId="8" applyNumberFormat="1" applyFont="1" applyBorder="1" applyAlignment="1">
      <alignment vertical="center"/>
    </xf>
    <xf numFmtId="0" fontId="0" fillId="23" borderId="17" xfId="8" applyFont="1" applyBorder="1" applyAlignment="1">
      <alignment vertical="center"/>
    </xf>
    <xf numFmtId="9" fontId="0" fillId="23" borderId="17" xfId="8" applyNumberFormat="1" applyFont="1" applyBorder="1" applyAlignment="1">
      <alignment vertical="center"/>
    </xf>
    <xf numFmtId="196" fontId="0" fillId="23" borderId="27" xfId="8" applyNumberFormat="1" applyFont="1" applyBorder="1" applyAlignment="1">
      <alignment horizontal="right" vertical="center"/>
    </xf>
    <xf numFmtId="196" fontId="0" fillId="23" borderId="1" xfId="8" applyNumberFormat="1" applyFont="1" applyBorder="1" applyAlignment="1">
      <alignment horizontal="right" vertical="center"/>
    </xf>
    <xf numFmtId="10" fontId="0" fillId="23" borderId="1" xfId="8" applyNumberFormat="1" applyFont="1" applyBorder="1" applyAlignment="1">
      <alignment horizontal="right" vertical="center"/>
    </xf>
    <xf numFmtId="196" fontId="0" fillId="23" borderId="0" xfId="8" applyNumberFormat="1" applyFont="1" applyBorder="1"/>
    <xf numFmtId="0" fontId="0" fillId="23" borderId="8" xfId="8" applyNumberFormat="1" applyFont="1" applyBorder="1" applyAlignment="1">
      <alignment vertical="center"/>
    </xf>
    <xf numFmtId="0" fontId="0" fillId="23" borderId="8" xfId="8" applyFont="1" applyBorder="1" applyAlignment="1">
      <alignment vertical="center"/>
    </xf>
    <xf numFmtId="9" fontId="0" fillId="23" borderId="8" xfId="8" applyNumberFormat="1" applyFont="1" applyBorder="1" applyAlignment="1">
      <alignment vertical="center"/>
    </xf>
    <xf numFmtId="191" fontId="0" fillId="23" borderId="24" xfId="8" applyNumberFormat="1" applyFont="1" applyBorder="1" applyAlignment="1">
      <alignment vertical="center"/>
    </xf>
    <xf numFmtId="191" fontId="0" fillId="23" borderId="0" xfId="8" applyNumberFormat="1" applyFont="1" applyBorder="1" applyAlignment="1">
      <alignment vertical="center"/>
    </xf>
    <xf numFmtId="11" fontId="0" fillId="0" borderId="0" xfId="0" applyNumberFormat="1" applyFont="1"/>
    <xf numFmtId="0" fontId="0" fillId="0" borderId="8" xfId="0" applyFont="1" applyBorder="1" applyAlignment="1">
      <alignment vertical="center"/>
    </xf>
    <xf numFmtId="190" fontId="20" fillId="0" borderId="0" xfId="2" applyFont="1" applyAlignment="1">
      <alignment horizontal="right"/>
    </xf>
    <xf numFmtId="190" fontId="137" fillId="0" borderId="14" xfId="2" applyFont="1" applyBorder="1" applyAlignment="1">
      <alignment horizontal="right"/>
    </xf>
    <xf numFmtId="190" fontId="0" fillId="0" borderId="8" xfId="2" applyFont="1" applyBorder="1"/>
    <xf numFmtId="0" fontId="0" fillId="0" borderId="0" xfId="789" applyFont="1" applyFill="1" applyBorder="1" applyAlignment="1">
      <alignment horizontal="left"/>
    </xf>
    <xf numFmtId="0" fontId="0" fillId="0" borderId="1" xfId="789" applyFont="1" applyFill="1" applyBorder="1" applyAlignment="1">
      <alignment horizontal="left"/>
    </xf>
    <xf numFmtId="191" fontId="0" fillId="0" borderId="0" xfId="0" applyNumberFormat="1" applyFont="1"/>
    <xf numFmtId="0" fontId="0" fillId="12" borderId="40" xfId="0" applyFont="1" applyFill="1" applyBorder="1"/>
    <xf numFmtId="0" fontId="0" fillId="8" borderId="42" xfId="0" applyFont="1" applyFill="1" applyBorder="1"/>
    <xf numFmtId="0" fontId="0" fillId="8" borderId="36" xfId="0" applyFont="1" applyFill="1" applyBorder="1"/>
    <xf numFmtId="0" fontId="0" fillId="8" borderId="43" xfId="0" applyFont="1" applyFill="1" applyBorder="1"/>
    <xf numFmtId="0" fontId="0" fillId="8" borderId="30" xfId="0" applyFont="1" applyFill="1" applyBorder="1" applyAlignment="1">
      <alignment vertical="center"/>
    </xf>
    <xf numFmtId="0" fontId="0" fillId="0" borderId="45" xfId="0" applyFont="1" applyFill="1" applyBorder="1"/>
    <xf numFmtId="0" fontId="110" fillId="13" borderId="40" xfId="0" applyFont="1" applyFill="1" applyBorder="1" applyAlignment="1">
      <alignment horizontal="left" vertical="center" indent="1"/>
    </xf>
    <xf numFmtId="0" fontId="110" fillId="13" borderId="39" xfId="0" applyFont="1" applyFill="1" applyBorder="1" applyAlignment="1">
      <alignment vertical="center"/>
    </xf>
    <xf numFmtId="0" fontId="0" fillId="13" borderId="39" xfId="0" applyFont="1" applyFill="1" applyBorder="1"/>
    <xf numFmtId="0" fontId="0" fillId="13" borderId="41" xfId="0" applyFont="1" applyFill="1" applyBorder="1"/>
    <xf numFmtId="0" fontId="0" fillId="7" borderId="42" xfId="0" applyFont="1" applyFill="1" applyBorder="1"/>
    <xf numFmtId="0" fontId="0" fillId="7" borderId="36" xfId="0" applyFont="1" applyFill="1" applyBorder="1"/>
    <xf numFmtId="0" fontId="0" fillId="7" borderId="43" xfId="0" applyFont="1" applyFill="1" applyBorder="1"/>
    <xf numFmtId="0" fontId="0" fillId="7" borderId="46" xfId="0" applyFont="1" applyFill="1" applyBorder="1"/>
    <xf numFmtId="0" fontId="0" fillId="7" borderId="0" xfId="0" applyFont="1" applyFill="1" applyBorder="1"/>
    <xf numFmtId="0" fontId="0" fillId="7" borderId="0" xfId="0" applyFont="1" applyFill="1" applyBorder="1" applyAlignment="1">
      <alignment horizontal="right"/>
    </xf>
    <xf numFmtId="0" fontId="0" fillId="7" borderId="47" xfId="0" applyFont="1" applyFill="1" applyBorder="1"/>
    <xf numFmtId="0" fontId="20" fillId="7" borderId="15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0" xfId="0" applyNumberFormat="1" applyFont="1" applyFill="1" applyBorder="1" applyAlignment="1">
      <alignment vertical="center"/>
    </xf>
    <xf numFmtId="0" fontId="0" fillId="7" borderId="30" xfId="0" applyFont="1" applyFill="1" applyBorder="1"/>
    <xf numFmtId="0" fontId="0" fillId="7" borderId="45" xfId="0" applyFont="1" applyFill="1" applyBorder="1"/>
    <xf numFmtId="0" fontId="110" fillId="24" borderId="40" xfId="0" applyFont="1" applyFill="1" applyBorder="1" applyAlignment="1">
      <alignment horizontal="left" vertical="center" indent="1"/>
    </xf>
    <xf numFmtId="0" fontId="110" fillId="24" borderId="39" xfId="0" applyFont="1" applyFill="1" applyBorder="1" applyAlignment="1">
      <alignment vertical="center"/>
    </xf>
    <xf numFmtId="0" fontId="0" fillId="24" borderId="39" xfId="0" applyFont="1" applyFill="1" applyBorder="1"/>
    <xf numFmtId="0" fontId="0" fillId="24" borderId="41" xfId="0" applyFont="1" applyFill="1" applyBorder="1"/>
    <xf numFmtId="0" fontId="0" fillId="22" borderId="0" xfId="0" applyFont="1" applyFill="1"/>
    <xf numFmtId="0" fontId="0" fillId="22" borderId="0" xfId="0" applyFont="1" applyFill="1" applyAlignment="1">
      <alignment vertical="center"/>
    </xf>
    <xf numFmtId="0" fontId="0" fillId="25" borderId="42" xfId="0" applyFont="1" applyFill="1" applyBorder="1"/>
    <xf numFmtId="0" fontId="0" fillId="25" borderId="36" xfId="0" applyFont="1" applyFill="1" applyBorder="1"/>
    <xf numFmtId="0" fontId="0" fillId="25" borderId="43" xfId="0" applyFont="1" applyFill="1" applyBorder="1"/>
    <xf numFmtId="0" fontId="0" fillId="25" borderId="46" xfId="0" applyFont="1" applyFill="1" applyBorder="1"/>
    <xf numFmtId="0" fontId="0" fillId="25" borderId="0" xfId="0" applyFont="1" applyFill="1" applyBorder="1"/>
    <xf numFmtId="0" fontId="0" fillId="25" borderId="0" xfId="0" applyFont="1" applyFill="1" applyBorder="1" applyAlignment="1">
      <alignment horizontal="right"/>
    </xf>
    <xf numFmtId="0" fontId="0" fillId="25" borderId="47" xfId="0" applyFont="1" applyFill="1" applyBorder="1"/>
    <xf numFmtId="0" fontId="20" fillId="25" borderId="15" xfId="0" applyFont="1" applyFill="1" applyBorder="1" applyAlignment="1">
      <alignment vertical="center"/>
    </xf>
    <xf numFmtId="0" fontId="0" fillId="25" borderId="30" xfId="0" applyFont="1" applyFill="1" applyBorder="1"/>
    <xf numFmtId="0" fontId="0" fillId="25" borderId="45" xfId="0" applyFont="1" applyFill="1" applyBorder="1"/>
    <xf numFmtId="0" fontId="0" fillId="25" borderId="0" xfId="0" applyFont="1" applyFill="1"/>
    <xf numFmtId="0" fontId="0" fillId="25" borderId="47" xfId="0" applyFont="1" applyFill="1" applyBorder="1" applyAlignment="1">
      <alignment vertical="center"/>
    </xf>
    <xf numFmtId="170" fontId="0" fillId="25" borderId="47" xfId="0" applyNumberFormat="1" applyFont="1" applyFill="1" applyBorder="1" applyAlignment="1">
      <alignment vertical="center"/>
    </xf>
    <xf numFmtId="192" fontId="0" fillId="6" borderId="0" xfId="2" applyNumberFormat="1" applyFont="1" applyFill="1" applyBorder="1" applyAlignment="1">
      <alignment horizontal="left" vertical="center"/>
    </xf>
    <xf numFmtId="0" fontId="20" fillId="6" borderId="17" xfId="0" applyFont="1" applyFill="1" applyBorder="1" applyAlignment="1">
      <alignment vertical="center"/>
    </xf>
    <xf numFmtId="0" fontId="0" fillId="6" borderId="14" xfId="0" applyFont="1" applyFill="1" applyBorder="1" applyAlignment="1">
      <alignment horizontal="left" vertical="center"/>
    </xf>
    <xf numFmtId="0" fontId="0" fillId="0" borderId="0" xfId="0"/>
    <xf numFmtId="5" fontId="0" fillId="6" borderId="14" xfId="793" applyNumberFormat="1" applyFont="1" applyFill="1" applyBorder="1" applyAlignment="1">
      <alignment horizontal="right" vertical="center"/>
    </xf>
    <xf numFmtId="5" fontId="0" fillId="6" borderId="0" xfId="793" applyNumberFormat="1" applyFont="1" applyFill="1" applyBorder="1" applyAlignment="1">
      <alignment horizontal="right" vertical="center"/>
    </xf>
    <xf numFmtId="5" fontId="0" fillId="23" borderId="15" xfId="793" applyNumberFormat="1" applyFont="1" applyFill="1" applyBorder="1" applyAlignment="1"/>
    <xf numFmtId="5" fontId="0" fillId="6" borderId="15" xfId="793" applyNumberFormat="1" applyFont="1" applyFill="1" applyBorder="1" applyAlignment="1"/>
    <xf numFmtId="5" fontId="0" fillId="6" borderId="14" xfId="793" applyNumberFormat="1" applyFont="1" applyFill="1" applyBorder="1" applyAlignment="1">
      <alignment vertical="center"/>
    </xf>
    <xf numFmtId="5" fontId="0" fillId="6" borderId="14" xfId="793" applyNumberFormat="1" applyFont="1" applyFill="1" applyBorder="1" applyAlignment="1"/>
    <xf numFmtId="5" fontId="0" fillId="6" borderId="28" xfId="793" applyNumberFormat="1" applyFont="1" applyFill="1" applyBorder="1" applyAlignment="1">
      <alignment horizontal="right" vertical="center"/>
    </xf>
    <xf numFmtId="5" fontId="0" fillId="6" borderId="19" xfId="793" applyNumberFormat="1" applyFont="1" applyFill="1" applyBorder="1" applyAlignment="1">
      <alignment horizontal="right" vertical="center"/>
    </xf>
    <xf numFmtId="5" fontId="0" fillId="6" borderId="23" xfId="793" applyNumberFormat="1" applyFont="1" applyFill="1" applyBorder="1" applyAlignment="1">
      <alignment horizontal="right" vertical="center"/>
    </xf>
    <xf numFmtId="5" fontId="0" fillId="6" borderId="15" xfId="793" applyNumberFormat="1" applyFont="1" applyFill="1" applyBorder="1" applyAlignment="1">
      <alignment horizontal="right" vertical="center"/>
    </xf>
    <xf numFmtId="202" fontId="0" fillId="6" borderId="0" xfId="0" applyNumberFormat="1" applyFont="1" applyFill="1" applyBorder="1" applyAlignment="1">
      <alignment horizontal="center"/>
    </xf>
    <xf numFmtId="202" fontId="0" fillId="6" borderId="0" xfId="2" applyNumberFormat="1" applyFont="1" applyFill="1" applyBorder="1" applyAlignment="1">
      <alignment horizontal="center"/>
    </xf>
    <xf numFmtId="202" fontId="0" fillId="6" borderId="0" xfId="0" applyNumberFormat="1" applyFont="1" applyFill="1" applyAlignment="1">
      <alignment horizontal="center"/>
    </xf>
    <xf numFmtId="0" fontId="20" fillId="23" borderId="0" xfId="8" applyNumberFormat="1" applyFont="1" applyBorder="1" applyAlignment="1">
      <alignment vertical="center"/>
    </xf>
    <xf numFmtId="191" fontId="0" fillId="23" borderId="14" xfId="8" applyNumberFormat="1" applyFont="1" applyBorder="1" applyAlignment="1">
      <alignment vertical="center"/>
    </xf>
    <xf numFmtId="191" fontId="0" fillId="23" borderId="25" xfId="8" applyNumberFormat="1" applyFont="1" applyBorder="1" applyAlignment="1">
      <alignment vertical="center"/>
    </xf>
    <xf numFmtId="191" fontId="0" fillId="23" borderId="28" xfId="8" applyNumberFormat="1" applyFont="1" applyBorder="1" applyAlignment="1">
      <alignment vertical="center"/>
    </xf>
    <xf numFmtId="191" fontId="0" fillId="23" borderId="19" xfId="8" applyNumberFormat="1" applyFont="1" applyBorder="1" applyAlignment="1">
      <alignment vertical="center"/>
    </xf>
    <xf numFmtId="191" fontId="0" fillId="23" borderId="26" xfId="8" applyNumberFormat="1" applyFont="1" applyBorder="1" applyAlignment="1">
      <alignment vertical="center"/>
    </xf>
    <xf numFmtId="191" fontId="0" fillId="23" borderId="27" xfId="8" applyNumberFormat="1" applyFont="1" applyBorder="1" applyAlignment="1">
      <alignment vertical="center"/>
    </xf>
    <xf numFmtId="191" fontId="0" fillId="23" borderId="1" xfId="8" applyNumberFormat="1" applyFont="1" applyBorder="1" applyAlignment="1">
      <alignment vertical="center"/>
    </xf>
    <xf numFmtId="0" fontId="20" fillId="23" borderId="0" xfId="8" applyFont="1" applyBorder="1" applyAlignment="1">
      <alignment vertical="center"/>
    </xf>
    <xf numFmtId="191" fontId="0" fillId="6" borderId="26" xfId="2" applyNumberFormat="1" applyFont="1" applyFill="1" applyBorder="1" applyAlignment="1">
      <alignment horizontal="right" vertical="center"/>
    </xf>
    <xf numFmtId="191" fontId="0" fillId="6" borderId="24" xfId="2" applyNumberFormat="1" applyFont="1" applyFill="1" applyBorder="1" applyAlignment="1">
      <alignment horizontal="right" vertical="center"/>
    </xf>
    <xf numFmtId="196" fontId="0" fillId="6" borderId="24" xfId="1" applyFont="1" applyFill="1" applyBorder="1" applyAlignment="1">
      <alignment horizontal="right" vertical="center"/>
    </xf>
    <xf numFmtId="196" fontId="0" fillId="6" borderId="14" xfId="1" applyFont="1" applyFill="1" applyBorder="1" applyAlignment="1">
      <alignment horizontal="right" vertical="center"/>
    </xf>
    <xf numFmtId="196" fontId="0" fillId="6" borderId="26" xfId="1" applyFont="1" applyFill="1" applyBorder="1" applyAlignment="1">
      <alignment horizontal="right" vertical="center"/>
    </xf>
    <xf numFmtId="0" fontId="0" fillId="0" borderId="0" xfId="0" applyFont="1" applyFill="1" applyAlignment="1">
      <alignment horizontal="left"/>
    </xf>
    <xf numFmtId="202" fontId="0" fillId="6" borderId="0" xfId="0" applyNumberFormat="1" applyFont="1" applyFill="1"/>
    <xf numFmtId="191" fontId="0" fillId="6" borderId="0" xfId="2" applyNumberFormat="1" applyFont="1" applyFill="1" applyBorder="1" applyAlignment="1">
      <alignment horizontal="left"/>
    </xf>
    <xf numFmtId="196" fontId="0" fillId="23" borderId="28" xfId="1" applyFont="1" applyFill="1" applyBorder="1" applyAlignment="1">
      <alignment horizontal="right" vertical="center"/>
    </xf>
    <xf numFmtId="196" fontId="0" fillId="23" borderId="14" xfId="1" applyFont="1" applyFill="1" applyBorder="1" applyAlignment="1">
      <alignment horizontal="right" vertical="center"/>
    </xf>
    <xf numFmtId="196" fontId="0" fillId="23" borderId="19" xfId="1" applyFont="1" applyFill="1" applyBorder="1" applyAlignment="1">
      <alignment horizontal="right" vertical="center"/>
    </xf>
    <xf numFmtId="196" fontId="0" fillId="23" borderId="0" xfId="1" applyFont="1" applyFill="1" applyBorder="1" applyAlignment="1">
      <alignment horizontal="right" vertical="center"/>
    </xf>
    <xf numFmtId="196" fontId="0" fillId="23" borderId="27" xfId="1" applyFont="1" applyFill="1" applyBorder="1" applyAlignment="1">
      <alignment horizontal="right" vertical="center"/>
    </xf>
    <xf numFmtId="196" fontId="0" fillId="23" borderId="1" xfId="1" applyFont="1" applyFill="1" applyBorder="1" applyAlignment="1">
      <alignment horizontal="right" vertical="center"/>
    </xf>
    <xf numFmtId="0" fontId="25" fillId="6" borderId="0" xfId="0" applyNumberFormat="1" applyFont="1" applyFill="1" applyBorder="1" applyAlignment="1">
      <alignment vertical="center"/>
    </xf>
    <xf numFmtId="0" fontId="25" fillId="23" borderId="0" xfId="8" applyNumberFormat="1" applyFont="1" applyBorder="1" applyAlignment="1">
      <alignment vertical="center"/>
    </xf>
    <xf numFmtId="0" fontId="0" fillId="0" borderId="0" xfId="0"/>
    <xf numFmtId="191" fontId="0" fillId="6" borderId="47" xfId="2" applyNumberFormat="1" applyFont="1" applyFill="1" applyBorder="1"/>
    <xf numFmtId="202" fontId="0" fillId="6" borderId="0" xfId="0" applyNumberFormat="1" applyFont="1" applyFill="1" applyBorder="1" applyAlignment="1">
      <alignment horizontal="right"/>
    </xf>
    <xf numFmtId="0" fontId="20" fillId="6" borderId="5" xfId="0" applyNumberFormat="1" applyFont="1" applyFill="1" applyBorder="1" applyAlignment="1">
      <alignment horizontal="center" vertical="center"/>
    </xf>
    <xf numFmtId="1" fontId="20" fillId="6" borderId="5" xfId="0" applyNumberFormat="1" applyFont="1" applyFill="1" applyBorder="1" applyAlignment="1">
      <alignment horizontal="center" vertical="center"/>
    </xf>
    <xf numFmtId="0" fontId="138" fillId="0" borderId="0" xfId="0" applyFont="1" applyBorder="1"/>
    <xf numFmtId="0" fontId="138" fillId="0" borderId="0" xfId="0" applyFont="1" applyBorder="1" applyAlignment="1">
      <alignment vertical="center"/>
    </xf>
    <xf numFmtId="0" fontId="138" fillId="0" borderId="0" xfId="0" applyFont="1" applyBorder="1" applyAlignment="1">
      <alignment horizontal="left" vertical="center" wrapText="1"/>
    </xf>
    <xf numFmtId="0" fontId="0" fillId="6" borderId="5" xfId="0" applyFont="1" applyFill="1" applyBorder="1"/>
    <xf numFmtId="0" fontId="0" fillId="6" borderId="0" xfId="0" applyFont="1" applyFill="1" applyBorder="1" applyAlignment="1">
      <alignment horizontal="center"/>
    </xf>
    <xf numFmtId="0" fontId="0" fillId="23" borderId="18" xfId="8" applyNumberFormat="1" applyFont="1" applyBorder="1" applyAlignment="1">
      <alignment horizontal="right" vertical="center"/>
    </xf>
    <xf numFmtId="201" fontId="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31" borderId="41" xfId="0" applyFont="1" applyFill="1" applyBorder="1" applyAlignment="1">
      <alignment horizontal="left" vertical="center"/>
    </xf>
    <xf numFmtId="0" fontId="0" fillId="31" borderId="45" xfId="0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20" fillId="18" borderId="0" xfId="0" applyFont="1" applyFill="1" applyAlignment="1">
      <alignment horizontal="center" textRotation="90"/>
    </xf>
    <xf numFmtId="0" fontId="20" fillId="11" borderId="62" xfId="0" applyFont="1" applyFill="1" applyBorder="1" applyAlignment="1">
      <alignment horizontal="center" textRotation="90"/>
    </xf>
    <xf numFmtId="0" fontId="0" fillId="2" borderId="0" xfId="0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 wrapText="1"/>
    </xf>
    <xf numFmtId="0" fontId="125" fillId="0" borderId="0" xfId="0" applyFont="1" applyAlignment="1">
      <alignment horizontal="left" vertical="center"/>
    </xf>
    <xf numFmtId="0" fontId="31" fillId="0" borderId="0" xfId="6" applyAlignment="1">
      <alignment horizontal="left"/>
    </xf>
    <xf numFmtId="0" fontId="13" fillId="18" borderId="0" xfId="0" applyFont="1" applyFill="1" applyAlignment="1">
      <alignment horizontal="left" vertical="center"/>
    </xf>
    <xf numFmtId="0" fontId="13" fillId="18" borderId="0" xfId="0" applyFont="1" applyFill="1" applyAlignment="1">
      <alignment horizontal="left" vertical="center" wrapText="1"/>
    </xf>
    <xf numFmtId="0" fontId="110" fillId="0" borderId="0" xfId="0" applyFont="1" applyAlignment="1">
      <alignment vertical="center" wrapText="1"/>
    </xf>
    <xf numFmtId="0" fontId="110" fillId="0" borderId="47" xfId="0" applyFont="1" applyBorder="1" applyAlignment="1">
      <alignment vertical="center" wrapText="1"/>
    </xf>
    <xf numFmtId="0" fontId="110" fillId="0" borderId="0" xfId="0" applyFont="1" applyAlignment="1">
      <alignment vertical="center"/>
    </xf>
    <xf numFmtId="0" fontId="13" fillId="18" borderId="0" xfId="0" applyFont="1" applyFill="1" applyAlignment="1">
      <alignment horizontal="left"/>
    </xf>
    <xf numFmtId="0" fontId="17" fillId="18" borderId="0" xfId="0" applyFont="1" applyFill="1" applyAlignment="1"/>
    <xf numFmtId="0" fontId="0" fillId="0" borderId="0" xfId="0" applyAlignment="1"/>
    <xf numFmtId="0" fontId="17" fillId="18" borderId="0" xfId="0" applyFont="1" applyFill="1" applyAlignment="1">
      <alignment horizontal="center"/>
    </xf>
    <xf numFmtId="0" fontId="17" fillId="18" borderId="53" xfId="0" applyFont="1" applyFill="1" applyBorder="1" applyAlignment="1">
      <alignment horizontal="center"/>
    </xf>
    <xf numFmtId="0" fontId="0" fillId="2" borderId="0" xfId="0" applyFill="1" applyAlignment="1"/>
    <xf numFmtId="0" fontId="31" fillId="0" borderId="0" xfId="6" applyAlignment="1"/>
    <xf numFmtId="0" fontId="12" fillId="0" borderId="0" xfId="0" applyFont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/>
    <xf numFmtId="170" fontId="0" fillId="0" borderId="0" xfId="0" applyNumberFormat="1" applyFill="1" applyBorder="1" applyAlignment="1">
      <alignment vertical="center"/>
    </xf>
    <xf numFmtId="175" fontId="0" fillId="23" borderId="0" xfId="789" applyNumberFormat="1" applyFont="1" applyBorder="1" applyAlignment="1">
      <alignment horizontal="left"/>
    </xf>
    <xf numFmtId="0" fontId="20" fillId="23" borderId="0" xfId="789" applyFont="1" applyBorder="1" applyAlignment="1">
      <alignment horizontal="left"/>
    </xf>
    <xf numFmtId="0" fontId="28" fillId="23" borderId="0" xfId="789" applyFont="1" applyBorder="1" applyAlignment="1">
      <alignment horizontal="left"/>
    </xf>
    <xf numFmtId="194" fontId="28" fillId="23" borderId="0" xfId="789" applyNumberFormat="1" applyFont="1" applyBorder="1" applyAlignment="1">
      <alignment vertical="center"/>
    </xf>
    <xf numFmtId="171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/>
    <xf numFmtId="0" fontId="0" fillId="0" borderId="55" xfId="0" applyBorder="1" applyAlignment="1">
      <alignment horizontal="left"/>
    </xf>
    <xf numFmtId="0" fontId="0" fillId="0" borderId="1" xfId="0" applyFill="1" applyBorder="1"/>
    <xf numFmtId="0" fontId="0" fillId="0" borderId="56" xfId="0" applyFill="1" applyBorder="1"/>
    <xf numFmtId="0" fontId="0" fillId="0" borderId="1" xfId="0" applyBorder="1" applyAlignment="1">
      <alignment horizontal="center"/>
    </xf>
    <xf numFmtId="0" fontId="0" fillId="0" borderId="53" xfId="0" applyFont="1" applyFill="1" applyBorder="1"/>
    <xf numFmtId="10" fontId="0" fillId="0" borderId="0" xfId="0" applyNumberFormat="1" applyFont="1" applyFill="1" applyBorder="1"/>
    <xf numFmtId="197" fontId="10" fillId="0" borderId="0" xfId="1" applyNumberFormat="1" applyFont="1" applyFill="1" applyBorder="1"/>
    <xf numFmtId="197" fontId="0" fillId="0" borderId="0" xfId="0" applyNumberFormat="1" applyFont="1" applyFill="1" applyBorder="1"/>
    <xf numFmtId="0" fontId="28" fillId="6" borderId="1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0" fillId="7" borderId="0" xfId="0" applyFill="1"/>
    <xf numFmtId="0" fontId="12" fillId="7" borderId="0" xfId="0" applyFont="1" applyFill="1" applyBorder="1"/>
    <xf numFmtId="0" fontId="20" fillId="0" borderId="0" xfId="0" applyFont="1" applyAlignment="1">
      <alignment horizontal="left" vertical="center"/>
    </xf>
    <xf numFmtId="0" fontId="20" fillId="0" borderId="0" xfId="0" applyFont="1" applyFill="1" applyBorder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/>
    </xf>
    <xf numFmtId="0" fontId="2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vertical="center"/>
    </xf>
    <xf numFmtId="190" fontId="0" fillId="0" borderId="0" xfId="2" applyFont="1" applyFill="1" applyBorder="1" applyAlignment="1">
      <alignment vertical="center"/>
    </xf>
    <xf numFmtId="0" fontId="0" fillId="6" borderId="8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9" borderId="0" xfId="0" applyFill="1"/>
    <xf numFmtId="5" fontId="0" fillId="6" borderId="0" xfId="793" applyNumberFormat="1" applyFont="1" applyFill="1" applyBorder="1" applyAlignment="1"/>
    <xf numFmtId="0" fontId="0" fillId="0" borderId="0" xfId="0"/>
    <xf numFmtId="0" fontId="142" fillId="0" borderId="0" xfId="0" applyFont="1" applyFill="1" applyBorder="1" applyAlignment="1">
      <alignment horizontal="left"/>
    </xf>
    <xf numFmtId="0" fontId="143" fillId="0" borderId="0" xfId="0" applyFont="1" applyFill="1" applyBorder="1" applyAlignment="1">
      <alignment horizontal="left"/>
    </xf>
    <xf numFmtId="2" fontId="0" fillId="6" borderId="0" xfId="0" applyNumberFormat="1" applyFont="1" applyFill="1" applyBorder="1" applyAlignment="1">
      <alignment horizontal="right"/>
    </xf>
    <xf numFmtId="203" fontId="143" fillId="0" borderId="0" xfId="0" applyNumberFormat="1" applyFont="1" applyFill="1" applyBorder="1" applyAlignment="1">
      <alignment horizontal="right"/>
    </xf>
    <xf numFmtId="177" fontId="143" fillId="0" borderId="0" xfId="0" applyNumberFormat="1" applyFont="1" applyFill="1" applyBorder="1" applyAlignment="1">
      <alignment horizontal="right"/>
    </xf>
    <xf numFmtId="0" fontId="143" fillId="0" borderId="0" xfId="0" applyFont="1" applyFill="1" applyBorder="1" applyAlignment="1">
      <alignment horizontal="right"/>
    </xf>
    <xf numFmtId="0" fontId="0" fillId="21" borderId="0" xfId="0" applyFill="1" applyAlignment="1"/>
    <xf numFmtId="0" fontId="0" fillId="0" borderId="0" xfId="0" applyFill="1" applyBorder="1" applyAlignment="1"/>
    <xf numFmtId="0" fontId="144" fillId="0" borderId="0" xfId="0" applyFont="1" applyFill="1" applyBorder="1" applyAlignment="1">
      <alignment horizontal="left"/>
    </xf>
    <xf numFmtId="0" fontId="111" fillId="0" borderId="0" xfId="0" applyFont="1" applyFill="1" applyBorder="1" applyAlignment="1">
      <alignment horizontal="left"/>
    </xf>
    <xf numFmtId="8" fontId="143" fillId="0" borderId="0" xfId="0" applyNumberFormat="1" applyFont="1" applyFill="1" applyBorder="1" applyAlignment="1">
      <alignment horizontal="left"/>
    </xf>
    <xf numFmtId="0" fontId="0" fillId="0" borderId="0" xfId="0" applyBorder="1"/>
    <xf numFmtId="171" fontId="0" fillId="6" borderId="8" xfId="2" applyNumberFormat="1" applyFont="1" applyFill="1" applyBorder="1" applyAlignment="1"/>
    <xf numFmtId="0" fontId="0" fillId="0" borderId="0" xfId="0"/>
    <xf numFmtId="0" fontId="0" fillId="6" borderId="0" xfId="0" applyFill="1" applyBorder="1" applyAlignment="1">
      <alignment horizontal="center"/>
    </xf>
    <xf numFmtId="0" fontId="0" fillId="6" borderId="0" xfId="789" applyFont="1" applyFill="1" applyBorder="1" applyAlignment="1">
      <alignment horizontal="left"/>
    </xf>
    <xf numFmtId="2" fontId="20" fillId="6" borderId="21" xfId="0" applyNumberFormat="1" applyFont="1" applyFill="1" applyBorder="1" applyAlignment="1">
      <alignment vertical="center"/>
    </xf>
    <xf numFmtId="2" fontId="0" fillId="6" borderId="8" xfId="0" applyNumberFormat="1" applyFont="1" applyFill="1" applyBorder="1" applyAlignment="1">
      <alignment vertical="center"/>
    </xf>
    <xf numFmtId="2" fontId="0" fillId="6" borderId="8" xfId="0" applyNumberFormat="1" applyFont="1" applyFill="1" applyBorder="1"/>
    <xf numFmtId="2" fontId="0" fillId="6" borderId="8" xfId="2" applyNumberFormat="1" applyFont="1" applyFill="1" applyBorder="1" applyAlignment="1">
      <alignment vertical="center"/>
    </xf>
    <xf numFmtId="2" fontId="0" fillId="6" borderId="0" xfId="789" applyNumberFormat="1" applyFont="1" applyFill="1" applyBorder="1" applyAlignment="1">
      <alignment horizontal="left"/>
    </xf>
    <xf numFmtId="2" fontId="0" fillId="6" borderId="0" xfId="0" applyNumberFormat="1" applyFont="1" applyFill="1" applyBorder="1"/>
    <xf numFmtId="2" fontId="0" fillId="6" borderId="0" xfId="2" applyNumberFormat="1" applyFont="1" applyFill="1" applyBorder="1" applyAlignment="1"/>
    <xf numFmtId="2" fontId="0" fillId="6" borderId="1" xfId="789" applyNumberFormat="1" applyFont="1" applyFill="1" applyBorder="1" applyAlignment="1">
      <alignment horizontal="left"/>
    </xf>
    <xf numFmtId="2" fontId="0" fillId="6" borderId="1" xfId="0" applyNumberFormat="1" applyFont="1" applyFill="1" applyBorder="1"/>
    <xf numFmtId="2" fontId="0" fillId="6" borderId="1" xfId="2" applyNumberFormat="1" applyFont="1" applyFill="1" applyBorder="1" applyAlignment="1"/>
    <xf numFmtId="2" fontId="0" fillId="6" borderId="0" xfId="0" applyNumberFormat="1" applyFont="1" applyFill="1"/>
    <xf numFmtId="2" fontId="20" fillId="6" borderId="0" xfId="0" applyNumberFormat="1" applyFont="1" applyFill="1" applyBorder="1"/>
    <xf numFmtId="2" fontId="0" fillId="6" borderId="0" xfId="0" applyNumberFormat="1" applyFont="1" applyFill="1" applyBorder="1" applyAlignment="1">
      <alignment vertical="center"/>
    </xf>
    <xf numFmtId="2" fontId="0" fillId="6" borderId="0" xfId="793" applyNumberFormat="1" applyFont="1" applyFill="1" applyBorder="1" applyAlignment="1">
      <alignment horizontal="right" vertical="center"/>
    </xf>
    <xf numFmtId="2" fontId="0" fillId="6" borderId="0" xfId="793" applyNumberFormat="1" applyFont="1" applyFill="1" applyBorder="1" applyAlignment="1"/>
    <xf numFmtId="2" fontId="0" fillId="6" borderId="8" xfId="2" applyNumberFormat="1" applyFont="1" applyFill="1" applyBorder="1" applyAlignment="1"/>
    <xf numFmtId="1" fontId="20" fillId="6" borderId="8" xfId="0" applyNumberFormat="1" applyFont="1" applyFill="1" applyBorder="1" applyAlignment="1">
      <alignment horizontal="right" vertical="center"/>
    </xf>
    <xf numFmtId="1" fontId="20" fillId="6" borderId="21" xfId="0" applyNumberFormat="1" applyFont="1" applyFill="1" applyBorder="1" applyAlignment="1">
      <alignment horizontal="right" vertical="center"/>
    </xf>
    <xf numFmtId="0" fontId="25" fillId="6" borderId="5" xfId="0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02" fontId="0" fillId="6" borderId="0" xfId="2" applyNumberFormat="1" applyFont="1" applyFill="1" applyBorder="1" applyAlignment="1">
      <alignment horizontal="center" vertical="center"/>
    </xf>
    <xf numFmtId="171" fontId="0" fillId="6" borderId="0" xfId="0" applyNumberFormat="1" applyFont="1" applyFill="1" applyBorder="1" applyAlignment="1">
      <alignment horizontal="center"/>
    </xf>
    <xf numFmtId="0" fontId="0" fillId="6" borderId="8" xfId="0" applyNumberFormat="1" applyFont="1" applyFill="1" applyBorder="1" applyAlignment="1">
      <alignment vertical="center"/>
    </xf>
    <xf numFmtId="2" fontId="0" fillId="6" borderId="8" xfId="0" applyNumberFormat="1" applyFont="1" applyFill="1" applyBorder="1" applyAlignment="1">
      <alignment horizontal="right"/>
    </xf>
    <xf numFmtId="2" fontId="0" fillId="6" borderId="8" xfId="0" applyNumberFormat="1" applyFill="1" applyBorder="1" applyAlignment="1">
      <alignment horizontal="center"/>
    </xf>
    <xf numFmtId="202" fontId="0" fillId="6" borderId="8" xfId="2" applyNumberFormat="1" applyFont="1" applyFill="1" applyBorder="1" applyAlignment="1">
      <alignment horizontal="center" vertical="center"/>
    </xf>
    <xf numFmtId="171" fontId="0" fillId="6" borderId="8" xfId="0" applyNumberFormat="1" applyFon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right"/>
    </xf>
    <xf numFmtId="2" fontId="0" fillId="6" borderId="1" xfId="0" applyNumberFormat="1" applyFill="1" applyBorder="1" applyAlignment="1">
      <alignment horizontal="center"/>
    </xf>
    <xf numFmtId="202" fontId="0" fillId="6" borderId="1" xfId="2" applyNumberFormat="1" applyFont="1" applyFill="1" applyBorder="1" applyAlignment="1">
      <alignment horizontal="center" vertical="center"/>
    </xf>
    <xf numFmtId="171" fontId="0" fillId="6" borderId="1" xfId="0" applyNumberFormat="1" applyFont="1" applyFill="1" applyBorder="1" applyAlignment="1">
      <alignment horizontal="center"/>
    </xf>
    <xf numFmtId="202" fontId="0" fillId="6" borderId="8" xfId="0" applyNumberFormat="1" applyFont="1" applyFill="1" applyBorder="1" applyAlignment="1">
      <alignment horizontal="right"/>
    </xf>
    <xf numFmtId="202" fontId="0" fillId="6" borderId="1" xfId="0" applyNumberFormat="1" applyFont="1" applyFill="1" applyBorder="1" applyAlignment="1">
      <alignment horizontal="right"/>
    </xf>
    <xf numFmtId="202" fontId="0" fillId="6" borderId="1" xfId="2" applyNumberFormat="1" applyFont="1" applyFill="1" applyBorder="1" applyAlignment="1">
      <alignment horizontal="center"/>
    </xf>
    <xf numFmtId="0" fontId="107" fillId="6" borderId="0" xfId="0" applyFont="1" applyFill="1" applyBorder="1"/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0" fillId="6" borderId="8" xfId="0" applyNumberFormat="1" applyFont="1" applyFill="1" applyBorder="1" applyAlignment="1">
      <alignment horizontal="center" vertical="center"/>
    </xf>
    <xf numFmtId="1" fontId="20" fillId="6" borderId="8" xfId="0" applyNumberFormat="1" applyFont="1" applyFill="1" applyBorder="1" applyAlignment="1">
      <alignment horizontal="center" vertical="center"/>
    </xf>
    <xf numFmtId="0" fontId="25" fillId="6" borderId="8" xfId="0" applyFont="1" applyFill="1" applyBorder="1" applyAlignment="1">
      <alignment horizontal="center"/>
    </xf>
    <xf numFmtId="0" fontId="107" fillId="6" borderId="0" xfId="0" applyFont="1" applyFill="1"/>
    <xf numFmtId="202" fontId="0" fillId="6" borderId="8" xfId="0" applyNumberFormat="1" applyFont="1" applyFill="1" applyBorder="1" applyAlignment="1">
      <alignment horizontal="center"/>
    </xf>
    <xf numFmtId="202" fontId="0" fillId="6" borderId="1" xfId="0" applyNumberFormat="1" applyFont="1" applyFill="1" applyBorder="1" applyAlignment="1">
      <alignment horizontal="center"/>
    </xf>
    <xf numFmtId="191" fontId="0" fillId="0" borderId="8" xfId="2" applyNumberFormat="1" applyFont="1" applyBorder="1" applyAlignment="1">
      <alignment vertical="center"/>
    </xf>
    <xf numFmtId="202" fontId="0" fillId="0" borderId="0" xfId="2" applyNumberFormat="1" applyFont="1" applyFill="1" applyBorder="1" applyAlignment="1">
      <alignment horizontal="center" vertical="center"/>
    </xf>
    <xf numFmtId="0" fontId="157" fillId="25" borderId="0" xfId="0" applyFont="1" applyFill="1" applyBorder="1" applyAlignment="1">
      <alignment vertical="center"/>
    </xf>
    <xf numFmtId="191" fontId="157" fillId="25" borderId="0" xfId="2" applyNumberFormat="1" applyFont="1" applyFill="1" applyAlignment="1">
      <alignment vertical="center"/>
    </xf>
    <xf numFmtId="191" fontId="157" fillId="25" borderId="0" xfId="2" applyNumberFormat="1" applyFont="1" applyFill="1" applyBorder="1" applyAlignment="1">
      <alignment vertical="center"/>
    </xf>
    <xf numFmtId="170" fontId="0" fillId="25" borderId="0" xfId="0" applyNumberFormat="1" applyFont="1" applyFill="1" applyBorder="1" applyAlignment="1">
      <alignment vertical="center"/>
    </xf>
    <xf numFmtId="204" fontId="0" fillId="6" borderId="0" xfId="0" applyNumberFormat="1" applyFont="1" applyFill="1"/>
    <xf numFmtId="204" fontId="0" fillId="6" borderId="0" xfId="0" applyNumberFormat="1" applyFont="1" applyFill="1" applyBorder="1" applyAlignment="1">
      <alignment horizontal="right"/>
    </xf>
    <xf numFmtId="0" fontId="0" fillId="0" borderId="0" xfId="0"/>
    <xf numFmtId="9" fontId="0" fillId="0" borderId="53" xfId="0" applyNumberFormat="1" applyBorder="1"/>
    <xf numFmtId="0" fontId="0" fillId="0" borderId="0" xfId="0" applyBorder="1"/>
    <xf numFmtId="191" fontId="0" fillId="0" borderId="0" xfId="2" applyNumberFormat="1" applyFont="1" applyFill="1"/>
    <xf numFmtId="0" fontId="0" fillId="0" borderId="0" xfId="0"/>
    <xf numFmtId="0" fontId="0" fillId="0" borderId="0" xfId="0"/>
    <xf numFmtId="191" fontId="0" fillId="0" borderId="0" xfId="0" applyNumberFormat="1" applyFont="1" applyFill="1"/>
    <xf numFmtId="0" fontId="0" fillId="6" borderId="0" xfId="0" applyFill="1" applyBorder="1" applyAlignment="1">
      <alignment horizontal="center"/>
    </xf>
    <xf numFmtId="171" fontId="0" fillId="6" borderId="8" xfId="2" applyNumberFormat="1" applyFont="1" applyFill="1" applyBorder="1" applyAlignment="1">
      <alignment vertical="center"/>
    </xf>
    <xf numFmtId="171" fontId="0" fillId="6" borderId="0" xfId="2" applyNumberFormat="1" applyFont="1" applyFill="1" applyBorder="1" applyAlignment="1"/>
    <xf numFmtId="171" fontId="0" fillId="6" borderId="1" xfId="2" applyNumberFormat="1" applyFont="1" applyFill="1" applyBorder="1" applyAlignment="1"/>
    <xf numFmtId="0" fontId="0" fillId="0" borderId="0" xfId="0"/>
    <xf numFmtId="0" fontId="77" fillId="7" borderId="75" xfId="0" applyFont="1" applyFill="1" applyBorder="1"/>
    <xf numFmtId="0" fontId="77" fillId="7" borderId="63" xfId="0" applyFont="1" applyFill="1" applyBorder="1"/>
    <xf numFmtId="0" fontId="77" fillId="7" borderId="76" xfId="0" applyFont="1" applyFill="1" applyBorder="1"/>
    <xf numFmtId="0" fontId="0" fillId="7" borderId="77" xfId="0" applyFill="1" applyBorder="1"/>
    <xf numFmtId="0" fontId="0" fillId="7" borderId="78" xfId="0" applyNumberFormat="1" applyFill="1" applyBorder="1"/>
    <xf numFmtId="0" fontId="0" fillId="7" borderId="78" xfId="0" applyFill="1" applyBorder="1"/>
    <xf numFmtId="190" fontId="0" fillId="7" borderId="78" xfId="0" applyNumberFormat="1" applyFill="1" applyBorder="1"/>
    <xf numFmtId="190" fontId="0" fillId="7" borderId="79" xfId="0" applyNumberFormat="1" applyFill="1" applyBorder="1"/>
    <xf numFmtId="0" fontId="0" fillId="7" borderId="80" xfId="0" applyFill="1" applyBorder="1"/>
    <xf numFmtId="0" fontId="0" fillId="7" borderId="81" xfId="0" applyNumberFormat="1" applyFill="1" applyBorder="1"/>
    <xf numFmtId="0" fontId="0" fillId="7" borderId="81" xfId="0" applyFill="1" applyBorder="1"/>
    <xf numFmtId="190" fontId="0" fillId="7" borderId="81" xfId="0" applyNumberFormat="1" applyFill="1" applyBorder="1"/>
    <xf numFmtId="190" fontId="0" fillId="7" borderId="82" xfId="0" applyNumberFormat="1" applyFill="1" applyBorder="1"/>
    <xf numFmtId="0" fontId="0" fillId="7" borderId="83" xfId="0" applyFill="1" applyBorder="1"/>
    <xf numFmtId="0" fontId="0" fillId="7" borderId="84" xfId="0" applyNumberFormat="1" applyFill="1" applyBorder="1"/>
    <xf numFmtId="0" fontId="0" fillId="7" borderId="84" xfId="0" applyFill="1" applyBorder="1"/>
    <xf numFmtId="190" fontId="0" fillId="7" borderId="84" xfId="0" applyNumberFormat="1" applyFill="1" applyBorder="1"/>
    <xf numFmtId="190" fontId="0" fillId="7" borderId="85" xfId="0" applyNumberFormat="1" applyFill="1" applyBorder="1"/>
    <xf numFmtId="190" fontId="0" fillId="7" borderId="0" xfId="0" applyNumberFormat="1" applyFill="1" applyBorder="1" applyAlignment="1">
      <alignment horizontal="right" vertical="center"/>
    </xf>
    <xf numFmtId="175" fontId="0" fillId="23" borderId="0" xfId="789" applyNumberFormat="1" applyFont="1" applyBorder="1" applyAlignment="1">
      <alignment horizontal="right"/>
    </xf>
    <xf numFmtId="0" fontId="28" fillId="23" borderId="1" xfId="789" applyFont="1" applyBorder="1" applyAlignment="1">
      <alignment horizontal="left"/>
    </xf>
    <xf numFmtId="194" fontId="28" fillId="6" borderId="1" xfId="2" applyNumberFormat="1" applyFont="1" applyFill="1" applyBorder="1" applyAlignment="1">
      <alignment vertical="center"/>
    </xf>
    <xf numFmtId="190" fontId="10" fillId="0" borderId="0" xfId="2" applyFont="1" applyBorder="1" applyAlignment="1">
      <alignment horizontal="right"/>
    </xf>
    <xf numFmtId="191" fontId="10" fillId="0" borderId="8" xfId="2" applyNumberFormat="1" applyFont="1" applyBorder="1"/>
    <xf numFmtId="0" fontId="158" fillId="0" borderId="0" xfId="0" applyFont="1"/>
    <xf numFmtId="0" fontId="0" fillId="2" borderId="0" xfId="0" applyFill="1" applyBorder="1" applyAlignment="1">
      <alignment horizontal="center" vertical="center"/>
    </xf>
    <xf numFmtId="202" fontId="0" fillId="6" borderId="0" xfId="2" applyNumberFormat="1" applyFont="1" applyFill="1" applyBorder="1" applyAlignment="1">
      <alignment horizontal="right" vertical="center"/>
    </xf>
    <xf numFmtId="202" fontId="0" fillId="0" borderId="0" xfId="2" applyNumberFormat="1" applyFont="1" applyFill="1" applyBorder="1" applyAlignment="1">
      <alignment horizontal="right" vertical="center"/>
    </xf>
    <xf numFmtId="0" fontId="0" fillId="0" borderId="8" xfId="789" applyFont="1" applyFill="1" applyBorder="1" applyAlignment="1">
      <alignment horizontal="left"/>
    </xf>
    <xf numFmtId="0" fontId="0" fillId="0" borderId="8" xfId="0" applyFont="1" applyBorder="1"/>
    <xf numFmtId="190" fontId="0" fillId="0" borderId="8" xfId="2" applyFont="1" applyBorder="1" applyAlignment="1">
      <alignment vertical="center"/>
    </xf>
    <xf numFmtId="0" fontId="20" fillId="0" borderId="0" xfId="0" applyFont="1" applyBorder="1" applyAlignment="1">
      <alignment horizontal="right"/>
    </xf>
    <xf numFmtId="177" fontId="0" fillId="0" borderId="0" xfId="1" applyNumberFormat="1" applyFont="1" applyFill="1" applyBorder="1" applyAlignment="1">
      <alignment vertical="center"/>
    </xf>
    <xf numFmtId="202" fontId="0" fillId="0" borderId="0" xfId="2" applyNumberFormat="1" applyFont="1" applyFill="1" applyBorder="1" applyAlignment="1">
      <alignment horizontal="center"/>
    </xf>
    <xf numFmtId="1" fontId="0" fillId="0" borderId="0" xfId="2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vertical="center"/>
    </xf>
    <xf numFmtId="171" fontId="0" fillId="0" borderId="0" xfId="0" applyNumberFormat="1" applyFill="1" applyBorder="1" applyAlignment="1">
      <alignment vertical="center"/>
    </xf>
    <xf numFmtId="0" fontId="141" fillId="0" borderId="0" xfId="0" applyFont="1" applyFill="1" applyBorder="1"/>
    <xf numFmtId="0" fontId="141" fillId="0" borderId="0" xfId="0" quotePrefix="1" applyFont="1" applyFill="1" applyBorder="1"/>
    <xf numFmtId="200" fontId="0" fillId="0" borderId="0" xfId="0" applyNumberForma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71" fontId="0" fillId="0" borderId="0" xfId="0" applyNumberFormat="1" applyFill="1" applyBorder="1"/>
    <xf numFmtId="0" fontId="0" fillId="8" borderId="29" xfId="0" applyNumberFormat="1" applyFill="1" applyBorder="1" applyAlignment="1">
      <alignment horizontal="center" vertical="center"/>
    </xf>
    <xf numFmtId="0" fontId="0" fillId="8" borderId="47" xfId="0" applyNumberFormat="1" applyFill="1" applyBorder="1" applyAlignment="1">
      <alignment horizontal="center" vertical="center"/>
    </xf>
    <xf numFmtId="0" fontId="0" fillId="8" borderId="29" xfId="0" applyNumberFormat="1" applyFont="1" applyFill="1" applyBorder="1" applyAlignment="1">
      <alignment horizontal="center" vertical="center"/>
    </xf>
    <xf numFmtId="0" fontId="0" fillId="0" borderId="0" xfId="0"/>
    <xf numFmtId="0" fontId="20" fillId="0" borderId="65" xfId="0" applyFont="1" applyBorder="1" applyAlignment="1">
      <alignment horizontal="left"/>
    </xf>
    <xf numFmtId="0" fontId="20" fillId="0" borderId="5" xfId="0" applyFont="1" applyBorder="1" applyAlignment="1">
      <alignment horizontal="right"/>
    </xf>
    <xf numFmtId="0" fontId="20" fillId="0" borderId="65" xfId="0" applyFont="1" applyBorder="1" applyAlignment="1">
      <alignment horizontal="right"/>
    </xf>
    <xf numFmtId="0" fontId="20" fillId="0" borderId="66" xfId="0" applyFont="1" applyBorder="1" applyAlignment="1">
      <alignment horizontal="right"/>
    </xf>
    <xf numFmtId="0" fontId="0" fillId="0" borderId="55" xfId="0" applyFont="1" applyFill="1" applyBorder="1"/>
    <xf numFmtId="0" fontId="0" fillId="0" borderId="57" xfId="0" applyFont="1" applyFill="1" applyBorder="1"/>
    <xf numFmtId="9" fontId="0" fillId="0" borderId="53" xfId="0" applyNumberFormat="1" applyFill="1" applyBorder="1"/>
    <xf numFmtId="0" fontId="0" fillId="0" borderId="54" xfId="0" applyFill="1" applyBorder="1"/>
    <xf numFmtId="9" fontId="0" fillId="0" borderId="55" xfId="0" applyNumberFormat="1" applyFill="1" applyBorder="1"/>
    <xf numFmtId="0" fontId="0" fillId="0" borderId="0" xfId="0"/>
    <xf numFmtId="0" fontId="0" fillId="0" borderId="0" xfId="0"/>
    <xf numFmtId="0" fontId="20" fillId="11" borderId="47" xfId="0" applyFont="1" applyFill="1" applyBorder="1" applyAlignment="1">
      <alignment horizontal="center" textRotation="90"/>
    </xf>
    <xf numFmtId="0" fontId="20" fillId="11" borderId="29" xfId="0" applyFont="1" applyFill="1" applyBorder="1" applyAlignment="1">
      <alignment horizontal="left" textRotation="90"/>
    </xf>
    <xf numFmtId="0" fontId="93" fillId="58" borderId="29" xfId="0" applyFont="1" applyFill="1" applyBorder="1" applyAlignment="1">
      <alignment horizontal="center" vertical="center"/>
    </xf>
    <xf numFmtId="0" fontId="13" fillId="18" borderId="47" xfId="0" applyNumberFormat="1" applyFont="1" applyFill="1" applyBorder="1" applyAlignment="1">
      <alignment vertical="center" wrapText="1"/>
    </xf>
    <xf numFmtId="0" fontId="13" fillId="18" borderId="29" xfId="0" applyNumberFormat="1" applyFont="1" applyFill="1" applyBorder="1" applyAlignment="1">
      <alignment vertical="center" wrapText="1"/>
    </xf>
    <xf numFmtId="0" fontId="13" fillId="18" borderId="29" xfId="0" applyNumberFormat="1" applyFont="1" applyFill="1" applyBorder="1" applyAlignment="1">
      <alignment horizontal="center" vertical="center" wrapText="1"/>
    </xf>
    <xf numFmtId="0" fontId="159" fillId="59" borderId="29" xfId="0" applyFont="1" applyFill="1" applyBorder="1" applyAlignment="1">
      <alignment horizontal="center" vertical="center" wrapText="1"/>
    </xf>
    <xf numFmtId="0" fontId="0" fillId="8" borderId="47" xfId="0" applyNumberFormat="1" applyFont="1" applyFill="1" applyBorder="1" applyAlignment="1">
      <alignment horizontal="center" vertical="center"/>
    </xf>
    <xf numFmtId="0" fontId="93" fillId="0" borderId="0" xfId="0" applyFont="1" applyFill="1" applyBorder="1" applyAlignment="1">
      <alignment horizontal="center" vertical="center"/>
    </xf>
    <xf numFmtId="0" fontId="0" fillId="8" borderId="64" xfId="0" applyNumberFormat="1" applyFill="1" applyBorder="1" applyAlignment="1">
      <alignment horizontal="center" vertical="center"/>
    </xf>
    <xf numFmtId="0" fontId="13" fillId="18" borderId="64" xfId="0" applyNumberFormat="1" applyFont="1" applyFill="1" applyBorder="1" applyAlignment="1">
      <alignment vertical="center" wrapText="1"/>
    </xf>
    <xf numFmtId="0" fontId="0" fillId="8" borderId="64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vertical="center"/>
    </xf>
    <xf numFmtId="0" fontId="100" fillId="0" borderId="0" xfId="0" applyFont="1" applyBorder="1" applyAlignment="1">
      <alignment horizontal="center" vertical="center"/>
    </xf>
    <xf numFmtId="0" fontId="100" fillId="0" borderId="0" xfId="0" applyFont="1" applyFill="1" applyBorder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16" fillId="19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47" xfId="0" applyFont="1" applyBorder="1" applyAlignment="1">
      <alignment horizontal="left" vertical="center" wrapText="1"/>
    </xf>
    <xf numFmtId="177" fontId="2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8" fillId="4" borderId="0" xfId="0" applyFont="1" applyFill="1" applyBorder="1" applyAlignment="1">
      <alignment horizontal="right"/>
    </xf>
    <xf numFmtId="0" fontId="40" fillId="4" borderId="4" xfId="0" applyFont="1" applyFill="1" applyBorder="1" applyAlignment="1">
      <alignment horizontal="center"/>
    </xf>
    <xf numFmtId="0" fontId="40" fillId="4" borderId="0" xfId="0" applyFont="1" applyFill="1" applyBorder="1" applyAlignment="1">
      <alignment horizontal="right"/>
    </xf>
    <xf numFmtId="0" fontId="38" fillId="4" borderId="0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/>
    </xf>
    <xf numFmtId="0" fontId="36" fillId="4" borderId="7" xfId="0" applyFont="1" applyFill="1" applyBorder="1" applyAlignment="1">
      <alignment horizontal="center"/>
    </xf>
    <xf numFmtId="0" fontId="38" fillId="4" borderId="7" xfId="0" applyFont="1" applyFill="1" applyBorder="1" applyAlignment="1">
      <alignment horizontal="right"/>
    </xf>
    <xf numFmtId="0" fontId="31" fillId="4" borderId="0" xfId="0" applyFont="1" applyFill="1" applyAlignment="1">
      <alignment horizontal="center"/>
    </xf>
    <xf numFmtId="0" fontId="72" fillId="4" borderId="0" xfId="0" applyFont="1" applyFill="1" applyAlignment="1">
      <alignment horizontal="center"/>
    </xf>
  </cellXfs>
  <cellStyles count="905">
    <cellStyle name="20% - Accent1 2" xfId="453"/>
    <cellStyle name="20% - Accent1 3" xfId="832"/>
    <cellStyle name="20% - Accent1 4" xfId="836"/>
    <cellStyle name="20% - Accent1 5" xfId="850"/>
    <cellStyle name="20% - Accent2" xfId="813" builtinId="34" customBuiltin="1"/>
    <cellStyle name="20% - Accent2 2" xfId="838"/>
    <cellStyle name="20% - Accent2 3" xfId="852"/>
    <cellStyle name="20% - Accent3" xfId="817" builtinId="38" customBuiltin="1"/>
    <cellStyle name="20% - Accent3 2" xfId="840"/>
    <cellStyle name="20% - Accent3 3" xfId="854"/>
    <cellStyle name="20% - Accent4" xfId="821" builtinId="42" customBuiltin="1"/>
    <cellStyle name="20% - Accent4 2" xfId="842"/>
    <cellStyle name="20% - Accent4 3" xfId="856"/>
    <cellStyle name="20% - Accent5" xfId="825" builtinId="46" customBuiltin="1"/>
    <cellStyle name="20% - Accent5 2" xfId="844"/>
    <cellStyle name="20% - Accent5 3" xfId="858"/>
    <cellStyle name="20% - Accent6" xfId="8" builtinId="50"/>
    <cellStyle name="20% - Accent6 2" xfId="233"/>
    <cellStyle name="20% - Accent6 3" xfId="789"/>
    <cellStyle name="20% - Accent6 4" xfId="792"/>
    <cellStyle name="20% - Accent6 5" xfId="833"/>
    <cellStyle name="20% - Accent6 6" xfId="846"/>
    <cellStyle name="20% - Accent6 7" xfId="860"/>
    <cellStyle name="40% - Accent1" xfId="810" builtinId="31" customBuiltin="1"/>
    <cellStyle name="40% - Accent1 2" xfId="837"/>
    <cellStyle name="40% - Accent1 3" xfId="851"/>
    <cellStyle name="40% - Accent2" xfId="814" builtinId="35" customBuiltin="1"/>
    <cellStyle name="40% - Accent2 2" xfId="839"/>
    <cellStyle name="40% - Accent2 3" xfId="853"/>
    <cellStyle name="40% - Accent3" xfId="818" builtinId="39" customBuiltin="1"/>
    <cellStyle name="40% - Accent3 2" xfId="841"/>
    <cellStyle name="40% - Accent3 3" xfId="855"/>
    <cellStyle name="40% - Accent4" xfId="822" builtinId="43" customBuiltin="1"/>
    <cellStyle name="40% - Accent4 2" xfId="843"/>
    <cellStyle name="40% - Accent4 3" xfId="857"/>
    <cellStyle name="40% - Accent5" xfId="826" builtinId="47" customBuiltin="1"/>
    <cellStyle name="40% - Accent5 2" xfId="845"/>
    <cellStyle name="40% - Accent5 3" xfId="859"/>
    <cellStyle name="40% - Accent6" xfId="828" builtinId="51" customBuiltin="1"/>
    <cellStyle name="40% - Accent6 2" xfId="847"/>
    <cellStyle name="40% - Accent6 3" xfId="861"/>
    <cellStyle name="60% - Accent1" xfId="811" builtinId="32" customBuiltin="1"/>
    <cellStyle name="60% - Accent2" xfId="815" builtinId="36" customBuiltin="1"/>
    <cellStyle name="60% - Accent3" xfId="819" builtinId="40" customBuiltin="1"/>
    <cellStyle name="60% - Accent4" xfId="823" builtinId="44" customBuiltin="1"/>
    <cellStyle name="60% - Accent5" xfId="827" builtinId="48" customBuiltin="1"/>
    <cellStyle name="60% - Accent6" xfId="829" builtinId="52" customBuiltin="1"/>
    <cellStyle name="Accent1" xfId="809" builtinId="29" customBuiltin="1"/>
    <cellStyle name="Accent2" xfId="812" builtinId="33" customBuiltin="1"/>
    <cellStyle name="Accent3" xfId="816" builtinId="37" customBuiltin="1"/>
    <cellStyle name="Accent4" xfId="820" builtinId="41" customBuiltin="1"/>
    <cellStyle name="Accent5" xfId="824" builtinId="45" customBuiltin="1"/>
    <cellStyle name="Accent6" xfId="794" builtinId="49" customBuiltin="1"/>
    <cellStyle name="Bad" xfId="800" builtinId="27" customBuiltin="1"/>
    <cellStyle name="Calculation" xfId="803" builtinId="22" customBuiltin="1"/>
    <cellStyle name="Check Cell" xfId="805" builtinId="23" customBuiltin="1"/>
    <cellStyle name="Comma" xfId="2" builtinId="3" customBuiltin="1"/>
    <cellStyle name="Comma 2" xfId="456"/>
    <cellStyle name="Comma 3" xfId="904"/>
    <cellStyle name="Currency" xfId="793" builtinId="4"/>
    <cellStyle name="Excel Built-in Normal" xfId="229"/>
    <cellStyle name="Explanatory Text" xfId="807" builtinId="53" customBuilti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77" builtinId="9" hidden="1"/>
    <cellStyle name="Followed Hyperlink" xfId="673" builtinId="9" hidden="1"/>
    <cellStyle name="Followed Hyperlink" xfId="669" builtinId="9" hidden="1"/>
    <cellStyle name="Followed Hyperlink" xfId="665" builtinId="9" hidden="1"/>
    <cellStyle name="Followed Hyperlink" xfId="661" builtinId="9" hidden="1"/>
    <cellStyle name="Followed Hyperlink" xfId="657" builtinId="9" hidden="1"/>
    <cellStyle name="Followed Hyperlink" xfId="653" builtinId="9" hidden="1"/>
    <cellStyle name="Followed Hyperlink" xfId="649" builtinId="9" hidden="1"/>
    <cellStyle name="Followed Hyperlink" xfId="645" builtinId="9" hidden="1"/>
    <cellStyle name="Followed Hyperlink" xfId="641" builtinId="9" hidden="1"/>
    <cellStyle name="Followed Hyperlink" xfId="637" builtinId="9" hidden="1"/>
    <cellStyle name="Followed Hyperlink" xfId="633" builtinId="9" hidden="1"/>
    <cellStyle name="Followed Hyperlink" xfId="629" builtinId="9" hidden="1"/>
    <cellStyle name="Followed Hyperlink" xfId="625" builtinId="9" hidden="1"/>
    <cellStyle name="Followed Hyperlink" xfId="621" builtinId="9" hidden="1"/>
    <cellStyle name="Followed Hyperlink" xfId="617" builtinId="9" hidden="1"/>
    <cellStyle name="Followed Hyperlink" xfId="613" builtinId="9" hidden="1"/>
    <cellStyle name="Followed Hyperlink" xfId="609" builtinId="9" hidden="1"/>
    <cellStyle name="Followed Hyperlink" xfId="605" builtinId="9" hidden="1"/>
    <cellStyle name="Followed Hyperlink" xfId="601" builtinId="9" hidden="1"/>
    <cellStyle name="Followed Hyperlink" xfId="597" builtinId="9" hidden="1"/>
    <cellStyle name="Followed Hyperlink" xfId="593" builtinId="9" hidden="1"/>
    <cellStyle name="Followed Hyperlink" xfId="589" builtinId="9" hidden="1"/>
    <cellStyle name="Followed Hyperlink" xfId="585" builtinId="9" hidden="1"/>
    <cellStyle name="Followed Hyperlink" xfId="581" builtinId="9" hidden="1"/>
    <cellStyle name="Followed Hyperlink" xfId="577" builtinId="9" hidden="1"/>
    <cellStyle name="Followed Hyperlink" xfId="573" builtinId="9" hidden="1"/>
    <cellStyle name="Followed Hyperlink" xfId="569" builtinId="9" hidden="1"/>
    <cellStyle name="Followed Hyperlink" xfId="565" builtinId="9" hidden="1"/>
    <cellStyle name="Followed Hyperlink" xfId="561" builtinId="9" hidden="1"/>
    <cellStyle name="Followed Hyperlink" xfId="557" builtinId="9" hidden="1"/>
    <cellStyle name="Followed Hyperlink" xfId="553" builtinId="9" hidden="1"/>
    <cellStyle name="Followed Hyperlink" xfId="549" builtinId="9" hidden="1"/>
    <cellStyle name="Followed Hyperlink" xfId="545" builtinId="9" hidden="1"/>
    <cellStyle name="Followed Hyperlink" xfId="541" builtinId="9" hidden="1"/>
    <cellStyle name="Followed Hyperlink" xfId="537" builtinId="9" hidden="1"/>
    <cellStyle name="Followed Hyperlink" xfId="533" builtinId="9" hidden="1"/>
    <cellStyle name="Followed Hyperlink" xfId="529" builtinId="9" hidden="1"/>
    <cellStyle name="Followed Hyperlink" xfId="525" builtinId="9" hidden="1"/>
    <cellStyle name="Followed Hyperlink" xfId="521" builtinId="9" hidden="1"/>
    <cellStyle name="Followed Hyperlink" xfId="517" builtinId="9" hidden="1"/>
    <cellStyle name="Followed Hyperlink" xfId="513" builtinId="9" hidden="1"/>
    <cellStyle name="Followed Hyperlink" xfId="509" builtinId="9" hidden="1"/>
    <cellStyle name="Followed Hyperlink" xfId="505" builtinId="9" hidden="1"/>
    <cellStyle name="Followed Hyperlink" xfId="501" builtinId="9" hidden="1"/>
    <cellStyle name="Followed Hyperlink" xfId="497" builtinId="9" hidden="1"/>
    <cellStyle name="Followed Hyperlink" xfId="493" builtinId="9" hidden="1"/>
    <cellStyle name="Followed Hyperlink" xfId="489" builtinId="9" hidden="1"/>
    <cellStyle name="Followed Hyperlink" xfId="485" builtinId="9" hidden="1"/>
    <cellStyle name="Followed Hyperlink" xfId="481" builtinId="9" hidden="1"/>
    <cellStyle name="Followed Hyperlink" xfId="477" builtinId="9" hidden="1"/>
    <cellStyle name="Followed Hyperlink" xfId="473" builtinId="9" hidden="1"/>
    <cellStyle name="Followed Hyperlink" xfId="469" builtinId="9" hidden="1"/>
    <cellStyle name="Followed Hyperlink" xfId="465" builtinId="9" hidden="1"/>
    <cellStyle name="Followed Hyperlink" xfId="461" builtinId="9" hidden="1"/>
    <cellStyle name="Followed Hyperlink" xfId="679" builtinId="9" hidden="1"/>
    <cellStyle name="Followed Hyperlink" xfId="232" builtinId="9" hidden="1"/>
    <cellStyle name="Followed Hyperlink" xfId="680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Good" xfId="788" builtinId="26" customBuiltin="1"/>
    <cellStyle name="Heading 1" xfId="796" builtinId="16" customBuiltin="1"/>
    <cellStyle name="Heading 2" xfId="797" builtinId="17" customBuiltin="1"/>
    <cellStyle name="Heading 3" xfId="798" builtinId="18" customBuiltin="1"/>
    <cellStyle name="Heading 4" xfId="799" builtinId="19" customBuilti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30" builtinId="8"/>
    <cellStyle name="Hyperlink 10" xfId="249" hidden="1"/>
    <cellStyle name="Hyperlink 10" xfId="647"/>
    <cellStyle name="Hyperlink 100" xfId="429" hidden="1"/>
    <cellStyle name="Hyperlink 100" xfId="763"/>
    <cellStyle name="Hyperlink 101" xfId="431" hidden="1"/>
    <cellStyle name="Hyperlink 101" xfId="765"/>
    <cellStyle name="Hyperlink 102" xfId="433" hidden="1"/>
    <cellStyle name="Hyperlink 102" xfId="767"/>
    <cellStyle name="Hyperlink 103" xfId="435" hidden="1"/>
    <cellStyle name="Hyperlink 103" xfId="769"/>
    <cellStyle name="Hyperlink 104" xfId="437" hidden="1"/>
    <cellStyle name="Hyperlink 104" xfId="771"/>
    <cellStyle name="Hyperlink 105" xfId="439" hidden="1"/>
    <cellStyle name="Hyperlink 105" xfId="773"/>
    <cellStyle name="Hyperlink 106" xfId="441" hidden="1"/>
    <cellStyle name="Hyperlink 106" xfId="775"/>
    <cellStyle name="Hyperlink 107" xfId="443" hidden="1"/>
    <cellStyle name="Hyperlink 107" xfId="777"/>
    <cellStyle name="Hyperlink 108" xfId="445" hidden="1"/>
    <cellStyle name="Hyperlink 108" xfId="779"/>
    <cellStyle name="Hyperlink 109" xfId="447" hidden="1"/>
    <cellStyle name="Hyperlink 109" xfId="781"/>
    <cellStyle name="Hyperlink 11" xfId="251" hidden="1"/>
    <cellStyle name="Hyperlink 11" xfId="643"/>
    <cellStyle name="Hyperlink 110" xfId="449" hidden="1"/>
    <cellStyle name="Hyperlink 110" xfId="783"/>
    <cellStyle name="Hyperlink 111" xfId="451" hidden="1"/>
    <cellStyle name="Hyperlink 111" xfId="785"/>
    <cellStyle name="Hyperlink 12" xfId="253" hidden="1"/>
    <cellStyle name="Hyperlink 12" xfId="639"/>
    <cellStyle name="Hyperlink 13" xfId="255" hidden="1"/>
    <cellStyle name="Hyperlink 13" xfId="635"/>
    <cellStyle name="Hyperlink 14" xfId="257" hidden="1"/>
    <cellStyle name="Hyperlink 14" xfId="631"/>
    <cellStyle name="Hyperlink 15" xfId="259" hidden="1"/>
    <cellStyle name="Hyperlink 15" xfId="627"/>
    <cellStyle name="Hyperlink 16" xfId="261" hidden="1"/>
    <cellStyle name="Hyperlink 16" xfId="623"/>
    <cellStyle name="Hyperlink 17" xfId="263" hidden="1"/>
    <cellStyle name="Hyperlink 17" xfId="619"/>
    <cellStyle name="Hyperlink 18" xfId="265" hidden="1"/>
    <cellStyle name="Hyperlink 18" xfId="615"/>
    <cellStyle name="Hyperlink 19" xfId="267" hidden="1"/>
    <cellStyle name="Hyperlink 19" xfId="611"/>
    <cellStyle name="Hyperlink 2" xfId="231" hidden="1"/>
    <cellStyle name="Hyperlink 2" xfId="454" hidden="1"/>
    <cellStyle name="Hyperlink 2" xfId="681" hidden="1"/>
    <cellStyle name="Hyperlink 2" xfId="787"/>
    <cellStyle name="Hyperlink 20" xfId="269" hidden="1"/>
    <cellStyle name="Hyperlink 20" xfId="607"/>
    <cellStyle name="Hyperlink 21" xfId="271" hidden="1"/>
    <cellStyle name="Hyperlink 21" xfId="603"/>
    <cellStyle name="Hyperlink 22" xfId="273" hidden="1"/>
    <cellStyle name="Hyperlink 22" xfId="599"/>
    <cellStyle name="Hyperlink 23" xfId="275" hidden="1"/>
    <cellStyle name="Hyperlink 23" xfId="595"/>
    <cellStyle name="Hyperlink 24" xfId="277" hidden="1"/>
    <cellStyle name="Hyperlink 24" xfId="591"/>
    <cellStyle name="Hyperlink 25" xfId="279" hidden="1"/>
    <cellStyle name="Hyperlink 25" xfId="587"/>
    <cellStyle name="Hyperlink 26" xfId="281" hidden="1"/>
    <cellStyle name="Hyperlink 26" xfId="583"/>
    <cellStyle name="Hyperlink 27" xfId="283" hidden="1"/>
    <cellStyle name="Hyperlink 27" xfId="579"/>
    <cellStyle name="Hyperlink 28" xfId="285" hidden="1"/>
    <cellStyle name="Hyperlink 28" xfId="575"/>
    <cellStyle name="Hyperlink 29" xfId="287" hidden="1"/>
    <cellStyle name="Hyperlink 29" xfId="571"/>
    <cellStyle name="Hyperlink 3" xfId="235" hidden="1"/>
    <cellStyle name="Hyperlink 3" xfId="675"/>
    <cellStyle name="Hyperlink 30" xfId="289" hidden="1"/>
    <cellStyle name="Hyperlink 30" xfId="567"/>
    <cellStyle name="Hyperlink 31" xfId="291" hidden="1"/>
    <cellStyle name="Hyperlink 31" xfId="563"/>
    <cellStyle name="Hyperlink 32" xfId="293" hidden="1"/>
    <cellStyle name="Hyperlink 32" xfId="559"/>
    <cellStyle name="Hyperlink 33" xfId="295" hidden="1"/>
    <cellStyle name="Hyperlink 33" xfId="555"/>
    <cellStyle name="Hyperlink 34" xfId="297" hidden="1"/>
    <cellStyle name="Hyperlink 34" xfId="551"/>
    <cellStyle name="Hyperlink 35" xfId="299" hidden="1"/>
    <cellStyle name="Hyperlink 35" xfId="547"/>
    <cellStyle name="Hyperlink 36" xfId="301" hidden="1"/>
    <cellStyle name="Hyperlink 36" xfId="543"/>
    <cellStyle name="Hyperlink 37" xfId="303" hidden="1"/>
    <cellStyle name="Hyperlink 37" xfId="539"/>
    <cellStyle name="Hyperlink 38" xfId="305" hidden="1"/>
    <cellStyle name="Hyperlink 38" xfId="535"/>
    <cellStyle name="Hyperlink 39" xfId="307" hidden="1"/>
    <cellStyle name="Hyperlink 39" xfId="531"/>
    <cellStyle name="Hyperlink 4" xfId="237" hidden="1"/>
    <cellStyle name="Hyperlink 4" xfId="671"/>
    <cellStyle name="Hyperlink 40" xfId="309" hidden="1"/>
    <cellStyle name="Hyperlink 40" xfId="527"/>
    <cellStyle name="Hyperlink 41" xfId="311" hidden="1"/>
    <cellStyle name="Hyperlink 41" xfId="523"/>
    <cellStyle name="Hyperlink 42" xfId="313" hidden="1"/>
    <cellStyle name="Hyperlink 42" xfId="519"/>
    <cellStyle name="Hyperlink 43" xfId="315" hidden="1"/>
    <cellStyle name="Hyperlink 43" xfId="515"/>
    <cellStyle name="Hyperlink 44" xfId="317" hidden="1"/>
    <cellStyle name="Hyperlink 44" xfId="511"/>
    <cellStyle name="Hyperlink 45" xfId="319" hidden="1"/>
    <cellStyle name="Hyperlink 45" xfId="507"/>
    <cellStyle name="Hyperlink 46" xfId="321" hidden="1"/>
    <cellStyle name="Hyperlink 46" xfId="503"/>
    <cellStyle name="Hyperlink 47" xfId="323" hidden="1"/>
    <cellStyle name="Hyperlink 47" xfId="499"/>
    <cellStyle name="Hyperlink 48" xfId="325" hidden="1"/>
    <cellStyle name="Hyperlink 48" xfId="495"/>
    <cellStyle name="Hyperlink 49" xfId="327" hidden="1"/>
    <cellStyle name="Hyperlink 49" xfId="491"/>
    <cellStyle name="Hyperlink 5" xfId="239" hidden="1"/>
    <cellStyle name="Hyperlink 5" xfId="667"/>
    <cellStyle name="Hyperlink 50" xfId="329" hidden="1"/>
    <cellStyle name="Hyperlink 50" xfId="487"/>
    <cellStyle name="Hyperlink 51" xfId="331" hidden="1"/>
    <cellStyle name="Hyperlink 51" xfId="483"/>
    <cellStyle name="Hyperlink 52" xfId="333" hidden="1"/>
    <cellStyle name="Hyperlink 52" xfId="479"/>
    <cellStyle name="Hyperlink 53" xfId="335" hidden="1"/>
    <cellStyle name="Hyperlink 53" xfId="475"/>
    <cellStyle name="Hyperlink 54" xfId="337" hidden="1"/>
    <cellStyle name="Hyperlink 54" xfId="471"/>
    <cellStyle name="Hyperlink 55" xfId="339" hidden="1"/>
    <cellStyle name="Hyperlink 55" xfId="467"/>
    <cellStyle name="Hyperlink 56" xfId="341" hidden="1"/>
    <cellStyle name="Hyperlink 56" xfId="463"/>
    <cellStyle name="Hyperlink 57" xfId="343" hidden="1"/>
    <cellStyle name="Hyperlink 57" xfId="459"/>
    <cellStyle name="Hyperlink 58" xfId="345" hidden="1"/>
    <cellStyle name="Hyperlink 58" xfId="682"/>
    <cellStyle name="Hyperlink 59" xfId="347" hidden="1"/>
    <cellStyle name="Hyperlink 59" xfId="458"/>
    <cellStyle name="Hyperlink 6" xfId="241" hidden="1"/>
    <cellStyle name="Hyperlink 6" xfId="663"/>
    <cellStyle name="Hyperlink 60" xfId="349" hidden="1"/>
    <cellStyle name="Hyperlink 60" xfId="683"/>
    <cellStyle name="Hyperlink 61" xfId="351" hidden="1"/>
    <cellStyle name="Hyperlink 61" xfId="685"/>
    <cellStyle name="Hyperlink 62" xfId="353" hidden="1"/>
    <cellStyle name="Hyperlink 62" xfId="687"/>
    <cellStyle name="Hyperlink 63" xfId="355" hidden="1"/>
    <cellStyle name="Hyperlink 63" xfId="689"/>
    <cellStyle name="Hyperlink 64" xfId="357" hidden="1"/>
    <cellStyle name="Hyperlink 64" xfId="691"/>
    <cellStyle name="Hyperlink 65" xfId="359" hidden="1"/>
    <cellStyle name="Hyperlink 65" xfId="693"/>
    <cellStyle name="Hyperlink 66" xfId="361" hidden="1"/>
    <cellStyle name="Hyperlink 66" xfId="695"/>
    <cellStyle name="Hyperlink 67" xfId="363" hidden="1"/>
    <cellStyle name="Hyperlink 67" xfId="697"/>
    <cellStyle name="Hyperlink 68" xfId="365" hidden="1"/>
    <cellStyle name="Hyperlink 68" xfId="699"/>
    <cellStyle name="Hyperlink 69" xfId="367" hidden="1"/>
    <cellStyle name="Hyperlink 69" xfId="701"/>
    <cellStyle name="Hyperlink 7" xfId="243" hidden="1"/>
    <cellStyle name="Hyperlink 7" xfId="659"/>
    <cellStyle name="Hyperlink 70" xfId="369" hidden="1"/>
    <cellStyle name="Hyperlink 70" xfId="703"/>
    <cellStyle name="Hyperlink 71" xfId="371" hidden="1"/>
    <cellStyle name="Hyperlink 71" xfId="705"/>
    <cellStyle name="Hyperlink 72" xfId="373" hidden="1"/>
    <cellStyle name="Hyperlink 72" xfId="707"/>
    <cellStyle name="Hyperlink 73" xfId="375" hidden="1"/>
    <cellStyle name="Hyperlink 73" xfId="709"/>
    <cellStyle name="Hyperlink 74" xfId="377" hidden="1"/>
    <cellStyle name="Hyperlink 74" xfId="711"/>
    <cellStyle name="Hyperlink 75" xfId="379" hidden="1"/>
    <cellStyle name="Hyperlink 75" xfId="713"/>
    <cellStyle name="Hyperlink 76" xfId="381" hidden="1"/>
    <cellStyle name="Hyperlink 76" xfId="715"/>
    <cellStyle name="Hyperlink 77" xfId="383" hidden="1"/>
    <cellStyle name="Hyperlink 77" xfId="717"/>
    <cellStyle name="Hyperlink 78" xfId="385" hidden="1"/>
    <cellStyle name="Hyperlink 78" xfId="719"/>
    <cellStyle name="Hyperlink 79" xfId="387" hidden="1"/>
    <cellStyle name="Hyperlink 79" xfId="721"/>
    <cellStyle name="Hyperlink 8" xfId="245" hidden="1"/>
    <cellStyle name="Hyperlink 8" xfId="655"/>
    <cellStyle name="Hyperlink 80" xfId="389" hidden="1"/>
    <cellStyle name="Hyperlink 80" xfId="723"/>
    <cellStyle name="Hyperlink 81" xfId="391" hidden="1"/>
    <cellStyle name="Hyperlink 81" xfId="725"/>
    <cellStyle name="Hyperlink 82" xfId="393" hidden="1"/>
    <cellStyle name="Hyperlink 82" xfId="727"/>
    <cellStyle name="Hyperlink 83" xfId="395" hidden="1"/>
    <cellStyle name="Hyperlink 83" xfId="729"/>
    <cellStyle name="Hyperlink 84" xfId="397" hidden="1"/>
    <cellStyle name="Hyperlink 84" xfId="731"/>
    <cellStyle name="Hyperlink 85" xfId="399" hidden="1"/>
    <cellStyle name="Hyperlink 85" xfId="733"/>
    <cellStyle name="Hyperlink 86" xfId="401" hidden="1"/>
    <cellStyle name="Hyperlink 86" xfId="735"/>
    <cellStyle name="Hyperlink 87" xfId="403" hidden="1"/>
    <cellStyle name="Hyperlink 87" xfId="737"/>
    <cellStyle name="Hyperlink 88" xfId="405" hidden="1"/>
    <cellStyle name="Hyperlink 88" xfId="739"/>
    <cellStyle name="Hyperlink 89" xfId="407" hidden="1"/>
    <cellStyle name="Hyperlink 89" xfId="741"/>
    <cellStyle name="Hyperlink 9" xfId="247" hidden="1"/>
    <cellStyle name="Hyperlink 9" xfId="651"/>
    <cellStyle name="Hyperlink 90" xfId="409" hidden="1"/>
    <cellStyle name="Hyperlink 90" xfId="743"/>
    <cellStyle name="Hyperlink 91" xfId="411" hidden="1"/>
    <cellStyle name="Hyperlink 91" xfId="745"/>
    <cellStyle name="Hyperlink 92" xfId="413" hidden="1"/>
    <cellStyle name="Hyperlink 92" xfId="747"/>
    <cellStyle name="Hyperlink 93" xfId="415" hidden="1"/>
    <cellStyle name="Hyperlink 93" xfId="749"/>
    <cellStyle name="Hyperlink 94" xfId="417" hidden="1"/>
    <cellStyle name="Hyperlink 94" xfId="751"/>
    <cellStyle name="Hyperlink 95" xfId="419" hidden="1"/>
    <cellStyle name="Hyperlink 95" xfId="753"/>
    <cellStyle name="Hyperlink 96" xfId="421" hidden="1"/>
    <cellStyle name="Hyperlink 96" xfId="755"/>
    <cellStyle name="Hyperlink 97" xfId="423" hidden="1"/>
    <cellStyle name="Hyperlink 97" xfId="757"/>
    <cellStyle name="Hyperlink 98" xfId="425" hidden="1"/>
    <cellStyle name="Hyperlink 98" xfId="759"/>
    <cellStyle name="Hyperlink 99" xfId="427" hidden="1"/>
    <cellStyle name="Hyperlink 99" xfId="761"/>
    <cellStyle name="Input" xfId="3" builtinId="20" customBuiltin="1"/>
    <cellStyle name="Linked Cell" xfId="804" builtinId="24" customBuiltin="1"/>
    <cellStyle name="Neutral" xfId="801" builtinId="28" customBuiltin="1"/>
    <cellStyle name="Normal" xfId="0" builtinId="0" customBuiltin="1"/>
    <cellStyle name="Normal 2" xfId="6"/>
    <cellStyle name="Normal 2 2" xfId="457"/>
    <cellStyle name="Normal 2 2 2" xfId="791"/>
    <cellStyle name="Normal 3" xfId="455"/>
    <cellStyle name="Normal 3 2" xfId="790"/>
    <cellStyle name="Normal 4" xfId="830"/>
    <cellStyle name="Normal 5" xfId="834"/>
    <cellStyle name="Normal 6" xfId="848"/>
    <cellStyle name="Normal 7" xfId="862"/>
    <cellStyle name="Note 2" xfId="831"/>
    <cellStyle name="Note 3" xfId="835"/>
    <cellStyle name="Note 4" xfId="849"/>
    <cellStyle name="ofwhich" xfId="4"/>
    <cellStyle name="Output" xfId="802" builtinId="21" customBuiltin="1"/>
    <cellStyle name="Percent" xfId="1" builtinId="5" customBuiltin="1"/>
    <cellStyle name="Percent 2" xfId="7"/>
    <cellStyle name="Table_HeaderRow" xfId="5"/>
    <cellStyle name="Title" xfId="795" builtinId="15" customBuiltin="1"/>
    <cellStyle name="Total" xfId="808" builtinId="25" customBuiltin="1"/>
    <cellStyle name="Warning Text" xfId="806" builtinId="11" customBuiltin="1"/>
  </cellStyles>
  <dxfs count="381">
    <dxf>
      <font>
        <b val="0"/>
        <i/>
        <condense val="0"/>
        <extend val="0"/>
      </font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5" tint="0.59996337778862885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190" formatCode="#,##0.0_);\(#,##0.0\);&quot;-&quot;_);@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border outline="0">
        <top style="thin">
          <color theme="5" tint="0.59996337778862885"/>
        </top>
      </border>
    </dxf>
    <dxf>
      <border outline="0">
        <top style="thin">
          <color theme="1"/>
        </top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/>
    </dxf>
    <dxf>
      <border outline="0">
        <bottom style="thin">
          <color theme="5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5" tint="0.59996337778862885"/>
        </left>
        <right style="thin">
          <color theme="5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font>
        <strike val="0"/>
        <outline val="0"/>
        <shadow val="0"/>
        <name val="Cambria"/>
        <scheme val="minor"/>
      </font>
      <fill>
        <patternFill patternType="solid">
          <fgColor rgb="FF000000"/>
          <bgColor rgb="FFEAF1DD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font>
        <strike val="0"/>
        <outline val="0"/>
        <shadow val="0"/>
        <name val="Cambria"/>
        <scheme val="minor"/>
      </font>
      <fill>
        <patternFill patternType="solid">
          <fgColor rgb="FF000000"/>
          <bgColor rgb="FFEAF1DD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name val="Cambria"/>
        <scheme val="minor"/>
      </font>
      <numFmt numFmtId="0" formatCode="General"/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3" tint="0.79998168889431442"/>
        </patternFill>
      </fill>
    </dxf>
    <dxf>
      <border outline="0">
        <top style="thin">
          <color theme="1" tint="4.9989318521683403E-2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border outline="0"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0" formatCode="#,##0.0_);\(#,##0.0\);&quot;-&quot;_);@"/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name val="Cambria"/>
        <scheme val="minor"/>
      </font>
    </dxf>
    <dxf>
      <font>
        <strike val="0"/>
        <outline val="0"/>
        <shadow val="0"/>
        <name val="Cambria"/>
        <scheme val="minor"/>
      </font>
      <fill>
        <patternFill patternType="solid">
          <fgColor rgb="FF000000"/>
          <bgColor rgb="FFEAF1DD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fill>
        <patternFill patternType="solid">
          <fgColor theme="5" tint="0.59999389629810485"/>
          <bgColor theme="3" tint="0.79998168889431442"/>
        </patternFill>
      </fill>
      <alignment horizontal="left" vertical="center" textRotation="0" wrapText="1" relativeIndent="0" justifyLastLine="0" shrinkToFit="0" readingOrder="0"/>
    </dxf>
    <dxf>
      <fill>
        <patternFill patternType="solid">
          <fgColor theme="5" tint="0.59999389629810485"/>
          <bgColor theme="3" tint="0.79998168889431442"/>
        </patternFill>
      </fill>
      <alignment horizontal="general" vertical="center" textRotation="0" wrapText="0" relative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ill>
        <patternFill patternType="solid">
          <fgColor theme="5" tint="0.59999389629810485"/>
          <bgColor theme="3" tint="0.79998168889431442"/>
        </patternFill>
      </fill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left style="thin">
          <color theme="0"/>
        </left>
        <bottom style="thin">
          <color theme="0"/>
        </bottom>
      </border>
    </dxf>
    <dxf>
      <border outline="0">
        <bottom style="thick">
          <color theme="0"/>
        </bottom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ajor"/>
      </font>
      <alignment horizontal="general" vertical="center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relativeIndent="0" justifyLastLine="0" shrinkToFit="0" readingOrder="0"/>
    </dxf>
    <dxf>
      <numFmt numFmtId="0" formatCode="General"/>
      <alignment horizontal="general" vertical="center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1" formatCode="0.000"/>
    </dxf>
    <dxf>
      <numFmt numFmtId="171" formatCode="0.000"/>
    </dxf>
    <dxf>
      <numFmt numFmtId="171" formatCode="0.000"/>
    </dxf>
    <dxf>
      <numFmt numFmtId="171" formatCode="0.00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5" formatCode="0.00E+00"/>
      <alignment horizontal="general" vertical="center" textRotation="0" wrapText="0" relative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91" formatCode="#,##0_);\(#,##0\);&quot;-&quot;_);@"/>
      <alignment horizontal="general" vertical="center" textRotation="0" wrapText="0" indent="0" justifyLastLine="0" shrinkToFit="0" readingOrder="0"/>
    </dxf>
    <dxf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91" formatCode="#,##0_);\(#,##0\);&quot;-&quot;_)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scheme val="minor"/>
      </font>
      <numFmt numFmtId="191" formatCode="#,##0_);\(#,##0\);&quot;-&quot;_);@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91" formatCode="#,##0_);\(#,##0\);&quot;-&quot;_);@"/>
      <alignment horizontal="general" vertical="center" textRotation="0" wrapText="0" indent="0" justifyLastLine="0" shrinkToFit="0" readingOrder="0"/>
    </dxf>
    <dxf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1" defaultTableStyle="TableStyleMedium2" defaultPivotStyle="PivotStyleLight16">
    <tableStyle name="EnergyCalcTables" pivot="0" count="4">
      <tableStyleElement type="wholeTable" dxfId="380"/>
      <tableStyleElement type="headerRow" dxfId="379"/>
      <tableStyleElement type="totalRow" dxfId="378"/>
      <tableStyleElement type="secondRowStripe" dxfId="377"/>
    </tableStyle>
  </tableStyles>
  <colors>
    <mruColors>
      <color rgb="FFFFFFFF"/>
      <color rgb="FFE9EFF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.xml"/><Relationship Id="rId21" Type="http://schemas.openxmlformats.org/officeDocument/2006/relationships/externalLink" Target="externalLinks/externalLink2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GB"/>
              <a:t>Demand</a:t>
            </a:r>
          </a:p>
        </c:rich>
      </c:tx>
      <c:layout>
        <c:manualLayout>
          <c:xMode val="edge"/>
          <c:yMode val="edge"/>
          <c:x val="0.297526101555078"/>
          <c:y val="0.0203821683310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269476729738"/>
          <c:y val="0.123391816889359"/>
          <c:w val="0.602543223852047"/>
          <c:h val="0.781358640435945"/>
        </c:manualLayout>
      </c:layout>
      <c:areaChart>
        <c:grouping val="stacked"/>
        <c:varyColors val="0"/>
        <c:ser>
          <c:idx val="0"/>
          <c:order val="0"/>
          <c:tx>
            <c:strRef>
              <c:f>'Intermediate output'!$D$7</c:f>
              <c:strCache>
                <c:ptCount val="1"/>
                <c:pt idx="0">
                  <c:v>Road transport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output'!$F$7:$F$7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'Intermediate output'!$D$8</c:f>
              <c:strCache>
                <c:ptCount val="1"/>
                <c:pt idx="0">
                  <c:v>Rail transport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output'!$F$8:$F$8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'Intermediate output'!$D$9</c:f>
              <c:strCache>
                <c:ptCount val="1"/>
                <c:pt idx="0">
                  <c:v>Domestic aviation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output'!$F$9:$F$9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'Intermediate output'!$D$10</c:f>
              <c:strCache>
                <c:ptCount val="1"/>
                <c:pt idx="0">
                  <c:v>National navigation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output'!$F$10:$F$10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'Intermediate output'!$D$11</c:f>
              <c:strCache>
                <c:ptCount val="1"/>
                <c:pt idx="0">
                  <c:v>International aviation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output'!$F$11:$F$11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'Intermediate output'!$D$12</c:f>
              <c:strCache>
                <c:ptCount val="1"/>
                <c:pt idx="0">
                  <c:v>International shipping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output'!$F$12:$F$12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'Intermediate output'!$D$14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output'!$F$14:$F$14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'Intermediate output'!$D$15</c:f>
              <c:strCache>
                <c:ptCount val="1"/>
                <c:pt idx="0">
                  <c:v>Heating &amp; cooling</c:v>
                </c:pt>
              </c:strCache>
            </c:strRef>
          </c:tx>
          <c:spPr>
            <a:solidFill>
              <a:schemeClr val="accent6"/>
            </a:solidFill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output'!$F$15:$F$15</c:f>
              <c:numCache>
                <c:formatCode>#,##0.0_);\(#,##0.0\);"-"_);@</c:formatCode>
                <c:ptCount val="1"/>
                <c:pt idx="0">
                  <c:v>382.5301859069655</c:v>
                </c:pt>
              </c:numCache>
            </c:numRef>
          </c:val>
        </c:ser>
        <c:ser>
          <c:idx val="9"/>
          <c:order val="8"/>
          <c:tx>
            <c:strRef>
              <c:f>'Intermediate output'!$D$16</c:f>
              <c:strCache>
                <c:ptCount val="1"/>
                <c:pt idx="0">
                  <c:v>Lighting &amp; appliances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output'!$F$16:$F$16</c:f>
              <c:numCache>
                <c:formatCode>#,##0.0_);\(#,##0.0\);"-"_);@</c:formatCode>
                <c:ptCount val="1"/>
                <c:pt idx="0">
                  <c:v>0.0</c:v>
                </c:pt>
              </c:numCache>
            </c:numRef>
          </c:val>
        </c:ser>
        <c:ser>
          <c:idx val="11"/>
          <c:order val="9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noFill/>
            </a:ln>
          </c:spPr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86872"/>
        <c:axId val="-2127489432"/>
      </c:areaChart>
      <c:catAx>
        <c:axId val="-212748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-2127489432"/>
        <c:crosses val="autoZero"/>
        <c:auto val="1"/>
        <c:lblAlgn val="ctr"/>
        <c:lblOffset val="100"/>
        <c:noMultiLvlLbl val="0"/>
      </c:catAx>
      <c:valAx>
        <c:axId val="-212748943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'Intermediate output'!$D$4</c:f>
              <c:strCache>
                <c:ptCount val="1"/>
                <c:pt idx="0">
                  <c:v>TWh / year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lang="en-US" sz="1200"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-2127486872"/>
        <c:crosses val="autoZero"/>
        <c:crossBetween val="midCat"/>
      </c:valAx>
      <c:spPr>
        <a:noFill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67007860612423"/>
          <c:y val="0.0830073962088082"/>
          <c:w val="0.227245545737359"/>
          <c:h val="0.841593738337447"/>
        </c:manualLayout>
      </c:layout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17" l="0.700000000000003" r="0.700000000000003" t="0.750000000000017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GB"/>
              <a:t>Primary supply</a:t>
            </a:r>
          </a:p>
        </c:rich>
      </c:tx>
      <c:layout>
        <c:manualLayout>
          <c:xMode val="edge"/>
          <c:yMode val="edge"/>
          <c:x val="0.283848836775702"/>
          <c:y val="0.04055139927957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145103248964"/>
          <c:y val="0.142938648603397"/>
          <c:w val="0.615028124877673"/>
          <c:h val="0.746722937856858"/>
        </c:manualLayout>
      </c:layout>
      <c:areaChart>
        <c:grouping val="stacked"/>
        <c:varyColors val="0"/>
        <c:ser>
          <c:idx val="6"/>
          <c:order val="0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1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2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3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4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5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6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noFill/>
            </a:ln>
          </c:spPr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47384"/>
        <c:axId val="-2127555400"/>
      </c:areaChart>
      <c:catAx>
        <c:axId val="-212754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-2127555400"/>
        <c:crosses val="autoZero"/>
        <c:auto val="1"/>
        <c:lblAlgn val="ctr"/>
        <c:lblOffset val="100"/>
        <c:noMultiLvlLbl val="0"/>
      </c:catAx>
      <c:valAx>
        <c:axId val="-212755540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'Intermediate output'!$D$4</c:f>
              <c:strCache>
                <c:ptCount val="1"/>
                <c:pt idx="0">
                  <c:v>TWh / year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en-US" sz="1200"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-2127547384"/>
        <c:crosses val="autoZero"/>
        <c:crossBetween val="midCat"/>
      </c:valAx>
      <c:spPr>
        <a:noFill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8201202277096"/>
          <c:y val="0.102083910593886"/>
          <c:w val="0.251798797722952"/>
          <c:h val="0.771367876604916"/>
        </c:manualLayout>
      </c:layout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17" l="0.700000000000003" r="0.700000000000003" t="0.750000000000017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GB"/>
              <a:t>Electricity generation</a:t>
            </a:r>
          </a:p>
        </c:rich>
      </c:tx>
      <c:layout>
        <c:manualLayout>
          <c:xMode val="edge"/>
          <c:yMode val="edge"/>
          <c:x val="0.190569031847236"/>
          <c:y val="0.02375982318271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608349425654"/>
          <c:y val="0.142938648603397"/>
          <c:w val="0.639338575779898"/>
          <c:h val="0.746722937856858"/>
        </c:manualLayout>
      </c:layout>
      <c:areaChart>
        <c:grouping val="stacked"/>
        <c:varyColors val="0"/>
        <c:ser>
          <c:idx val="6"/>
          <c:order val="0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1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2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3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effectLst/>
          </c:spPr>
          <c:cat>
            <c:numRef>
              <c:f>'Intermediate output'!$F$4:$F$4</c:f>
              <c:numCache>
                <c:formatCode>General</c:formatCode>
                <c:ptCount val="1"/>
                <c:pt idx="0">
                  <c:v>2007.0</c:v>
                </c:pt>
              </c:numCache>
            </c:num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6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27704"/>
        <c:axId val="-2127430776"/>
      </c:areaChart>
      <c:lineChart>
        <c:grouping val="standard"/>
        <c:varyColors val="0"/>
        <c:ser>
          <c:idx val="10"/>
          <c:order val="4"/>
          <c:tx>
            <c:v>Domestic demand</c:v>
          </c:tx>
          <c:spPr>
            <a:ln w="57150">
              <a:solidFill>
                <a:srgbClr val="000000">
                  <a:alpha val="50196"/>
                </a:srgbClr>
              </a:solidFill>
            </a:ln>
          </c:spPr>
          <c:marker>
            <c:symbol val="none"/>
          </c:marke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1"/>
          <c:order val="5"/>
          <c:tx>
            <c:v>Dummy</c:v>
          </c:tx>
          <c:spPr>
            <a:ln>
              <a:noFill/>
            </a:ln>
          </c:spPr>
          <c:marker>
            <c:symbol val="none"/>
          </c:marke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40280"/>
        <c:axId val="-2127437208"/>
      </c:lineChart>
      <c:catAx>
        <c:axId val="-212742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-2127430776"/>
        <c:crosses val="autoZero"/>
        <c:auto val="1"/>
        <c:lblAlgn val="ctr"/>
        <c:lblOffset val="100"/>
        <c:noMultiLvlLbl val="0"/>
      </c:catAx>
      <c:valAx>
        <c:axId val="-2127430776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'Intermediate output'!$D$4</c:f>
              <c:strCache>
                <c:ptCount val="1"/>
                <c:pt idx="0">
                  <c:v>TWh / year</c:v>
                </c:pt>
              </c:strCache>
            </c:strRef>
          </c:tx>
          <c:layout>
            <c:manualLayout>
              <c:xMode val="edge"/>
              <c:yMode val="edge"/>
              <c:x val="0.0"/>
              <c:y val="0.386545961002836"/>
            </c:manualLayout>
          </c:layout>
          <c:overlay val="0"/>
          <c:txPr>
            <a:bodyPr rot="-5400000" vert="horz"/>
            <a:lstStyle/>
            <a:p>
              <a:pPr>
                <a:defRPr lang="en-US" sz="1200"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-2127427704"/>
        <c:crosses val="autoZero"/>
        <c:crossBetween val="midCat"/>
      </c:valAx>
      <c:valAx>
        <c:axId val="-21274372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-2127440280"/>
        <c:crosses val="max"/>
        <c:crossBetween val="between"/>
      </c:valAx>
      <c:catAx>
        <c:axId val="-2127440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7437208"/>
        <c:crosses val="autoZero"/>
        <c:auto val="1"/>
        <c:lblAlgn val="ctr"/>
        <c:lblOffset val="100"/>
        <c:noMultiLvlLbl val="0"/>
      </c:catAx>
      <c:spPr>
        <a:noFill/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52158758661602"/>
          <c:y val="0.102083910593886"/>
          <c:w val="0.247841220118719"/>
          <c:h val="0.839970897971012"/>
        </c:manualLayout>
      </c:layout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17" l="0.700000000000003" r="0.700000000000003" t="0.750000000000017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GB"/>
              <a:t>Emissions (% of base year)</a:t>
            </a:r>
          </a:p>
        </c:rich>
      </c:tx>
      <c:layout>
        <c:manualLayout>
          <c:xMode val="edge"/>
          <c:yMode val="edge"/>
          <c:x val="0.269092923684014"/>
          <c:y val="0.037817639846480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388716961062"/>
          <c:y val="0.123391752101246"/>
          <c:w val="0.62143330296144"/>
          <c:h val="0.781358640435945"/>
        </c:manualLayout>
      </c:layout>
      <c:areaChart>
        <c:grouping val="stacked"/>
        <c:varyColors val="0"/>
        <c:ser>
          <c:idx val="6"/>
          <c:order val="2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3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8"/>
          <c:order val="4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5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</c:spP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6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7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80424"/>
        <c:axId val="2126384200"/>
      </c:areaChart>
      <c:areaChart>
        <c:grouping val="stacked"/>
        <c:varyColors val="0"/>
        <c:ser>
          <c:idx val="13"/>
          <c:order val="0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noFill/>
            </a:ln>
            <a:effectLst/>
          </c:spP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1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15144"/>
        <c:axId val="2126405400"/>
      </c:areaChart>
      <c:lineChart>
        <c:grouping val="standard"/>
        <c:varyColors val="0"/>
        <c:ser>
          <c:idx val="0"/>
          <c:order val="8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 w="57150">
              <a:solidFill>
                <a:srgbClr val="000000">
                  <a:alpha val="80000"/>
                </a:srgbClr>
              </a:solidFill>
            </a:ln>
          </c:spPr>
          <c:marker>
            <c:symbol val="none"/>
          </c:marke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9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chemeClr val="bg1"/>
              </a:solidFill>
              <a:prstDash val="dash"/>
            </a:ln>
          </c:spPr>
          <c:marker>
            <c:symbol val="none"/>
          </c:marke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10"/>
          <c:tx>
            <c:strRef>
              <c:f>'Intermediate output'!#REF!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'Intermediate output'!#REF!</c:f>
            </c:multiLvlStrRef>
          </c:cat>
          <c:val>
            <c:numRef>
              <c:f>'Intermediate output'!#REF!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15144"/>
        <c:axId val="2126405400"/>
      </c:lineChart>
      <c:catAx>
        <c:axId val="212638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2126384200"/>
        <c:crossesAt val="-0.5"/>
        <c:auto val="1"/>
        <c:lblAlgn val="ctr"/>
        <c:lblOffset val="100"/>
        <c:noMultiLvlLbl val="0"/>
      </c:catAx>
      <c:valAx>
        <c:axId val="2126384200"/>
        <c:scaling>
          <c:orientation val="minMax"/>
          <c:max val="1.0"/>
          <c:min val="-0.5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en-US" sz="1200"/>
                </a:pPr>
                <a:r>
                  <a:rPr lang="en-US" sz="1200"/>
                  <a:t>CO</a:t>
                </a:r>
                <a:r>
                  <a:rPr lang="en-US" sz="1200" baseline="-25000"/>
                  <a:t>2</a:t>
                </a:r>
                <a:r>
                  <a:rPr lang="en-US" sz="1200"/>
                  <a:t>e / year (% of 1990)</a:t>
                </a:r>
              </a:p>
            </c:rich>
          </c:tx>
          <c:layout>
            <c:manualLayout>
              <c:xMode val="edge"/>
              <c:yMode val="edge"/>
              <c:x val="0.0"/>
              <c:y val="0.38413758087832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 sz="1200"/>
            </a:pPr>
            <a:endParaRPr lang="en-US"/>
          </a:p>
        </c:txPr>
        <c:crossAx val="2126380424"/>
        <c:crosses val="autoZero"/>
        <c:crossBetween val="midCat"/>
        <c:majorUnit val="0.25"/>
      </c:valAx>
      <c:valAx>
        <c:axId val="2126405400"/>
        <c:scaling>
          <c:orientation val="minMax"/>
          <c:max val="1.0"/>
          <c:min val="-0.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126415144"/>
        <c:crosses val="max"/>
        <c:crossBetween val="between"/>
        <c:majorUnit val="0.25"/>
      </c:valAx>
      <c:catAx>
        <c:axId val="2126415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2640540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32499701635301"/>
          <c:y val="0.176577843981022"/>
          <c:w val="0.267500298364727"/>
          <c:h val="0.729408166040614"/>
        </c:manualLayout>
      </c:layout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17" l="0.700000000000003" r="0.700000000000003" t="0.75000000000001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34636</xdr:colOff>
      <xdr:row>24</xdr:row>
      <xdr:rowOff>49950</xdr:rowOff>
    </xdr:from>
    <xdr:to>
      <xdr:col>39</xdr:col>
      <xdr:colOff>519545</xdr:colOff>
      <xdr:row>37</xdr:row>
      <xdr:rowOff>36601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40</xdr:col>
      <xdr:colOff>0</xdr:colOff>
      <xdr:row>21</xdr:row>
      <xdr:rowOff>158099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69273</xdr:colOff>
      <xdr:row>40</xdr:row>
      <xdr:rowOff>173181</xdr:rowOff>
    </xdr:from>
    <xdr:to>
      <xdr:col>39</xdr:col>
      <xdr:colOff>615830</xdr:colOff>
      <xdr:row>53</xdr:row>
      <xdr:rowOff>173180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242453</xdr:colOff>
      <xdr:row>3</xdr:row>
      <xdr:rowOff>69273</xdr:rowOff>
    </xdr:from>
    <xdr:to>
      <xdr:col>51</xdr:col>
      <xdr:colOff>492847</xdr:colOff>
      <xdr:row>27</xdr:row>
      <xdr:rowOff>51955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42</xdr:col>
      <xdr:colOff>421984</xdr:colOff>
      <xdr:row>15</xdr:row>
      <xdr:rowOff>177991</xdr:rowOff>
    </xdr:from>
    <xdr:ext cx="663771" cy="311496"/>
    <xdr:sp macro="" textlink="">
      <xdr:nvSpPr>
        <xdr:cNvPr id="6" name="TextBox 5"/>
        <xdr:cNvSpPr txBox="1"/>
      </xdr:nvSpPr>
      <xdr:spPr>
        <a:xfrm>
          <a:off x="18848529" y="3936036"/>
          <a:ext cx="66377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GB" sz="1400" b="1">
              <a:solidFill>
                <a:schemeClr val="bg1"/>
              </a:solidFill>
              <a:latin typeface="+mj-lt"/>
            </a:rPr>
            <a:t>Target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Users/David%20Spike/AppData/Local/Microsoft/Windows/Temporary%20Internet%20Files/Low/Content.IE5/K8QYBH9O/Costs%20Work/Feb%20onwards%20project/070311%20March%20Calculator%202011%20-%20COSTS%20-%20HEA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Application%20Data/Tower%20Software/Offline%20Records/Offline%20Records%20(M1)/2050%20~%20-%20STRATEGIC%20PATHWAYS%20ANALYSIS%20(TO%202050)(2)/110208%20-%20CCS%20add%20-%20costs%20A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structions"/>
      <sheetName val="CHANGELOG"/>
      <sheetName val="Glossary"/>
      <sheetName val="Control"/>
      <sheetName val="Preferences"/>
      <sheetName val="Cost Charts"/>
      <sheetName val="Costs"/>
      <sheetName val="Global cost assumptions"/>
      <sheetName val="Intermediate output"/>
      <sheetName val="Conversions"/>
      <sheetName val="Global assumptions"/>
      <sheetName val="Constants"/>
      <sheetName val="Combustion Emissions Factors"/>
      <sheetName val="{Workstreams}"/>
      <sheetName val="{Modules}"/>
      <sheetName val="{Energy vectors}"/>
      <sheetName val="{Emissions}"/>
      <sheetName val="I.a"/>
      <sheetName val="I.b"/>
      <sheetName val="II.a"/>
      <sheetName val="III.a.1"/>
      <sheetName val="III.a.2"/>
      <sheetName val="III.b"/>
      <sheetName val="III.c"/>
      <sheetName val="III.d"/>
      <sheetName val="IV.a"/>
      <sheetName val="IV.b"/>
      <sheetName val="IV.c"/>
      <sheetName val="V.a"/>
      <sheetName val="V.b"/>
      <sheetName val="VI.a"/>
      <sheetName val="VI.b"/>
      <sheetName val="VI.c"/>
      <sheetName val="VII.a"/>
      <sheetName val="VII.b"/>
      <sheetName val="VII.c"/>
      <sheetName val="VII.c (1 day)"/>
      <sheetName val="VIII.a"/>
      <sheetName val="IX.a"/>
      <sheetName val="IX.c"/>
      <sheetName val="X.a"/>
      <sheetName val="X.b"/>
      <sheetName val="XI.a"/>
      <sheetName val="XII.a"/>
      <sheetName val="XII.b"/>
      <sheetName val="XII.c"/>
      <sheetName val="XII.e"/>
      <sheetName val="XIII.a"/>
      <sheetName val="XIV.a"/>
      <sheetName val="XV.a"/>
      <sheetName val="XV.b"/>
      <sheetName val="XVI.a"/>
      <sheetName val="XVI.b"/>
      <sheetName val="XVII.a"/>
      <sheetName val="2007 (Actual, frozen)"/>
      <sheetName val="2007 (Consistent)"/>
      <sheetName val="2007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DUKES 09 (1.2)"/>
      <sheetName val="DUKES 09 (1.9)"/>
      <sheetName val="DUKES 09 (2.5)"/>
      <sheetName val="DUKES 09 (5.1)"/>
      <sheetName val="DUKES 09 (5.6)"/>
      <sheetName val="DUKES 09 (7.2)"/>
      <sheetName val="DUKES 09 (7.4)"/>
      <sheetName val="DUKES 09 (A.1)"/>
      <sheetName val="DECC Energy Cons. (1.14)"/>
      <sheetName val="DECC Energy Cons. (4.1)"/>
      <sheetName val="070311 March Calculator 2011 - "/>
      <sheetName val="\Users\David Spike\AppData\Loca"/>
      <sheetName val="\C\Users\David Spike\AppData\Lo"/>
    </sheetNames>
    <sheetDataSet>
      <sheetData sheetId="0"/>
      <sheetData sheetId="1"/>
      <sheetData sheetId="2"/>
      <sheetData sheetId="3"/>
      <sheetData sheetId="4">
        <row r="5">
          <cell r="AB5">
            <v>1.1000000000000001</v>
          </cell>
        </row>
      </sheetData>
      <sheetData sheetId="5">
        <row r="3">
          <cell r="C3" t="str">
            <v>TWh</v>
          </cell>
        </row>
      </sheetData>
      <sheetData sheetId="6"/>
      <sheetData sheetId="7"/>
      <sheetData sheetId="8">
        <row r="4">
          <cell r="H4">
            <v>3.5000000000000003E-2</v>
          </cell>
        </row>
      </sheetData>
      <sheetData sheetId="9">
        <row r="128">
          <cell r="H128">
            <v>2037.5072</v>
          </cell>
        </row>
      </sheetData>
      <sheetData sheetId="10">
        <row r="5">
          <cell r="B5" t="str">
            <v>PJ</v>
          </cell>
        </row>
      </sheetData>
      <sheetData sheetId="11">
        <row r="5">
          <cell r="I5">
            <v>100</v>
          </cell>
        </row>
      </sheetData>
      <sheetData sheetId="12">
        <row r="6">
          <cell r="C6">
            <v>7.2500000000000004E-9</v>
          </cell>
        </row>
      </sheetData>
      <sheetData sheetId="13"/>
      <sheetData sheetId="14"/>
      <sheetData sheetId="15"/>
      <sheetData sheetId="16"/>
      <sheetData sheetId="17"/>
      <sheetData sheetId="18">
        <row r="87">
          <cell r="F87">
            <v>2</v>
          </cell>
        </row>
      </sheetData>
      <sheetData sheetId="19"/>
      <sheetData sheetId="20">
        <row r="74">
          <cell r="F74">
            <v>3</v>
          </cell>
        </row>
      </sheetData>
      <sheetData sheetId="21"/>
      <sheetData sheetId="22">
        <row r="52">
          <cell r="F52">
            <v>5.7999999999999996E-3</v>
          </cell>
        </row>
      </sheetData>
      <sheetData sheetId="23"/>
      <sheetData sheetId="24">
        <row r="75">
          <cell r="F75">
            <v>1.5E-3</v>
          </cell>
        </row>
      </sheetData>
      <sheetData sheetId="25"/>
      <sheetData sheetId="26">
        <row r="38">
          <cell r="E38">
            <v>2.4999999999999998E-6</v>
          </cell>
        </row>
      </sheetData>
      <sheetData sheetId="27">
        <row r="39">
          <cell r="E39">
            <v>2.4999999999999998E-6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structions"/>
      <sheetName val="Control"/>
      <sheetName val="Glossary"/>
      <sheetName val="Preferences"/>
      <sheetName val="CHANGELOG"/>
      <sheetName val="Intermediate output"/>
      <sheetName val="Costs"/>
      <sheetName val="Global cost assumptions"/>
      <sheetName val="All vectors"/>
      <sheetName val="Conversions"/>
      <sheetName val="Global assumptions"/>
      <sheetName val="Constants"/>
      <sheetName val="Combustion Emissions Factors"/>
      <sheetName val="{Workstreams}"/>
      <sheetName val="{Modules}"/>
      <sheetName val="{Energy vectors}"/>
      <sheetName val="{Emissions}"/>
      <sheetName val="I.a"/>
      <sheetName val="I.b"/>
      <sheetName val="II.a"/>
      <sheetName val="III.a.1"/>
      <sheetName val="III.a.2"/>
      <sheetName val="III.c"/>
      <sheetName val="III.b"/>
      <sheetName val="III.d"/>
      <sheetName val="IV.a"/>
      <sheetName val="IV.b"/>
      <sheetName val="IV.c"/>
      <sheetName val="V.a"/>
      <sheetName val="V.b"/>
      <sheetName val="VI.a"/>
      <sheetName val="VI.b"/>
      <sheetName val="VI.c"/>
      <sheetName val="VII.a"/>
      <sheetName val="VII.b"/>
      <sheetName val="VII.c"/>
      <sheetName val="VII.c (1 day)"/>
      <sheetName val="VIII.a"/>
      <sheetName val="IX.a"/>
      <sheetName val="IX.c"/>
      <sheetName val="X.a"/>
      <sheetName val="X.b"/>
      <sheetName val="XI.a"/>
      <sheetName val="XII.a"/>
      <sheetName val="XII.b"/>
      <sheetName val="XII.c"/>
      <sheetName val="XII.e"/>
      <sheetName val="XIII.a"/>
      <sheetName val="XIV.a"/>
      <sheetName val="XV.a"/>
      <sheetName val="XV.b"/>
      <sheetName val="XVI.a"/>
      <sheetName val="XVII.a"/>
      <sheetName val="2007 (Actual, frozen)"/>
      <sheetName val="2007 (Consistent)"/>
      <sheetName val="2007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DUKES 09 (1.2)"/>
      <sheetName val="DUKES 09 (1.9)"/>
      <sheetName val="DUKES 09 (2.5)"/>
      <sheetName val="DUKES 09 (5.1)"/>
      <sheetName val="DUKES 09 (5.6)"/>
      <sheetName val="DUKES 09 (7.2)"/>
      <sheetName val="DUKES 09 (7.4)"/>
      <sheetName val="DUKES 09 (A.1)"/>
      <sheetName val="DECC Energy Cons. (1.14)"/>
      <sheetName val="DECC Energy Cons. (4.1)"/>
      <sheetName val="110208 - CCS add - costs AG"/>
      <sheetName val="\Application Data\Tower Softwar"/>
      <sheetName val="110208 - CCS add - costs AG.xls"/>
      <sheetName val="\C\Application Data\Tower Soft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</sheetDataSet>
  </externalBook>
</externalLink>
</file>

<file path=xl/tables/table1.xml><?xml version="1.0" encoding="utf-8"?>
<table xmlns="http://schemas.openxmlformats.org/spreadsheetml/2006/main" id="16" name="Global.Assumptions" displayName="Global.Assumptions" ref="B5:G16" totalsRowCount="1" headerRowDxfId="356" dataDxfId="355">
  <autoFilter ref="B5:G15"/>
  <tableColumns count="6">
    <tableColumn id="1" name="Year" dataDxfId="354" totalsRowDxfId="353"/>
    <tableColumn id="2" name="Population" totalsRowFunction="average" dataDxfId="352" totalsRowDxfId="351" dataCellStyle="Comma"/>
    <tableColumn id="3" name="Households" dataDxfId="350" totalsRowDxfId="349" dataCellStyle="Comma">
      <calculatedColumnFormula>Global.Assumptions[[#This Row],[Population]]/25751000</calculatedColumnFormula>
    </tableColumn>
    <tableColumn id="4" name="GDP (2005 £m)" dataDxfId="348" totalsRowDxfId="347"/>
    <tableColumn id="5" name="GDP (£2010)" dataDxfId="346" totalsRowDxfId="345" dataCellStyle="Comma">
      <calculatedColumnFormula>Global.Assumptions[[#This Row],[GDP (2005 £m)]]*MGBP*Price2005</calculatedColumnFormula>
    </tableColumn>
    <tableColumn id="6" name="GDP per Capita (£2010)" dataDxfId="344" totalsRowDxfId="343">
      <calculatedColumnFormula>Global.Assumptions[[#This Row],[GDP (£2010)]]/Global.Assumptions[[#This Row],[Population]]</calculatedColumnFormula>
    </tableColumn>
  </tableColumns>
  <tableStyleInfo name="EnergyCalcTables" showFirstColumn="0" showLastColumn="0" showRowStripes="0" showColumnStripes="0"/>
</table>
</file>

<file path=xl/tables/table10.xml><?xml version="1.0" encoding="utf-8"?>
<table xmlns="http://schemas.openxmlformats.org/spreadsheetml/2006/main" id="30" name="AirQualityVectors" displayName="AirQualityVectors" ref="X21:Z25" totalsRowShown="0" headerRowDxfId="296" dataDxfId="295">
  <autoFilter ref="X21:Z25"/>
  <tableColumns count="3">
    <tableColumn id="1" name="Code" dataDxfId="294"/>
    <tableColumn id="2" name="Description" dataDxfId="293"/>
    <tableColumn id="3" name="Comments" dataDxfId="29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IX.a.Outputs" displayName="IX.a.Outputs" ref="C1187:O1197" totalsRowCount="1" headerRowDxfId="291" dataDxfId="290" totalsRowDxfId="289">
  <autoFilter ref="C1187:O1196"/>
  <tableColumns count="13">
    <tableColumn id="1" name="Vector" totalsRowLabel="Total" dataDxfId="288" totalsRowDxfId="287"/>
    <tableColumn id="2" name="Name" dataDxfId="286" totalsRowDxfId="285">
      <calculatedColumnFormula>INDEX(Vectors[Description], MATCH(IX.a.Outputs[Vector], Vectors[Code], 0))</calculatedColumnFormula>
    </tableColumn>
    <tableColumn id="3" name="Notes" dataDxfId="284" totalsRowDxfId="283"/>
    <tableColumn id="4" name="2007" totalsRowFunction="sum" dataDxfId="282" totalsRowDxfId="281" dataCellStyle="Comma">
      <calculatedColumnFormula>INDEX(F$850:F$858, MATCH(IX.a.Outputs[Vector], $B$850:$B$858, 0))</calculatedColumnFormula>
    </tableColumn>
    <tableColumn id="5" name="2010" totalsRowFunction="sum" dataDxfId="280" totalsRowDxfId="279" dataCellStyle="Comma">
      <calculatedColumnFormula>INDEX(G$850:G$858, MATCH(IX.a.Outputs[Vector], $B$850:$B$858, 0))</calculatedColumnFormula>
    </tableColumn>
    <tableColumn id="6" name="2015" totalsRowFunction="sum" dataDxfId="278" totalsRowDxfId="277" dataCellStyle="Comma">
      <calculatedColumnFormula>INDEX(H$850:H$858, MATCH(IX.a.Outputs[Vector], $B$850:$B$858, 0))</calculatedColumnFormula>
    </tableColumn>
    <tableColumn id="7" name="2020" totalsRowFunction="sum" dataDxfId="276" totalsRowDxfId="275" dataCellStyle="Comma">
      <calculatedColumnFormula>INDEX(I$850:I$858, MATCH(IX.a.Outputs[Vector], $B$850:$B$858, 0))</calculatedColumnFormula>
    </tableColumn>
    <tableColumn id="8" name="2025" totalsRowFunction="sum" dataDxfId="274" totalsRowDxfId="273" dataCellStyle="Comma">
      <calculatedColumnFormula>INDEX(J$850:J$858, MATCH(IX.a.Outputs[Vector], $B$850:$B$858, 0))</calculatedColumnFormula>
    </tableColumn>
    <tableColumn id="9" name="2030" totalsRowFunction="sum" dataDxfId="272" totalsRowDxfId="271" dataCellStyle="Comma">
      <calculatedColumnFormula>INDEX(K$850:K$858, MATCH(IX.a.Outputs[Vector], $B$850:$B$858, 0))</calculatedColumnFormula>
    </tableColumn>
    <tableColumn id="10" name="2035" totalsRowFunction="sum" dataDxfId="270" totalsRowDxfId="269" dataCellStyle="Comma">
      <calculatedColumnFormula>INDEX(L$850:L$858, MATCH(IX.a.Outputs[Vector], $B$850:$B$858, 0))</calculatedColumnFormula>
    </tableColumn>
    <tableColumn id="11" name="2040" totalsRowFunction="sum" dataDxfId="268" totalsRowDxfId="267" dataCellStyle="Comma">
      <calculatedColumnFormula>INDEX(M$850:M$858, MATCH(IX.a.Outputs[Vector], $B$850:$B$858, 0))</calculatedColumnFormula>
    </tableColumn>
    <tableColumn id="12" name="2045" totalsRowFunction="sum" dataDxfId="266" totalsRowDxfId="265" dataCellStyle="Comma">
      <calculatedColumnFormula>INDEX(N$850:N$858, MATCH(IX.a.Outputs[Vector], $B$850:$B$858, 0))</calculatedColumnFormula>
    </tableColumn>
    <tableColumn id="13" name="2050" totalsRowFunction="sum" dataDxfId="264" totalsRowDxfId="263" dataCellStyle="Comma">
      <calculatedColumnFormula>INDEX(O$850:O$858, MATCH(IX.a.Outputs[Vector], $B$850:$B$858, 0))</calculatedColumnFormula>
    </tableColumn>
  </tableColumns>
  <tableStyleInfo name="EnergyCalcTables" showFirstColumn="0" showLastColumn="0" showRowStripes="1" showColumnStripes="0"/>
</table>
</file>

<file path=xl/tables/table12.xml><?xml version="1.0" encoding="utf-8"?>
<table xmlns="http://schemas.openxmlformats.org/spreadsheetml/2006/main" id="13" name="IX.a.Emissions" displayName="IX.a.Emissions" ref="C1220:O1224" totalsRowCount="1" headerRowDxfId="262" dataDxfId="260" totalsRowDxfId="258" headerRowBorderDxfId="261" tableBorderDxfId="259">
  <autoFilter ref="C1220:O1223"/>
  <tableColumns count="13">
    <tableColumn id="1" name="GHG" totalsRowLabel="Total" dataDxfId="257" totalsRowDxfId="256"/>
    <tableColumn id="2" name="IPCC Sector" dataDxfId="255" totalsRowDxfId="254"/>
    <tableColumn id="3" name="Notes" dataDxfId="253" totalsRowDxfId="252">
      <calculatedColumnFormula>INDEX(IPCC[Sector_description], MATCH(IX.a.Emissions[IPCC Sector], IPCC[Sector_code], 0))</calculatedColumnFormula>
    </tableColumn>
    <tableColumn id="4" name="2007" totalsRowFunction="sum" dataDxfId="251" totalsRowDxfId="250" dataCellStyle="Comma"/>
    <tableColumn id="5" name="2010" totalsRowFunction="sum" dataDxfId="249" totalsRowDxfId="248" dataCellStyle="Comma"/>
    <tableColumn id="6" name="2015" totalsRowFunction="sum" dataDxfId="247" totalsRowDxfId="246" dataCellStyle="Comma"/>
    <tableColumn id="7" name="2020" totalsRowFunction="sum" dataDxfId="245" totalsRowDxfId="244" dataCellStyle="Comma"/>
    <tableColumn id="8" name="2025" totalsRowFunction="sum" dataDxfId="243" totalsRowDxfId="242" dataCellStyle="Comma"/>
    <tableColumn id="9" name="2030" totalsRowFunction="sum" dataDxfId="241" totalsRowDxfId="240" dataCellStyle="Comma"/>
    <tableColumn id="10" name="2035" totalsRowFunction="sum" dataDxfId="239" totalsRowDxfId="238" dataCellStyle="Comma"/>
    <tableColumn id="11" name="2040" totalsRowFunction="sum" dataDxfId="237" totalsRowDxfId="236" dataCellStyle="Comma"/>
    <tableColumn id="12" name="2045" totalsRowFunction="sum" dataDxfId="235" totalsRowDxfId="234" dataCellStyle="Comma"/>
    <tableColumn id="13" name="2050" totalsRowFunction="sum" dataDxfId="233" totalsRowDxfId="232" dataCellStyle="Comma"/>
  </tableColumns>
  <tableStyleInfo name="EnergyCalcTables" showFirstColumn="0" showLastColumn="0" showRowStripes="1" showColumnStripes="0"/>
</table>
</file>

<file path=xl/tables/table13.xml><?xml version="1.0" encoding="utf-8"?>
<table xmlns="http://schemas.openxmlformats.org/spreadsheetml/2006/main" id="14" name="IX.a.info" displayName="IX.a.info" ref="C1239:O1242" totalsRowShown="0" headerRowDxfId="231" dataDxfId="229" totalsRowDxfId="227" headerRowBorderDxfId="230" tableBorderDxfId="228">
  <autoFilter ref="C1239:O1242"/>
  <tableColumns count="13">
    <tableColumn id="1" name="Vector" dataDxfId="226" totalsRowDxfId="225"/>
    <tableColumn id="2" name="Information type" dataDxfId="224" totalsRowDxfId="223">
      <calculatedColumnFormula>INDEX(Vectors[Description], MATCH(IX.a.info[Vector], Vectors[Code], 0))</calculatedColumnFormula>
    </tableColumn>
    <tableColumn id="3" name="Notes" dataDxfId="222" totalsRowDxfId="221">
      <calculatedColumnFormula>INDEX([1]!Vectors[Comment], MATCH(IX.a.info[Information type], [1]!Vectors[Description], 0))</calculatedColumnFormula>
    </tableColumn>
    <tableColumn id="4" name="2007" dataDxfId="220" totalsRowDxfId="219" dataCellStyle="Comma">
      <calculatedColumnFormula>#REF!</calculatedColumnFormula>
    </tableColumn>
    <tableColumn id="5" name="2010" dataDxfId="218" totalsRowDxfId="217" dataCellStyle="Comma">
      <calculatedColumnFormula>#REF!</calculatedColumnFormula>
    </tableColumn>
    <tableColumn id="6" name="2015" dataDxfId="216" totalsRowDxfId="215" dataCellStyle="Comma">
      <calculatedColumnFormula>#REF!</calculatedColumnFormula>
    </tableColumn>
    <tableColumn id="7" name="2020" dataDxfId="214" totalsRowDxfId="213" dataCellStyle="Comma">
      <calculatedColumnFormula>#REF!</calculatedColumnFormula>
    </tableColumn>
    <tableColumn id="8" name="2025" dataDxfId="212" totalsRowDxfId="211" dataCellStyle="Comma">
      <calculatedColumnFormula>#REF!</calculatedColumnFormula>
    </tableColumn>
    <tableColumn id="9" name="2030" dataDxfId="210" totalsRowDxfId="209" dataCellStyle="Comma">
      <calculatedColumnFormula>#REF!</calculatedColumnFormula>
    </tableColumn>
    <tableColumn id="10" name="2035" dataDxfId="208" totalsRowDxfId="207" dataCellStyle="Comma">
      <calculatedColumnFormula>#REF!</calculatedColumnFormula>
    </tableColumn>
    <tableColumn id="11" name="2040" dataDxfId="206" totalsRowDxfId="205" dataCellStyle="Comma">
      <calculatedColumnFormula>#REF!</calculatedColumnFormula>
    </tableColumn>
    <tableColumn id="12" name="2045" dataDxfId="204" totalsRowDxfId="203" dataCellStyle="Comma">
      <calculatedColumnFormula>#REF!</calculatedColumnFormula>
    </tableColumn>
    <tableColumn id="13" name="2050" dataDxfId="202" totalsRowDxfId="201" dataCellStyle="Comma">
      <calculatedColumnFormula>#REF!</calculatedColumnFormula>
    </tableColumn>
  </tableColumns>
  <tableStyleInfo name="EnergyCalcTables" showFirstColumn="0" showLastColumn="0" showRowStripes="1" showColumnStripes="0"/>
</table>
</file>

<file path=xl/tables/table14.xml><?xml version="1.0" encoding="utf-8"?>
<table xmlns="http://schemas.openxmlformats.org/spreadsheetml/2006/main" id="17" name="IX.a.NoCHP.Outputs" displayName="IX.a.NoCHP.Outputs" ref="C1158:O1168" totalsRowCount="1" headerRowDxfId="200" dataDxfId="199" totalsRowDxfId="198">
  <autoFilter ref="C1158:O1167"/>
  <tableColumns count="13">
    <tableColumn id="1" name="Vector" totalsRowLabel="Total" dataDxfId="197" totalsRowDxfId="196"/>
    <tableColumn id="2" name="Name" dataDxfId="195" totalsRowDxfId="194">
      <calculatedColumnFormula>INDEX(Vectors[Description], MATCH(IX.a.NoCHP.Outputs[Vector], Vectors[Code], 0))</calculatedColumnFormula>
    </tableColumn>
    <tableColumn id="3" name="Notes" dataDxfId="193" totalsRowDxfId="192"/>
    <tableColumn id="4" name="2007" totalsRowFunction="sum" dataDxfId="191" totalsRowDxfId="190" dataCellStyle="Comma">
      <calculatedColumnFormula>F1188-F1173-F1174</calculatedColumnFormula>
    </tableColumn>
    <tableColumn id="5" name="2010" totalsRowFunction="sum" dataDxfId="189" totalsRowDxfId="188" dataCellStyle="Comma">
      <calculatedColumnFormula>G1188-G1173</calculatedColumnFormula>
    </tableColumn>
    <tableColumn id="6" name="2015" totalsRowFunction="sum" dataDxfId="187" totalsRowDxfId="186" dataCellStyle="Comma">
      <calculatedColumnFormula>H1188-H1173</calculatedColumnFormula>
    </tableColumn>
    <tableColumn id="7" name="2020" totalsRowFunction="sum" dataDxfId="185" totalsRowDxfId="184" dataCellStyle="Comma">
      <calculatedColumnFormula>I1188-I1173</calculatedColumnFormula>
    </tableColumn>
    <tableColumn id="8" name="2025" totalsRowFunction="sum" dataDxfId="183" totalsRowDxfId="182" dataCellStyle="Comma">
      <calculatedColumnFormula>J1188-J1173</calculatedColumnFormula>
    </tableColumn>
    <tableColumn id="9" name="2030" totalsRowFunction="sum" dataDxfId="181" totalsRowDxfId="180" dataCellStyle="Comma">
      <calculatedColumnFormula>K1188-K1173</calculatedColumnFormula>
    </tableColumn>
    <tableColumn id="10" name="2035" totalsRowFunction="sum" dataDxfId="179" totalsRowDxfId="178" dataCellStyle="Comma">
      <calculatedColumnFormula>L1188-L1173</calculatedColumnFormula>
    </tableColumn>
    <tableColumn id="11" name="2040" totalsRowFunction="sum" dataDxfId="177" totalsRowDxfId="176" dataCellStyle="Comma">
      <calculatedColumnFormula>M1188-M1173</calculatedColumnFormula>
    </tableColumn>
    <tableColumn id="12" name="2045" totalsRowFunction="sum" dataDxfId="175" totalsRowDxfId="174" dataCellStyle="Comma">
      <calculatedColumnFormula>N1188-N1173</calculatedColumnFormula>
    </tableColumn>
    <tableColumn id="13" name="2050" totalsRowFunction="sum" dataDxfId="173" totalsRowDxfId="172" dataCellStyle="Comma">
      <calculatedColumnFormula>O1188-O1173</calculatedColumnFormula>
    </tableColumn>
  </tableColumns>
  <tableStyleInfo name="EnergyCalcTables" showFirstColumn="0" showLastColumn="0" showRowStripes="1" showColumnStripes="0"/>
</table>
</file>

<file path=xl/tables/table15.xml><?xml version="1.0" encoding="utf-8"?>
<table xmlns="http://schemas.openxmlformats.org/spreadsheetml/2006/main" id="19" name="IX.a.CHP.Outputs" displayName="IX.a.CHP.Outputs" ref="C1172:O1183" totalsRowCount="1" headerRowDxfId="171" dataDxfId="170" totalsRowDxfId="169">
  <autoFilter ref="C1172:O1182"/>
  <tableColumns count="13">
    <tableColumn id="1" name="Vector" totalsRowLabel="Total" dataDxfId="168" totalsRowDxfId="167"/>
    <tableColumn id="2" name="Name" dataDxfId="166" totalsRowDxfId="165">
      <calculatedColumnFormula>INDEX(Vectors[Description], MATCH(IX.a.CHP.Outputs[Vector], Vectors[Code], 0))</calculatedColumnFormula>
    </tableColumn>
    <tableColumn id="3" name="Notes" dataDxfId="164" totalsRowDxfId="163"/>
    <tableColumn id="4" name="2007" totalsRowFunction="sum" dataDxfId="162" totalsRowDxfId="161" dataCellStyle="Comma">
      <calculatedColumnFormula>INDEX(F$964:F$972, MATCH(IX.a.CHP.Outputs[Vector], $B$964:$B$972, 0))</calculatedColumnFormula>
    </tableColumn>
    <tableColumn id="5" name="2010" totalsRowFunction="sum" dataDxfId="160" totalsRowDxfId="159" dataCellStyle="Comma">
      <calculatedColumnFormula>INDEX(G$964:G$972, MATCH(IX.a.CHP.Outputs[Vector], $B$964:$B$972, 0))</calculatedColumnFormula>
    </tableColumn>
    <tableColumn id="6" name="2015" totalsRowFunction="sum" dataDxfId="158" totalsRowDxfId="157" dataCellStyle="Comma">
      <calculatedColumnFormula>INDEX(H$964:H$972, MATCH(IX.a.CHP.Outputs[Vector], $B$964:$B$972, 0))</calculatedColumnFormula>
    </tableColumn>
    <tableColumn id="7" name="2020" totalsRowFunction="sum" dataDxfId="156" totalsRowDxfId="155" dataCellStyle="Comma">
      <calculatedColumnFormula>INDEX(I$964:I$972, MATCH(IX.a.CHP.Outputs[Vector], $B$964:$B$972, 0))</calculatedColumnFormula>
    </tableColumn>
    <tableColumn id="8" name="2025" totalsRowFunction="sum" dataDxfId="154" totalsRowDxfId="153" dataCellStyle="Comma">
      <calculatedColumnFormula>INDEX(J$964:J$972, MATCH(IX.a.CHP.Outputs[Vector], $B$964:$B$972, 0))</calculatedColumnFormula>
    </tableColumn>
    <tableColumn id="9" name="2030" totalsRowFunction="sum" dataDxfId="152" totalsRowDxfId="151" dataCellStyle="Comma">
      <calculatedColumnFormula>INDEX(K$964:K$972, MATCH(IX.a.CHP.Outputs[Vector], $B$964:$B$972, 0))</calculatedColumnFormula>
    </tableColumn>
    <tableColumn id="10" name="2035" totalsRowFunction="sum" dataDxfId="150" totalsRowDxfId="149" dataCellStyle="Comma">
      <calculatedColumnFormula>INDEX(L$964:L$972, MATCH(IX.a.CHP.Outputs[Vector], $B$964:$B$972, 0))</calculatedColumnFormula>
    </tableColumn>
    <tableColumn id="11" name="2040" totalsRowFunction="sum" dataDxfId="148" totalsRowDxfId="147" dataCellStyle="Comma">
      <calculatedColumnFormula>INDEX(M$964:M$972, MATCH(IX.a.CHP.Outputs[Vector], $B$964:$B$972, 0))</calculatedColumnFormula>
    </tableColumn>
    <tableColumn id="12" name="2045" totalsRowFunction="sum" dataDxfId="146" totalsRowDxfId="145" dataCellStyle="Comma">
      <calculatedColumnFormula>INDEX(N$964:N$972, MATCH(IX.a.CHP.Outputs[Vector], $B$964:$B$972, 0))</calculatedColumnFormula>
    </tableColumn>
    <tableColumn id="13" name="2050" totalsRowFunction="sum" dataDxfId="144" totalsRowDxfId="143" dataCellStyle="Comma">
      <calculatedColumnFormula>INDEX(O$964:O$972, MATCH(IX.a.CHP.Outputs[Vector], $B$964:$B$972, 0))</calculatedColumnFormula>
    </tableColumn>
  </tableColumns>
  <tableStyleInfo name="EnergyCalcTables" showFirstColumn="0" showLastColumn="0" showRowStripes="1" showColumnStripes="0"/>
</table>
</file>

<file path=xl/tables/table16.xml><?xml version="1.0" encoding="utf-8"?>
<table xmlns="http://schemas.openxmlformats.org/spreadsheetml/2006/main" id="34" name="IX.a.CHP.Emissions" displayName="IX.a.CHP.Emissions" ref="C1212:O1216" totalsRowCount="1" headerRowDxfId="142" dataDxfId="140" totalsRowDxfId="138" headerRowBorderDxfId="141" tableBorderDxfId="139">
  <autoFilter ref="C1212:O1215"/>
  <tableColumns count="13">
    <tableColumn id="1" name="GHG" totalsRowLabel="Total" dataDxfId="137" totalsRowDxfId="136"/>
    <tableColumn id="2" name="IPCC Sector" dataDxfId="135" totalsRowDxfId="134"/>
    <tableColumn id="3" name="Notes" dataDxfId="133" totalsRowDxfId="132">
      <calculatedColumnFormula>INDEX(IPCC[Sector_description], MATCH(IX.a.CHP.Emissions[IPCC Sector], IPCC[Sector_code], 0))</calculatedColumnFormula>
    </tableColumn>
    <tableColumn id="4" name="2007" totalsRowFunction="sum" dataDxfId="131" totalsRowDxfId="130" dataCellStyle="Comma">
      <calculatedColumnFormula>F976</calculatedColumnFormula>
    </tableColumn>
    <tableColumn id="5" name="2010" totalsRowFunction="sum" dataDxfId="129" totalsRowDxfId="128" dataCellStyle="Comma">
      <calculatedColumnFormula>G976</calculatedColumnFormula>
    </tableColumn>
    <tableColumn id="6" name="2015" totalsRowFunction="sum" dataDxfId="127" totalsRowDxfId="126" dataCellStyle="Comma">
      <calculatedColumnFormula>H976</calculatedColumnFormula>
    </tableColumn>
    <tableColumn id="7" name="2020" totalsRowFunction="sum" dataDxfId="125" totalsRowDxfId="124" dataCellStyle="Comma">
      <calculatedColumnFormula>I976</calculatedColumnFormula>
    </tableColumn>
    <tableColumn id="8" name="2025" totalsRowFunction="sum" dataDxfId="123" totalsRowDxfId="122" dataCellStyle="Comma">
      <calculatedColumnFormula>J976</calculatedColumnFormula>
    </tableColumn>
    <tableColumn id="9" name="2030" totalsRowFunction="sum" dataDxfId="121" totalsRowDxfId="120" dataCellStyle="Comma">
      <calculatedColumnFormula>K976</calculatedColumnFormula>
    </tableColumn>
    <tableColumn id="10" name="2035" totalsRowFunction="sum" dataDxfId="119" totalsRowDxfId="118" dataCellStyle="Comma">
      <calculatedColumnFormula>L976</calculatedColumnFormula>
    </tableColumn>
    <tableColumn id="11" name="2040" totalsRowFunction="sum" dataDxfId="117" totalsRowDxfId="116" dataCellStyle="Comma">
      <calculatedColumnFormula>M976</calculatedColumnFormula>
    </tableColumn>
    <tableColumn id="12" name="2045" totalsRowFunction="sum" dataDxfId="115" totalsRowDxfId="114" dataCellStyle="Comma">
      <calculatedColumnFormula>N976</calculatedColumnFormula>
    </tableColumn>
    <tableColumn id="13" name="2050" totalsRowFunction="sum" dataDxfId="113" totalsRowDxfId="112" dataCellStyle="Comma">
      <calculatedColumnFormula>O976</calculatedColumnFormula>
    </tableColumn>
  </tableColumns>
  <tableStyleInfo name="EnergyCalcTables" showFirstColumn="0" showLastColumn="0" showRowStripes="1" showColumnStripes="0"/>
</table>
</file>

<file path=xl/tables/table17.xml><?xml version="1.0" encoding="utf-8"?>
<table xmlns="http://schemas.openxmlformats.org/spreadsheetml/2006/main" id="38" name="IX.a.NoCHP.Emissions" displayName="IX.a.NoCHP.Emissions" ref="C1204:O1208" totalsRowCount="1" headerRowDxfId="111" dataDxfId="109" totalsRowDxfId="107" headerRowBorderDxfId="110" tableBorderDxfId="108">
  <autoFilter ref="C1204:O1207"/>
  <tableColumns count="13">
    <tableColumn id="1" name="GHG" totalsRowLabel="Total" dataDxfId="106" totalsRowDxfId="105"/>
    <tableColumn id="2" name="IPCC Sector" dataDxfId="104" totalsRowDxfId="103"/>
    <tableColumn id="3" name="Notes" dataDxfId="102" totalsRowDxfId="101">
      <calculatedColumnFormula>INDEX(IPCC[Sector_description], MATCH(IX.a.NoCHP.Emissions[IPCC Sector], IPCC[Sector_code], 0))</calculatedColumnFormula>
    </tableColumn>
    <tableColumn id="4" name="2007" totalsRowFunction="sum" dataDxfId="100" totalsRowDxfId="99" dataCellStyle="Comma">
      <calculatedColumnFormula>F1221-F1213</calculatedColumnFormula>
    </tableColumn>
    <tableColumn id="5" name="2010" totalsRowFunction="sum" dataDxfId="98" totalsRowDxfId="97" dataCellStyle="Comma">
      <calculatedColumnFormula>G1221-G1213</calculatedColumnFormula>
    </tableColumn>
    <tableColumn id="6" name="2015" totalsRowFunction="sum" dataDxfId="96" totalsRowDxfId="95" dataCellStyle="Comma">
      <calculatedColumnFormula>H1221-H1213</calculatedColumnFormula>
    </tableColumn>
    <tableColumn id="7" name="2020" totalsRowFunction="sum" dataDxfId="94" totalsRowDxfId="93" dataCellStyle="Comma">
      <calculatedColumnFormula>I1221-I1213</calculatedColumnFormula>
    </tableColumn>
    <tableColumn id="8" name="2025" totalsRowFunction="sum" dataDxfId="92" totalsRowDxfId="91" dataCellStyle="Comma">
      <calculatedColumnFormula>J1221-J1213</calculatedColumnFormula>
    </tableColumn>
    <tableColumn id="9" name="2030" totalsRowFunction="sum" dataDxfId="90" totalsRowDxfId="89" dataCellStyle="Comma">
      <calculatedColumnFormula>K1221-K1213</calculatedColumnFormula>
    </tableColumn>
    <tableColumn id="10" name="2035" totalsRowFunction="sum" dataDxfId="88" totalsRowDxfId="87" dataCellStyle="Comma">
      <calculatedColumnFormula>L1221-L1213</calculatedColumnFormula>
    </tableColumn>
    <tableColumn id="11" name="2040" totalsRowFunction="sum" dataDxfId="86" totalsRowDxfId="85" dataCellStyle="Comma">
      <calculatedColumnFormula>M1221-M1213</calculatedColumnFormula>
    </tableColumn>
    <tableColumn id="12" name="2045" totalsRowFunction="sum" dataDxfId="84" totalsRowDxfId="83" dataCellStyle="Comma">
      <calculatedColumnFormula>N1221-N1213</calculatedColumnFormula>
    </tableColumn>
    <tableColumn id="13" name="2050" totalsRowFunction="sum" dataDxfId="82" totalsRowDxfId="81" dataCellStyle="Comma">
      <calculatedColumnFormula>O1221-O1213</calculatedColumnFormula>
    </tableColumn>
  </tableColumns>
  <tableStyleInfo name="EnergyCalcTables" showFirstColumn="0" showLastColumn="0" showRowStripes="1" showColumnStripes="0"/>
</table>
</file>

<file path=xl/tables/table18.xml><?xml version="1.0" encoding="utf-8"?>
<table xmlns="http://schemas.openxmlformats.org/spreadsheetml/2006/main" id="55" name="IX.a.Insulation.Costs" displayName="IX.a.Insulation.Costs" ref="C1249:O1252" headerRowDxfId="80" dataDxfId="78" totalsRowDxfId="76" headerRowBorderDxfId="79" tableBorderDxfId="77">
  <autoFilter ref="C1249:O1252"/>
  <tableColumns count="13">
    <tableColumn id="1" name="Vector" totalsRowLabel="Total" dataDxfId="75" totalsRowDxfId="74"/>
    <tableColumn id="2" name="Name" dataDxfId="73" totalsRowDxfId="72">
      <calculatedColumnFormula>INDEX([2]!CostVectors[Description], MATCH(C1250, [2]!CostVectors[Code], 0))</calculatedColumnFormula>
    </tableColumn>
    <tableColumn id="3" name="Notes" dataDxfId="71" totalsRowDxfId="70"/>
    <tableColumn id="4" name="2007" dataDxfId="69" totalsRowDxfId="68" dataCellStyle="Comma"/>
    <tableColumn id="5" name="2010" totalsRowFunction="custom" dataDxfId="67" totalsRowDxfId="66" dataCellStyle="Comma">
      <totalsRowFormula>SUM(IX.a.Insulation.Costs[2010])</totalsRowFormula>
    </tableColumn>
    <tableColumn id="6" name="2015" totalsRowFunction="custom" dataDxfId="65" totalsRowDxfId="64" dataCellStyle="Comma">
      <totalsRowFormula>SUM(IX.a.Insulation.Costs[2015])</totalsRowFormula>
    </tableColumn>
    <tableColumn id="7" name="2020" totalsRowFunction="sum" dataDxfId="63" totalsRowDxfId="62" dataCellStyle="Comma"/>
    <tableColumn id="8" name="2025" totalsRowFunction="sum" dataDxfId="61" totalsRowDxfId="60" dataCellStyle="Comma"/>
    <tableColumn id="9" name="2030" totalsRowFunction="sum" dataDxfId="59" totalsRowDxfId="58" dataCellStyle="Comma"/>
    <tableColumn id="10" name="2035" totalsRowFunction="sum" dataDxfId="57" totalsRowDxfId="56" dataCellStyle="Comma"/>
    <tableColumn id="11" name="2040" totalsRowFunction="sum" dataDxfId="55" totalsRowDxfId="54" dataCellStyle="Comma"/>
    <tableColumn id="12" name="2045" totalsRowFunction="sum" dataDxfId="53" totalsRowDxfId="52" dataCellStyle="Comma"/>
    <tableColumn id="13" name="2050" totalsRowFunction="sum" dataDxfId="51" totalsRowDxfId="50" dataCellStyle="Comma"/>
  </tableColumns>
  <tableStyleInfo name="EnergyCalcTables" showFirstColumn="0" showLastColumn="0" showRowStripes="1" showColumnStripes="0"/>
</table>
</file>

<file path=xl/tables/table19.xml><?xml version="1.0" encoding="utf-8"?>
<table xmlns="http://schemas.openxmlformats.org/spreadsheetml/2006/main" id="58" name="IX.a.Heating.Costs" displayName="IX.a.Heating.Costs" ref="C1256:O1262" headerRowDxfId="49" dataDxfId="47" totalsRowDxfId="45" headerRowBorderDxfId="48" tableBorderDxfId="46">
  <autoFilter ref="C1256:O1262"/>
  <tableColumns count="13">
    <tableColumn id="1" name="Vector" totalsRowLabel="Total" dataDxfId="44" totalsRowDxfId="43"/>
    <tableColumn id="2" name="Name" dataDxfId="42" totalsRowDxfId="41">
      <calculatedColumnFormula>INDEX(CostVectors[Description], MATCH(C1257, CostVectors[Code], 0))</calculatedColumnFormula>
    </tableColumn>
    <tableColumn id="3" name="Notes" dataDxfId="40" totalsRowDxfId="39"/>
    <tableColumn id="4" name="2007" dataDxfId="38" totalsRowDxfId="37" dataCellStyle="Comma"/>
    <tableColumn id="5" name="2010" totalsRowFunction="custom" dataDxfId="36" totalsRowDxfId="35" dataCellStyle="Comma">
      <totalsRowFormula>SUM(IX.a.Heating.Costs[2010])</totalsRowFormula>
    </tableColumn>
    <tableColumn id="6" name="2015" totalsRowFunction="custom" dataDxfId="34" totalsRowDxfId="33" dataCellStyle="Comma">
      <totalsRowFormula>SUM(IX.a.Heating.Costs[2015])</totalsRowFormula>
    </tableColumn>
    <tableColumn id="7" name="2020" totalsRowFunction="sum" dataDxfId="32" totalsRowDxfId="31" dataCellStyle="Comma"/>
    <tableColumn id="8" name="2025" totalsRowFunction="sum" dataDxfId="30" totalsRowDxfId="29" dataCellStyle="Comma"/>
    <tableColumn id="9" name="2030" totalsRowFunction="sum" dataDxfId="28" totalsRowDxfId="27" dataCellStyle="Comma"/>
    <tableColumn id="10" name="2035" totalsRowFunction="sum" dataDxfId="26" totalsRowDxfId="25" dataCellStyle="Comma"/>
    <tableColumn id="11" name="2040" totalsRowFunction="sum" dataDxfId="24" totalsRowDxfId="23" dataCellStyle="Comma"/>
    <tableColumn id="12" name="2045" totalsRowFunction="sum" dataDxfId="22" totalsRowDxfId="21" dataCellStyle="Comma"/>
    <tableColumn id="13" name="2050" totalsRowFunction="sum" dataDxfId="20" totalsRowDxfId="19" dataCellStyle="Comma"/>
  </tableColumns>
  <tableStyleInfo name="EnergyCalcTables" showFirstColumn="0" showLastColumn="0" showRowStripes="1" showColumnStripes="0"/>
</table>
</file>

<file path=xl/tables/table2.xml><?xml version="1.0" encoding="utf-8"?>
<table xmlns="http://schemas.openxmlformats.org/spreadsheetml/2006/main" id="33" name="EF" displayName="EF" ref="B45:H91" totalsRowShown="0" headerRowDxfId="342" dataDxfId="341">
  <autoFilter ref="B45:H91"/>
  <tableColumns count="7">
    <tableColumn id="1" name="Vector" dataDxfId="340"/>
    <tableColumn id="6" name="Description" dataDxfId="339">
      <calculatedColumnFormula>INDEX(Vectors[Description], MATCH(EF[Vector], Vectors[Code], 0))</calculatedColumnFormula>
    </tableColumn>
    <tableColumn id="2" name="CO2" dataDxfId="338" dataCellStyle="Comma"/>
    <tableColumn id="3" name="CH4" dataDxfId="337" dataCellStyle="Comma"/>
    <tableColumn id="4" name="N2O" dataDxfId="336" dataCellStyle="Comma"/>
    <tableColumn id="7" name="CO2e" dataDxfId="335" dataCellStyle="Comma">
      <calculatedColumnFormula>SUM(EF[[#This Row],[CO2]:[N2O]])</calculatedColumnFormula>
    </tableColumn>
    <tableColumn id="5" name="Comments" dataDxfId="334"/>
  </tableColumns>
  <tableStyleInfo name="TableStyleMedium12" showFirstColumn="0" showLastColumn="0" showRowStripes="1" showColumnStripes="0"/>
</table>
</file>

<file path=xl/tables/table20.xml><?xml version="1.0" encoding="utf-8"?>
<table xmlns="http://schemas.openxmlformats.org/spreadsheetml/2006/main" id="306" name="IX.a.Heating.AQ" displayName="IX.a.Heating.AQ" ref="C1228:O1232" totalsRowShown="0" headerRowDxfId="18" dataDxfId="16" headerRowBorderDxfId="17" tableBorderDxfId="15" totalsRowBorderDxfId="14">
  <autoFilter ref="C1228:O1232"/>
  <tableColumns count="13">
    <tableColumn id="1" name="Vector" dataDxfId="13">
      <calculatedColumnFormula>INDEX(AirQualityVectors[Code],MATCH(D1229,AirQualityVectors[Description],0))</calculatedColumnFormula>
    </tableColumn>
    <tableColumn id="2" name="Name" dataDxfId="12"/>
    <tableColumn id="3" name="Notes" dataDxfId="11"/>
    <tableColumn id="4" name="2007" dataDxfId="10">
      <calculatedColumnFormula>F937</calculatedColumnFormula>
    </tableColumn>
    <tableColumn id="5" name="2010" dataDxfId="9">
      <calculatedColumnFormula>G937</calculatedColumnFormula>
    </tableColumn>
    <tableColumn id="6" name="2015" dataDxfId="8">
      <calculatedColumnFormula>H937</calculatedColumnFormula>
    </tableColumn>
    <tableColumn id="7" name="2020" dataDxfId="7">
      <calculatedColumnFormula>I937</calculatedColumnFormula>
    </tableColumn>
    <tableColumn id="8" name="2025" dataDxfId="6">
      <calculatedColumnFormula>J937</calculatedColumnFormula>
    </tableColumn>
    <tableColumn id="9" name="2030" dataDxfId="5">
      <calculatedColumnFormula>K937</calculatedColumnFormula>
    </tableColumn>
    <tableColumn id="10" name="2035" dataDxfId="4">
      <calculatedColumnFormula>L937</calculatedColumnFormula>
    </tableColumn>
    <tableColumn id="11" name="2040" dataDxfId="3">
      <calculatedColumnFormula>M937</calculatedColumnFormula>
    </tableColumn>
    <tableColumn id="12" name="2045" dataDxfId="2">
      <calculatedColumnFormula>N937</calculatedColumnFormula>
    </tableColumn>
    <tableColumn id="13" name="2050" dataDxfId="1">
      <calculatedColumnFormula>O937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2" name="Constants.BM_AQ_Emis" displayName="Constants.BM_AQ_Emis" ref="E34:I37" totalsRowShown="0">
  <autoFilter ref="E34:I37"/>
  <tableColumns count="5">
    <tableColumn id="1" name="Fueltype"/>
    <tableColumn id="2" name="PM10" dataDxfId="333"/>
    <tableColumn id="3" name="NOX" dataDxfId="332"/>
    <tableColumn id="4" name="SO2" dataDxfId="331"/>
    <tableColumn id="5" name="NMVOC" dataDxfId="33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Workstreams" displayName="Workstreams" ref="B6:C24" totalsRowShown="0" headerRowDxfId="329" dataDxfId="328">
  <autoFilter ref="B6:C24"/>
  <tableColumns count="2">
    <tableColumn id="1" name="Code" dataDxfId="327"/>
    <tableColumn id="2" name="Workstream" dataDxfId="32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Modules" displayName="Modules" ref="F6:J54" totalsRowShown="0" headerRowDxfId="325" dataDxfId="324">
  <autoFilter ref="F6:J54"/>
  <sortState ref="J5:Q20">
    <sortCondition ref="J3:J19"/>
  </sortState>
  <tableColumns count="5">
    <tableColumn id="1" name="Code" dataDxfId="323"/>
    <tableColumn id="2" name="Module" dataDxfId="322"/>
    <tableColumn id="7" name="WS Code" dataDxfId="321">
      <calculatedColumnFormula>LEFT(Modules[Code], FIND(".", Modules[Code])-1)</calculatedColumnFormula>
    </tableColumn>
    <tableColumn id="6" name="Workstream" dataDxfId="320">
      <calculatedColumnFormula>INDEX(Workstreams[Workstream], MATCH(Modules[WS Code], Workstreams[Code], 0))</calculatedColumnFormula>
    </tableColumn>
    <tableColumn id="3" name="Comments" dataDxfId="31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" name="Vectors" displayName="Vectors" ref="M6:Q68" totalsRowShown="0" headerRowDxfId="318" dataDxfId="317">
  <autoFilter ref="M6:Q68"/>
  <tableColumns count="5">
    <tableColumn id="1" name="Category" dataDxfId="316"/>
    <tableColumn id="2" name="Subcategory" dataDxfId="315"/>
    <tableColumn id="3" name="Code" dataDxfId="314"/>
    <tableColumn id="4" name="Description" dataDxfId="313"/>
    <tableColumn id="5" name="Comment" dataDxfId="31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31" name="IPCC" displayName="IPCC" ref="T6:V17" totalsRowShown="0" headerRowDxfId="311" dataDxfId="310">
  <autoFilter ref="T6:V17"/>
  <tableColumns count="3">
    <tableColumn id="1" name="Sector_code" dataDxfId="309"/>
    <tableColumn id="2" name="Sector_description" dataDxfId="308"/>
    <tableColumn id="3" name="Comment" dataDxfId="307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32" name="GHG" displayName="GHG" ref="T22:V26" totalsRowShown="0" headerRowDxfId="306" dataDxfId="305">
  <autoFilter ref="T22:V26"/>
  <tableColumns count="3">
    <tableColumn id="1" name="GHG_code" dataDxfId="304"/>
    <tableColumn id="2" name="GHG_description" dataDxfId="303"/>
    <tableColumn id="3" name="Comment" dataDxfId="302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96" name="CostVectors" displayName="CostVectors" ref="X6:Z17" totalsRowShown="0" headerRowBorderDxfId="301" tableBorderDxfId="300">
  <autoFilter ref="X6:Z17"/>
  <sortState ref="AS9:AU14">
    <sortCondition ref="AS4:AS10"/>
  </sortState>
  <tableColumns count="3">
    <tableColumn id="1" name="Code" dataDxfId="299"/>
    <tableColumn id="2" name="Description" dataDxfId="298"/>
    <tableColumn id="3" name="Comment" dataDxfId="297"/>
  </tableColumns>
  <tableStyleInfo name="EnergyCalcTabl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wiki.greenonblack.com/pages/7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Relationship Id="rId9" Type="http://schemas.openxmlformats.org/officeDocument/2006/relationships/table" Target="../tables/table18.xml"/><Relationship Id="rId10" Type="http://schemas.openxmlformats.org/officeDocument/2006/relationships/table" Target="../tables/table19.xml"/><Relationship Id="rId11" Type="http://schemas.openxmlformats.org/officeDocument/2006/relationships/table" Target="../tables/table20.xml"/><Relationship Id="rId1" Type="http://schemas.openxmlformats.org/officeDocument/2006/relationships/hyperlink" Target="http://2050-calculator-tool-wiki.decc.gov.uk/pages/31" TargetMode="External"/><Relationship Id="rId2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5" tint="-0.249977111117893"/>
    <pageSetUpPr autoPageBreaks="0"/>
  </sheetPr>
  <dimension ref="A1:BR75"/>
  <sheetViews>
    <sheetView tabSelected="1" topLeftCell="AN1" workbookViewId="0">
      <selection activeCell="AV36" sqref="AV36:AX48"/>
    </sheetView>
  </sheetViews>
  <sheetFormatPr baseColWidth="10" defaultColWidth="8.83203125" defaultRowHeight="13" x14ac:dyDescent="0"/>
  <cols>
    <col min="1" max="1" width="20.1640625" style="1005" customWidth="1"/>
    <col min="2" max="2" width="26.33203125" style="1005" customWidth="1"/>
    <col min="3" max="3" width="5" customWidth="1"/>
    <col min="4" max="4" width="45.33203125" customWidth="1"/>
    <col min="5" max="5" width="5.1640625" style="736" customWidth="1"/>
    <col min="6" max="6" width="4" style="734" customWidth="1"/>
    <col min="7" max="7" width="1.1640625" customWidth="1"/>
    <col min="8" max="11" width="43.83203125" style="115" customWidth="1"/>
    <col min="12" max="12" width="1.1640625" style="1558" customWidth="1"/>
    <col min="13" max="13" width="4.5" style="115" customWidth="1"/>
    <col min="14" max="15" width="4.5" style="1250" customWidth="1"/>
    <col min="16" max="16" width="6.5" style="1689" customWidth="1"/>
    <col min="17" max="17" width="5.5" style="1557" customWidth="1"/>
    <col min="18" max="19" width="4.83203125" style="1557" customWidth="1"/>
    <col min="20" max="20" width="4.6640625" style="1752" customWidth="1"/>
    <col min="21" max="21" width="4.5" style="1557" customWidth="1"/>
    <col min="22" max="22" width="4.6640625" style="1689" customWidth="1"/>
    <col min="23" max="24" width="5.1640625" style="1689" customWidth="1"/>
    <col min="25" max="25" width="4.6640625" style="1689" customWidth="1"/>
    <col min="26" max="26" width="4.83203125" style="1689" customWidth="1"/>
    <col min="27" max="27" width="4.5" style="1689" customWidth="1"/>
    <col min="28" max="28" width="4.5" style="1557" customWidth="1"/>
    <col min="29" max="29" width="1" customWidth="1"/>
    <col min="30" max="30" width="1.83203125" customWidth="1"/>
    <col min="31" max="40" width="9.5" customWidth="1"/>
    <col min="41" max="41" width="0.83203125" style="1252" customWidth="1"/>
    <col min="42" max="42" width="6.83203125" style="1252" customWidth="1"/>
    <col min="43" max="52" width="9.5" customWidth="1"/>
    <col min="53" max="53" width="0.83203125" style="811" customWidth="1"/>
    <col min="54" max="54" width="2.1640625" style="811" customWidth="1"/>
    <col min="55" max="55" width="7.83203125" customWidth="1"/>
    <col min="56" max="59" width="9.5" customWidth="1"/>
    <col min="60" max="60" width="9.6640625" bestFit="1" customWidth="1"/>
    <col min="61" max="63" width="9.6640625" customWidth="1"/>
    <col min="64" max="65" width="2.6640625" customWidth="1"/>
    <col min="66" max="66" width="21" style="1558" customWidth="1"/>
    <col min="67" max="67" width="28.5" style="1245" customWidth="1"/>
    <col min="68" max="68" width="13.6640625" style="1245" customWidth="1"/>
    <col min="69" max="69" width="18.1640625" style="1245" customWidth="1"/>
    <col min="70" max="70" width="43" style="1245" customWidth="1"/>
  </cols>
  <sheetData>
    <row r="1" spans="1:70" ht="31.5" customHeight="1">
      <c r="A1" s="1566" t="s">
        <v>1856</v>
      </c>
      <c r="C1" s="1208"/>
      <c r="E1" s="1208" t="s">
        <v>1858</v>
      </c>
      <c r="J1" s="1566"/>
      <c r="M1" s="1566" t="s">
        <v>1899</v>
      </c>
      <c r="AC1" s="115"/>
      <c r="AD1" s="536"/>
      <c r="AF1" s="1209"/>
    </row>
    <row r="2" spans="1:70" ht="32.25" customHeight="1">
      <c r="A2" s="1128" t="s">
        <v>973</v>
      </c>
      <c r="B2" s="1128"/>
      <c r="C2" s="1128"/>
      <c r="D2" s="1127"/>
      <c r="E2" s="1127"/>
      <c r="F2" s="1127"/>
      <c r="G2" s="766"/>
      <c r="H2" s="1129" t="s">
        <v>1750</v>
      </c>
      <c r="I2" s="1129"/>
      <c r="J2" s="1129"/>
      <c r="K2" s="1129"/>
      <c r="L2" s="1296"/>
      <c r="M2" s="1205" t="s">
        <v>1213</v>
      </c>
      <c r="N2" s="1205"/>
      <c r="O2" s="1205"/>
      <c r="P2" s="1206"/>
      <c r="Q2" s="1206"/>
      <c r="R2" s="1206"/>
      <c r="S2" s="1206"/>
      <c r="T2" s="1206"/>
      <c r="U2" s="1206"/>
      <c r="V2" s="1206"/>
      <c r="W2" s="1206"/>
      <c r="X2" s="1206"/>
      <c r="Y2" s="1206"/>
      <c r="Z2" s="1206"/>
      <c r="AA2" s="1206"/>
      <c r="AB2" s="1206"/>
      <c r="AC2" s="766"/>
      <c r="AD2" s="1129" t="s">
        <v>1101</v>
      </c>
      <c r="AE2" s="1130"/>
      <c r="AF2" s="1130"/>
      <c r="AG2" s="1130"/>
      <c r="AH2" s="1130"/>
      <c r="AI2" s="1130"/>
      <c r="AJ2" s="1130"/>
      <c r="AK2" s="1130"/>
      <c r="AL2" s="1130"/>
      <c r="AM2" s="1130"/>
      <c r="AN2" s="1130"/>
      <c r="AP2" s="1130"/>
      <c r="AQ2" s="1130"/>
      <c r="AR2" s="1130"/>
      <c r="AS2" s="1130"/>
      <c r="AT2" s="1130"/>
      <c r="AU2" s="1254" t="s">
        <v>701</v>
      </c>
      <c r="AV2" s="1130"/>
      <c r="AW2" s="1130"/>
      <c r="AX2" s="1130"/>
      <c r="AY2" s="1130"/>
      <c r="AZ2" s="1130"/>
      <c r="BB2" s="1770" t="s">
        <v>1418</v>
      </c>
      <c r="BC2" s="1770"/>
      <c r="BD2" s="1770"/>
      <c r="BE2" s="1770"/>
      <c r="BF2" s="1770"/>
      <c r="BG2" s="1770"/>
      <c r="BH2" s="1770"/>
      <c r="BI2" s="1770"/>
      <c r="BJ2" s="1770"/>
      <c r="BK2" s="1770"/>
      <c r="BL2" s="1770"/>
      <c r="BO2" s="1129" t="s">
        <v>1423</v>
      </c>
      <c r="BP2" s="1129"/>
      <c r="BQ2" s="1129"/>
      <c r="BR2" s="1129"/>
    </row>
    <row r="3" spans="1:70" s="811" customFormat="1" ht="6" customHeight="1" thickBot="1">
      <c r="A3" s="1567"/>
      <c r="B3" s="1567"/>
    </row>
    <row r="4" spans="1:70" s="1575" customFormat="1" ht="188.25" customHeight="1">
      <c r="A4" s="1573" t="s">
        <v>66</v>
      </c>
      <c r="B4" s="1573"/>
      <c r="C4" s="1574"/>
      <c r="D4" s="1574"/>
      <c r="E4" s="1562" t="s">
        <v>1749</v>
      </c>
      <c r="F4" s="1561" t="s">
        <v>1748</v>
      </c>
      <c r="H4" s="1576" t="s">
        <v>1256</v>
      </c>
      <c r="I4" s="1576" t="s">
        <v>1257</v>
      </c>
      <c r="J4" s="1576" t="s">
        <v>1258</v>
      </c>
      <c r="K4" s="1576" t="s">
        <v>1326</v>
      </c>
      <c r="M4" s="1754" t="s">
        <v>1865</v>
      </c>
      <c r="N4" s="1246" t="s">
        <v>1485</v>
      </c>
      <c r="O4" s="1246" t="s">
        <v>1486</v>
      </c>
      <c r="P4" s="1246" t="s">
        <v>1852</v>
      </c>
      <c r="Q4" s="1246" t="s">
        <v>1849</v>
      </c>
      <c r="R4" s="1246" t="s">
        <v>1850</v>
      </c>
      <c r="S4" s="1246" t="s">
        <v>1851</v>
      </c>
      <c r="T4" s="1246" t="s">
        <v>1854</v>
      </c>
      <c r="U4" s="1246" t="s">
        <v>1866</v>
      </c>
      <c r="V4" s="1246" t="s">
        <v>1867</v>
      </c>
      <c r="W4" s="1246" t="s">
        <v>1795</v>
      </c>
      <c r="X4" s="1246" t="s">
        <v>1853</v>
      </c>
      <c r="Y4" s="1246" t="s">
        <v>1794</v>
      </c>
      <c r="Z4" s="1755"/>
      <c r="AA4" s="1755"/>
      <c r="AB4" s="1755"/>
      <c r="AD4" s="1578"/>
      <c r="AE4" s="1578"/>
      <c r="AF4" s="1578"/>
      <c r="AG4" s="1578"/>
      <c r="AH4" s="1578"/>
      <c r="AI4" s="1578"/>
      <c r="AJ4" s="1578"/>
      <c r="AK4" s="1578"/>
      <c r="AL4" s="1578"/>
      <c r="AM4" s="1578"/>
      <c r="AN4" s="1578"/>
      <c r="AP4" s="1578"/>
      <c r="AQ4" s="1578"/>
      <c r="AR4" s="1578"/>
      <c r="AS4" s="1578"/>
      <c r="AT4" s="1578"/>
      <c r="AU4" s="1578"/>
      <c r="AV4" s="1578"/>
      <c r="AW4" s="1578"/>
      <c r="AX4" s="1578"/>
      <c r="AY4" s="1578"/>
      <c r="AZ4" s="1578"/>
      <c r="BA4" s="1579"/>
      <c r="BB4" s="1151"/>
      <c r="BC4" s="1151"/>
      <c r="BD4" s="1578"/>
      <c r="BE4" s="1578"/>
      <c r="BF4" s="1578"/>
      <c r="BG4" s="1578"/>
      <c r="BH4" s="1578"/>
      <c r="BI4" s="1578"/>
      <c r="BJ4" s="1578"/>
      <c r="BK4" s="1578"/>
      <c r="BL4" s="1578"/>
      <c r="BO4" s="1577" t="s">
        <v>1256</v>
      </c>
      <c r="BP4" s="1576" t="s">
        <v>1257</v>
      </c>
      <c r="BQ4" s="1576" t="s">
        <v>1258</v>
      </c>
      <c r="BR4" s="1576" t="s">
        <v>1326</v>
      </c>
    </row>
    <row r="5" spans="1:70" s="115" customFormat="1" ht="26">
      <c r="A5" s="1769" t="s">
        <v>905</v>
      </c>
      <c r="B5" s="1771" t="s">
        <v>1415</v>
      </c>
      <c r="C5" s="735" t="s">
        <v>628</v>
      </c>
      <c r="D5" s="735" t="s">
        <v>525</v>
      </c>
      <c r="E5" s="1763">
        <v>4</v>
      </c>
      <c r="F5" s="1563">
        <v>4</v>
      </c>
      <c r="G5"/>
      <c r="H5" s="1559" t="s">
        <v>1214</v>
      </c>
      <c r="I5" s="1559" t="s">
        <v>1798</v>
      </c>
      <c r="J5" s="1559" t="s">
        <v>1799</v>
      </c>
      <c r="K5" s="1559" t="s">
        <v>1800</v>
      </c>
      <c r="L5" s="1558"/>
      <c r="M5" s="1740">
        <v>1</v>
      </c>
      <c r="N5" s="1739">
        <v>1</v>
      </c>
      <c r="O5" s="1739">
        <v>4</v>
      </c>
      <c r="P5" s="1739">
        <v>1.8</v>
      </c>
      <c r="Q5" s="1739">
        <v>1.4</v>
      </c>
      <c r="R5" s="1739">
        <v>2.7</v>
      </c>
      <c r="S5" s="1739">
        <v>1.5</v>
      </c>
      <c r="T5" s="1739">
        <v>2.6</v>
      </c>
      <c r="U5" s="1756">
        <v>1</v>
      </c>
      <c r="V5" s="1739">
        <v>1</v>
      </c>
      <c r="W5" s="1739">
        <v>2</v>
      </c>
      <c r="X5" s="1739">
        <v>1.7</v>
      </c>
      <c r="Y5" s="1739">
        <v>1.6</v>
      </c>
      <c r="Z5" s="1739"/>
      <c r="AA5" s="1739"/>
      <c r="AB5" s="1739"/>
      <c r="AC5"/>
      <c r="AD5" s="1109"/>
      <c r="AE5" s="1109"/>
      <c r="AF5" s="1109"/>
      <c r="AG5" s="1109"/>
      <c r="AH5" s="1109"/>
      <c r="AI5" s="1109"/>
      <c r="AJ5" s="1109"/>
      <c r="AK5" s="1109"/>
      <c r="AL5" s="1109"/>
      <c r="AM5" s="1110"/>
      <c r="AN5" s="1110"/>
      <c r="AO5" s="1252"/>
      <c r="AP5" s="1110"/>
      <c r="AQ5" s="1110"/>
      <c r="AR5" s="1110"/>
      <c r="AS5" s="1110"/>
      <c r="AT5" s="1110"/>
      <c r="AU5" s="1110"/>
      <c r="AV5" s="1110"/>
      <c r="AW5" s="1110"/>
      <c r="AX5" s="1110"/>
      <c r="AY5" s="1110"/>
      <c r="AZ5" s="1110"/>
      <c r="BA5" s="811"/>
      <c r="BB5" s="1149"/>
      <c r="BC5" s="1265" t="s">
        <v>1187</v>
      </c>
      <c r="BD5" s="1110"/>
      <c r="BE5" s="1110"/>
      <c r="BF5" s="1110"/>
      <c r="BG5" s="1110"/>
      <c r="BH5" s="1110"/>
      <c r="BI5" s="1110"/>
      <c r="BJ5" s="1110"/>
      <c r="BK5" s="1110"/>
      <c r="BL5" s="1110"/>
      <c r="BN5" s="1558"/>
      <c r="BO5" s="1247" t="s">
        <v>1857</v>
      </c>
      <c r="BP5" s="522" t="s">
        <v>1424</v>
      </c>
      <c r="BQ5" s="522" t="s">
        <v>1425</v>
      </c>
      <c r="BR5" s="522" t="s">
        <v>1426</v>
      </c>
    </row>
    <row r="6" spans="1:70" s="1211" customFormat="1" ht="15">
      <c r="A6" s="1769"/>
      <c r="B6" s="1771"/>
      <c r="C6" s="735" t="s">
        <v>695</v>
      </c>
      <c r="D6" s="735" t="s">
        <v>1290</v>
      </c>
      <c r="E6" s="1763"/>
      <c r="F6" s="18"/>
      <c r="G6" s="1558"/>
      <c r="H6" s="1558"/>
      <c r="I6" s="1558"/>
      <c r="J6" s="1558"/>
      <c r="K6" s="1558"/>
      <c r="L6" s="1558"/>
      <c r="M6" s="1740"/>
      <c r="N6" s="1739"/>
      <c r="O6" s="1739"/>
      <c r="P6" s="1739"/>
      <c r="Q6" s="1739"/>
      <c r="R6" s="1739"/>
      <c r="S6" s="1739"/>
      <c r="T6" s="1739"/>
      <c r="U6" s="1756"/>
      <c r="V6" s="1739"/>
      <c r="W6" s="1739"/>
      <c r="X6" s="1739"/>
      <c r="Y6" s="1739"/>
      <c r="Z6" s="1739"/>
      <c r="AA6" s="1739"/>
      <c r="AB6" s="1739"/>
      <c r="AC6" s="1215"/>
      <c r="AD6" s="1109"/>
      <c r="AE6" s="1109"/>
      <c r="AF6" s="1109"/>
      <c r="AG6" s="1109"/>
      <c r="AH6" s="1109"/>
      <c r="AI6" s="1109"/>
      <c r="AJ6" s="1109"/>
      <c r="AK6" s="1109"/>
      <c r="AL6" s="1109"/>
      <c r="AM6" s="1110"/>
      <c r="AN6" s="1110"/>
      <c r="AO6" s="1252"/>
      <c r="AP6" s="1110"/>
      <c r="AQ6" s="1110"/>
      <c r="AR6" s="1110"/>
      <c r="AS6" s="1110"/>
      <c r="AT6" s="1110"/>
      <c r="AU6" s="1110"/>
      <c r="AV6" s="1110"/>
      <c r="AW6" s="1110"/>
      <c r="AX6" s="1110"/>
      <c r="AY6" s="1110"/>
      <c r="AZ6" s="1110"/>
      <c r="BA6" s="811"/>
      <c r="BB6" s="1149"/>
      <c r="BC6" s="1113"/>
      <c r="BD6" s="1110"/>
      <c r="BE6" s="1110"/>
      <c r="BF6" s="1110"/>
      <c r="BG6" s="1110"/>
      <c r="BH6" s="1110"/>
      <c r="BI6" s="1110"/>
      <c r="BJ6" s="1110"/>
      <c r="BK6" s="1110"/>
      <c r="BL6" s="1110"/>
      <c r="BN6" s="1558"/>
      <c r="BO6" s="1193"/>
      <c r="BP6" s="1245"/>
      <c r="BQ6" s="1245"/>
      <c r="BR6" s="1245"/>
    </row>
    <row r="7" spans="1:70" s="1215" customFormat="1" ht="26">
      <c r="A7" s="1769"/>
      <c r="B7" s="1771"/>
      <c r="C7" s="1156"/>
      <c r="D7" s="1157" t="s">
        <v>1487</v>
      </c>
      <c r="E7" s="1763">
        <v>1.6</v>
      </c>
      <c r="F7" s="1564">
        <v>4</v>
      </c>
      <c r="G7"/>
      <c r="H7" s="1559" t="s">
        <v>1198</v>
      </c>
      <c r="I7" s="1559" t="s">
        <v>1259</v>
      </c>
      <c r="J7" s="1559" t="s">
        <v>1260</v>
      </c>
      <c r="K7" s="1559" t="s">
        <v>1327</v>
      </c>
      <c r="L7" s="1558"/>
      <c r="M7" s="1740">
        <v>1</v>
      </c>
      <c r="N7" s="1739">
        <v>1</v>
      </c>
      <c r="O7" s="1739">
        <v>4</v>
      </c>
      <c r="P7" s="1739">
        <v>1.6</v>
      </c>
      <c r="Q7" s="1739">
        <v>1.3</v>
      </c>
      <c r="R7" s="1739">
        <v>1</v>
      </c>
      <c r="S7" s="1739">
        <v>2</v>
      </c>
      <c r="T7" s="1739">
        <v>1</v>
      </c>
      <c r="U7" s="1756">
        <v>1.7</v>
      </c>
      <c r="V7" s="1739">
        <v>1.7</v>
      </c>
      <c r="W7" s="1739">
        <v>2</v>
      </c>
      <c r="X7" s="1739">
        <v>1.7</v>
      </c>
      <c r="Y7" s="1739">
        <v>1.5</v>
      </c>
      <c r="Z7" s="1739"/>
      <c r="AA7" s="1739"/>
      <c r="AB7" s="1739"/>
      <c r="AC7"/>
      <c r="AD7" s="1109"/>
      <c r="AE7" s="1109"/>
      <c r="AF7" s="1109"/>
      <c r="AG7" s="1109"/>
      <c r="AH7" s="1109"/>
      <c r="AI7" s="1109"/>
      <c r="AJ7" s="1109"/>
      <c r="AK7" s="1109"/>
      <c r="AL7" s="1109"/>
      <c r="AM7" s="1110"/>
      <c r="AN7" s="1110"/>
      <c r="AO7" s="1252"/>
      <c r="AP7" s="1110"/>
      <c r="AQ7" s="1110"/>
      <c r="AR7" s="1110"/>
      <c r="AS7" s="1110"/>
      <c r="AT7" s="1110"/>
      <c r="AU7" s="1110"/>
      <c r="AV7" s="1110"/>
      <c r="AW7" s="1110"/>
      <c r="AX7" s="1110"/>
      <c r="AY7" s="1110"/>
      <c r="AZ7" s="1110"/>
      <c r="BA7" s="811"/>
      <c r="BB7" s="1260"/>
      <c r="BC7" s="1123"/>
      <c r="BD7" s="1114"/>
      <c r="BE7" s="1135"/>
      <c r="BF7" s="1135"/>
      <c r="BG7" s="1134"/>
      <c r="BH7" s="1133">
        <v>2007</v>
      </c>
      <c r="BI7" s="1133">
        <v>2020</v>
      </c>
      <c r="BJ7" s="1133">
        <v>2030</v>
      </c>
      <c r="BK7" s="1133">
        <v>2050</v>
      </c>
      <c r="BL7" s="1110"/>
      <c r="BN7" s="1558"/>
      <c r="BO7" s="1247" t="s">
        <v>1427</v>
      </c>
      <c r="BP7" s="522" t="s">
        <v>1428</v>
      </c>
      <c r="BQ7" s="522" t="s">
        <v>1429</v>
      </c>
      <c r="BR7" s="522" t="s">
        <v>1430</v>
      </c>
    </row>
    <row r="8" spans="1:70" s="522" customFormat="1" ht="26">
      <c r="A8" s="1769"/>
      <c r="B8" s="1771"/>
      <c r="C8" s="1156"/>
      <c r="D8" s="1157" t="s">
        <v>1497</v>
      </c>
      <c r="E8" s="1763">
        <v>2</v>
      </c>
      <c r="F8" s="1564" t="s">
        <v>984</v>
      </c>
      <c r="G8" s="1212"/>
      <c r="H8" s="1559" t="s">
        <v>1488</v>
      </c>
      <c r="I8" s="1559" t="s">
        <v>1489</v>
      </c>
      <c r="J8" s="1559" t="s">
        <v>1490</v>
      </c>
      <c r="K8" s="1559" t="s">
        <v>1491</v>
      </c>
      <c r="L8" s="1558"/>
      <c r="M8" s="1740">
        <v>1</v>
      </c>
      <c r="N8" s="1739">
        <v>1</v>
      </c>
      <c r="O8" s="1739">
        <v>4</v>
      </c>
      <c r="P8" s="1739">
        <v>2</v>
      </c>
      <c r="Q8" s="1739">
        <v>3</v>
      </c>
      <c r="R8" s="1739">
        <v>3</v>
      </c>
      <c r="S8" s="1739">
        <v>3</v>
      </c>
      <c r="T8" s="1739">
        <v>1</v>
      </c>
      <c r="U8" s="1756">
        <v>4</v>
      </c>
      <c r="V8" s="1739">
        <v>2</v>
      </c>
      <c r="W8" s="1739">
        <v>2</v>
      </c>
      <c r="X8" s="1739">
        <v>2</v>
      </c>
      <c r="Y8" s="1739">
        <v>2</v>
      </c>
      <c r="Z8" s="1739"/>
      <c r="AA8" s="1739"/>
      <c r="AB8" s="1739"/>
      <c r="AC8" s="1212"/>
      <c r="AD8" s="1109"/>
      <c r="AE8" s="1109"/>
      <c r="AF8" s="1109"/>
      <c r="AG8" s="1109"/>
      <c r="AH8" s="1109"/>
      <c r="AI8" s="1109"/>
      <c r="AJ8" s="1109"/>
      <c r="AK8" s="1109"/>
      <c r="AL8" s="1109"/>
      <c r="AM8" s="1110"/>
      <c r="AN8" s="1110"/>
      <c r="AO8" s="1252"/>
      <c r="AP8" s="1110"/>
      <c r="AQ8" s="1110"/>
      <c r="AR8" s="1110"/>
      <c r="AS8" s="1110"/>
      <c r="AT8" s="1110"/>
      <c r="AU8" s="1110"/>
      <c r="AV8" s="1110"/>
      <c r="AW8" s="1110"/>
      <c r="AX8" s="1110"/>
      <c r="AY8" s="1110"/>
      <c r="AZ8" s="1110"/>
      <c r="BA8" s="811"/>
      <c r="BB8" s="1260"/>
      <c r="BC8" s="1166" t="e">
        <f>#REF!</f>
        <v>#REF!</v>
      </c>
      <c r="BD8" s="1109"/>
      <c r="BE8" s="1109"/>
      <c r="BF8" s="1226" t="s">
        <v>668</v>
      </c>
      <c r="BG8" s="1166"/>
      <c r="BH8" s="1228" t="e">
        <f>#REF!</f>
        <v>#REF!</v>
      </c>
      <c r="BI8" s="1167" t="e">
        <f>#REF!</f>
        <v>#REF!</v>
      </c>
      <c r="BJ8" s="1167" t="e">
        <f>#REF!</f>
        <v>#REF!</v>
      </c>
      <c r="BK8" s="1167" t="e">
        <f>#REF!</f>
        <v>#REF!</v>
      </c>
      <c r="BL8" s="1110"/>
      <c r="BO8" s="1247" t="s">
        <v>1431</v>
      </c>
      <c r="BP8" s="522" t="s">
        <v>1432</v>
      </c>
      <c r="BQ8" s="522" t="s">
        <v>1433</v>
      </c>
      <c r="BR8" s="522" t="s">
        <v>1434</v>
      </c>
    </row>
    <row r="9" spans="1:70" s="522" customFormat="1" ht="26">
      <c r="A9" s="1769"/>
      <c r="B9" s="1771"/>
      <c r="C9" s="735" t="s">
        <v>1028</v>
      </c>
      <c r="D9" s="735" t="s">
        <v>697</v>
      </c>
      <c r="E9" s="1763">
        <v>1.3</v>
      </c>
      <c r="F9" s="1563">
        <v>4</v>
      </c>
      <c r="G9" s="115"/>
      <c r="H9" s="1559" t="s">
        <v>1382</v>
      </c>
      <c r="I9" s="1559" t="s">
        <v>1263</v>
      </c>
      <c r="J9" s="1559" t="s">
        <v>1264</v>
      </c>
      <c r="K9" s="1559" t="s">
        <v>1383</v>
      </c>
      <c r="L9" s="1558"/>
      <c r="M9" s="1740">
        <v>1</v>
      </c>
      <c r="N9" s="1739">
        <v>1</v>
      </c>
      <c r="O9" s="1739">
        <v>4</v>
      </c>
      <c r="P9" s="1739">
        <v>1.3</v>
      </c>
      <c r="Q9" s="1739">
        <v>1.9</v>
      </c>
      <c r="R9" s="1739">
        <v>1.2</v>
      </c>
      <c r="S9" s="1739">
        <v>1.3</v>
      </c>
      <c r="T9" s="1739">
        <v>1</v>
      </c>
      <c r="U9" s="1756">
        <v>2.2999999999999998</v>
      </c>
      <c r="V9" s="1739">
        <v>2.5</v>
      </c>
      <c r="W9" s="1739">
        <v>2</v>
      </c>
      <c r="X9" s="1739">
        <v>1.6</v>
      </c>
      <c r="Y9" s="1739">
        <v>2.4</v>
      </c>
      <c r="Z9" s="1739"/>
      <c r="AA9" s="1739"/>
      <c r="AB9" s="1739"/>
      <c r="AC9" s="115"/>
      <c r="AD9" s="1109"/>
      <c r="AE9" s="1109"/>
      <c r="AF9" s="1109"/>
      <c r="AG9" s="1109"/>
      <c r="AH9" s="1109"/>
      <c r="AI9" s="1109"/>
      <c r="AJ9" s="1109"/>
      <c r="AK9" s="1109"/>
      <c r="AL9" s="1109"/>
      <c r="AM9" s="1110"/>
      <c r="AN9" s="1110"/>
      <c r="AO9" s="1252"/>
      <c r="AP9" s="1110"/>
      <c r="AQ9" s="1110"/>
      <c r="AR9" s="1110"/>
      <c r="AS9" s="1110"/>
      <c r="AT9" s="1110"/>
      <c r="AU9" s="1110"/>
      <c r="AV9" s="1110"/>
      <c r="AW9" s="1110"/>
      <c r="AX9" s="1110"/>
      <c r="AY9" s="1110"/>
      <c r="AZ9" s="1110"/>
      <c r="BA9" s="811"/>
      <c r="BB9" s="1260"/>
      <c r="BC9" s="1166" t="e">
        <f>#REF!</f>
        <v>#REF!</v>
      </c>
      <c r="BD9" s="1109"/>
      <c r="BE9" s="1109"/>
      <c r="BF9" s="1219" t="e">
        <f>#REF!</f>
        <v>#REF!</v>
      </c>
      <c r="BG9" s="1166"/>
      <c r="BH9" s="1229" t="e">
        <f>#REF!</f>
        <v>#REF!</v>
      </c>
      <c r="BI9" s="1230" t="e">
        <f>#REF!</f>
        <v>#REF!</v>
      </c>
      <c r="BJ9" s="1230" t="e">
        <f>#REF!</f>
        <v>#REF!</v>
      </c>
      <c r="BK9" s="1230" t="e">
        <f>#REF!</f>
        <v>#REF!</v>
      </c>
      <c r="BL9" s="1110"/>
      <c r="BO9" s="1247" t="s">
        <v>1437</v>
      </c>
      <c r="BP9" s="522" t="s">
        <v>1436</v>
      </c>
      <c r="BQ9" s="522" t="s">
        <v>1435</v>
      </c>
      <c r="BR9" s="522" t="s">
        <v>1438</v>
      </c>
    </row>
    <row r="10" spans="1:70" s="522" customFormat="1" ht="26">
      <c r="A10" s="1769"/>
      <c r="B10" s="1771"/>
      <c r="C10" s="735" t="s">
        <v>1027</v>
      </c>
      <c r="D10" s="735" t="s">
        <v>696</v>
      </c>
      <c r="E10" s="1763">
        <v>1.3</v>
      </c>
      <c r="F10" s="1563">
        <v>4</v>
      </c>
      <c r="G10"/>
      <c r="H10" s="1559" t="s">
        <v>1388</v>
      </c>
      <c r="I10" s="1559" t="s">
        <v>1261</v>
      </c>
      <c r="J10" s="1559" t="s">
        <v>1262</v>
      </c>
      <c r="K10" s="1559" t="s">
        <v>1330</v>
      </c>
      <c r="L10" s="1558"/>
      <c r="M10" s="1740">
        <v>1</v>
      </c>
      <c r="N10" s="1739">
        <v>1</v>
      </c>
      <c r="O10" s="1739">
        <v>4</v>
      </c>
      <c r="P10" s="1739">
        <v>1.3</v>
      </c>
      <c r="Q10" s="1739">
        <v>2.7</v>
      </c>
      <c r="R10" s="1739">
        <v>1.4</v>
      </c>
      <c r="S10" s="1739">
        <v>1.5</v>
      </c>
      <c r="T10" s="1739">
        <v>1</v>
      </c>
      <c r="U10" s="1756">
        <v>2.2999999999999998</v>
      </c>
      <c r="V10" s="1739">
        <v>1.3</v>
      </c>
      <c r="W10" s="1739">
        <v>1</v>
      </c>
      <c r="X10" s="1739">
        <v>1.6</v>
      </c>
      <c r="Y10" s="1739">
        <v>1.9</v>
      </c>
      <c r="Z10" s="1739"/>
      <c r="AA10" s="1739"/>
      <c r="AB10" s="1739"/>
      <c r="AC10"/>
      <c r="AD10" s="1109"/>
      <c r="AE10" s="1109"/>
      <c r="AF10" s="1109"/>
      <c r="AG10" s="1109"/>
      <c r="AH10" s="1109"/>
      <c r="AI10" s="1109"/>
      <c r="AJ10" s="1109"/>
      <c r="AK10" s="1109"/>
      <c r="AL10" s="1109"/>
      <c r="AM10" s="1110"/>
      <c r="AN10" s="1110"/>
      <c r="AO10" s="1252"/>
      <c r="AP10" s="1110"/>
      <c r="AQ10" s="1110"/>
      <c r="AR10" s="1110"/>
      <c r="AS10" s="1110"/>
      <c r="AT10" s="1110"/>
      <c r="AU10" s="1110"/>
      <c r="AV10" s="1110"/>
      <c r="AW10" s="1110"/>
      <c r="AX10" s="1110"/>
      <c r="AY10" s="1110"/>
      <c r="AZ10" s="1110"/>
      <c r="BA10" s="811"/>
      <c r="BB10" s="1018"/>
      <c r="BC10" s="1168" t="e">
        <f>#REF!</f>
        <v>#REF!</v>
      </c>
      <c r="BD10" s="1169"/>
      <c r="BE10" s="1169"/>
      <c r="BF10" s="1227" t="e">
        <f>#REF!</f>
        <v>#REF!</v>
      </c>
      <c r="BG10" s="1168"/>
      <c r="BH10" s="1231" t="e">
        <f>#REF!</f>
        <v>#REF!</v>
      </c>
      <c r="BI10" s="1232" t="e">
        <f>#REF!</f>
        <v>#REF!</v>
      </c>
      <c r="BJ10" s="1232" t="e">
        <f>#REF!</f>
        <v>#REF!</v>
      </c>
      <c r="BK10" s="1232" t="e">
        <f>#REF!</f>
        <v>#REF!</v>
      </c>
      <c r="BL10" s="1110"/>
      <c r="BO10" s="1247" t="s">
        <v>1439</v>
      </c>
      <c r="BP10" s="522" t="s">
        <v>1440</v>
      </c>
      <c r="BQ10" s="522" t="s">
        <v>1441</v>
      </c>
      <c r="BR10" s="522" t="s">
        <v>1442</v>
      </c>
    </row>
    <row r="11" spans="1:70" s="522" customFormat="1" ht="15">
      <c r="A11" s="1769"/>
      <c r="B11" s="1771"/>
      <c r="C11" s="1555" t="s">
        <v>1287</v>
      </c>
      <c r="D11" s="735" t="s">
        <v>2</v>
      </c>
      <c r="E11" s="1763">
        <v>2</v>
      </c>
      <c r="F11" s="1563">
        <v>4</v>
      </c>
      <c r="G11"/>
      <c r="H11" s="1559" t="s">
        <v>1737</v>
      </c>
      <c r="I11" s="1559" t="s">
        <v>1739</v>
      </c>
      <c r="J11" s="1559" t="s">
        <v>1740</v>
      </c>
      <c r="K11" s="1559" t="s">
        <v>1741</v>
      </c>
      <c r="L11" s="1558"/>
      <c r="M11" s="1740">
        <v>1</v>
      </c>
      <c r="N11" s="1739">
        <v>1</v>
      </c>
      <c r="O11" s="1739">
        <v>4</v>
      </c>
      <c r="P11" s="1739">
        <v>2</v>
      </c>
      <c r="Q11" s="1739">
        <v>1.6</v>
      </c>
      <c r="R11" s="1739">
        <v>1</v>
      </c>
      <c r="S11" s="1739">
        <v>1</v>
      </c>
      <c r="T11" s="1739">
        <v>1</v>
      </c>
      <c r="U11" s="1756">
        <v>4</v>
      </c>
      <c r="V11" s="1739">
        <v>2.5</v>
      </c>
      <c r="W11" s="1739">
        <v>4</v>
      </c>
      <c r="X11" s="1739">
        <v>1</v>
      </c>
      <c r="Y11" s="1739">
        <v>1</v>
      </c>
      <c r="Z11" s="1739"/>
      <c r="AA11" s="1739"/>
      <c r="AB11" s="1739"/>
      <c r="AC11"/>
      <c r="AD11" s="1109"/>
      <c r="AE11" s="1109"/>
      <c r="AF11" s="1109"/>
      <c r="AG11" s="1109"/>
      <c r="AH11" s="1109"/>
      <c r="AI11" s="1109"/>
      <c r="AJ11" s="1109"/>
      <c r="AK11" s="1109"/>
      <c r="AL11" s="1109"/>
      <c r="AM11" s="1110"/>
      <c r="AN11" s="1110"/>
      <c r="AO11" s="1252"/>
      <c r="AP11" s="1110"/>
      <c r="AQ11" s="1110"/>
      <c r="AR11" s="1110"/>
      <c r="AS11" s="1110"/>
      <c r="AT11" s="1110"/>
      <c r="AU11" s="1110"/>
      <c r="AV11" s="1110"/>
      <c r="AW11" s="1110"/>
      <c r="AX11" s="1110"/>
      <c r="AY11" s="1110"/>
      <c r="AZ11" s="1110"/>
      <c r="BA11" s="811"/>
      <c r="BB11" s="1110"/>
      <c r="BC11" s="1110"/>
      <c r="BD11" s="1110"/>
      <c r="BE11" s="1110"/>
      <c r="BF11" s="1110"/>
      <c r="BG11" s="1110"/>
      <c r="BH11" s="1110"/>
      <c r="BI11" s="1110"/>
      <c r="BJ11" s="1110"/>
      <c r="BK11" s="1110"/>
      <c r="BL11" s="1110"/>
      <c r="BO11" s="522" t="s">
        <v>1737</v>
      </c>
      <c r="BP11" s="522" t="s">
        <v>1739</v>
      </c>
      <c r="BQ11" s="522" t="s">
        <v>1740</v>
      </c>
      <c r="BR11" s="522" t="s">
        <v>1741</v>
      </c>
    </row>
    <row r="12" spans="1:70" s="522" customFormat="1" ht="15">
      <c r="A12" s="1769"/>
      <c r="B12" s="1771"/>
      <c r="C12" s="1555" t="s">
        <v>1288</v>
      </c>
      <c r="D12" s="735" t="s">
        <v>1370</v>
      </c>
      <c r="E12" s="1763">
        <v>2.5</v>
      </c>
      <c r="F12" s="1563">
        <v>4</v>
      </c>
      <c r="G12" s="1554"/>
      <c r="H12" s="1559" t="s">
        <v>1737</v>
      </c>
      <c r="I12" s="1559" t="s">
        <v>1742</v>
      </c>
      <c r="J12" s="1559" t="s">
        <v>1743</v>
      </c>
      <c r="K12" s="1559" t="s">
        <v>1744</v>
      </c>
      <c r="L12" s="1558"/>
      <c r="M12" s="1740">
        <v>1</v>
      </c>
      <c r="N12" s="1739">
        <v>1</v>
      </c>
      <c r="O12" s="1739">
        <v>4</v>
      </c>
      <c r="P12" s="1739">
        <v>2.5</v>
      </c>
      <c r="Q12" s="1739">
        <v>2</v>
      </c>
      <c r="R12" s="1739">
        <v>1</v>
      </c>
      <c r="S12" s="1739">
        <v>1</v>
      </c>
      <c r="T12" s="1739">
        <v>1</v>
      </c>
      <c r="U12" s="1756">
        <v>4</v>
      </c>
      <c r="V12" s="1739">
        <v>2.5</v>
      </c>
      <c r="W12" s="1739">
        <v>4</v>
      </c>
      <c r="X12" s="1739">
        <v>2</v>
      </c>
      <c r="Y12" s="1739">
        <v>1</v>
      </c>
      <c r="Z12" s="1739"/>
      <c r="AA12" s="1739"/>
      <c r="AB12" s="1739"/>
      <c r="AC12" s="1554"/>
      <c r="AD12" s="1109"/>
      <c r="AE12" s="1109"/>
      <c r="AF12" s="1109"/>
      <c r="AG12" s="1109"/>
      <c r="AH12" s="1109"/>
      <c r="AI12" s="1109"/>
      <c r="AJ12" s="1109"/>
      <c r="AK12" s="1109"/>
      <c r="AL12" s="1109"/>
      <c r="AM12" s="1110"/>
      <c r="AN12" s="1110"/>
      <c r="AO12" s="1554"/>
      <c r="AP12" s="1110"/>
      <c r="AQ12" s="1110"/>
      <c r="AR12" s="1110"/>
      <c r="AS12" s="1110"/>
      <c r="AT12" s="1110"/>
      <c r="AU12" s="1110"/>
      <c r="AV12" s="1110"/>
      <c r="AW12" s="1110"/>
      <c r="AX12" s="1110"/>
      <c r="AY12" s="1110"/>
      <c r="AZ12" s="1110"/>
      <c r="BA12" s="811"/>
      <c r="BB12" s="1110"/>
      <c r="BC12" s="1110"/>
      <c r="BD12" s="1110"/>
      <c r="BE12" s="1110"/>
      <c r="BF12" s="1110"/>
      <c r="BG12" s="1110"/>
      <c r="BH12" s="1110"/>
      <c r="BI12" s="1110"/>
      <c r="BJ12" s="1110"/>
      <c r="BK12" s="1110"/>
      <c r="BL12" s="1110"/>
      <c r="BO12" s="522" t="s">
        <v>1737</v>
      </c>
      <c r="BP12" s="522" t="s">
        <v>1742</v>
      </c>
      <c r="BQ12" s="522" t="s">
        <v>1743</v>
      </c>
      <c r="BR12" s="522" t="s">
        <v>1744</v>
      </c>
    </row>
    <row r="13" spans="1:70" s="522" customFormat="1" ht="15">
      <c r="A13" s="1769"/>
      <c r="B13" s="1771"/>
      <c r="C13" s="1556" t="s">
        <v>1289</v>
      </c>
      <c r="D13" s="735" t="s">
        <v>1371</v>
      </c>
      <c r="E13" s="1763">
        <v>2.5</v>
      </c>
      <c r="F13" s="1563">
        <v>4</v>
      </c>
      <c r="G13" s="1554"/>
      <c r="H13" s="1559" t="s">
        <v>1738</v>
      </c>
      <c r="I13" s="1559" t="s">
        <v>1745</v>
      </c>
      <c r="J13" s="1559" t="s">
        <v>1746</v>
      </c>
      <c r="K13" s="1559" t="s">
        <v>1747</v>
      </c>
      <c r="L13" s="1558"/>
      <c r="M13" s="1740">
        <v>1</v>
      </c>
      <c r="N13" s="1739">
        <v>1</v>
      </c>
      <c r="O13" s="1739">
        <v>4</v>
      </c>
      <c r="P13" s="1739">
        <v>2.5</v>
      </c>
      <c r="Q13" s="1739">
        <v>2</v>
      </c>
      <c r="R13" s="1739">
        <v>1</v>
      </c>
      <c r="S13" s="1739">
        <v>1</v>
      </c>
      <c r="T13" s="1739">
        <v>1</v>
      </c>
      <c r="U13" s="1756">
        <v>3</v>
      </c>
      <c r="V13" s="1739">
        <v>2.5</v>
      </c>
      <c r="W13" s="1739">
        <v>4</v>
      </c>
      <c r="X13" s="1739">
        <v>1</v>
      </c>
      <c r="Y13" s="1739">
        <v>2.9</v>
      </c>
      <c r="Z13" s="1739"/>
      <c r="AA13" s="1739"/>
      <c r="AB13" s="1739"/>
      <c r="AC13" s="1554"/>
      <c r="AD13" s="1109"/>
      <c r="AE13" s="1109"/>
      <c r="AF13" s="1109"/>
      <c r="AG13" s="1109"/>
      <c r="AH13" s="1109"/>
      <c r="AI13" s="1109"/>
      <c r="AJ13" s="1109"/>
      <c r="AK13" s="1109"/>
      <c r="AL13" s="1109"/>
      <c r="AM13" s="1110"/>
      <c r="AN13" s="1110"/>
      <c r="AO13" s="1554"/>
      <c r="AP13" s="1110"/>
      <c r="AQ13" s="1110"/>
      <c r="AR13" s="1110"/>
      <c r="AS13" s="1110"/>
      <c r="AT13" s="1110"/>
      <c r="AU13" s="1110"/>
      <c r="AV13" s="1110"/>
      <c r="AW13" s="1110"/>
      <c r="AX13" s="1110"/>
      <c r="AY13" s="1110"/>
      <c r="AZ13" s="1110"/>
      <c r="BA13" s="811"/>
      <c r="BB13" s="1110"/>
      <c r="BC13" s="1110"/>
      <c r="BD13" s="1110"/>
      <c r="BE13" s="1110"/>
      <c r="BF13" s="1110"/>
      <c r="BG13" s="1110"/>
      <c r="BH13" s="1110"/>
      <c r="BI13" s="1110"/>
      <c r="BJ13" s="1110"/>
      <c r="BK13" s="1110"/>
      <c r="BL13" s="1110"/>
      <c r="BO13" s="522" t="s">
        <v>1738</v>
      </c>
      <c r="BP13" s="522" t="s">
        <v>1745</v>
      </c>
      <c r="BQ13" s="522" t="s">
        <v>1746</v>
      </c>
      <c r="BR13" s="522" t="s">
        <v>1747</v>
      </c>
    </row>
    <row r="14" spans="1:70" ht="26">
      <c r="A14" s="1769"/>
      <c r="B14" s="1771"/>
      <c r="C14" s="735" t="s">
        <v>619</v>
      </c>
      <c r="D14" s="735" t="s">
        <v>1354</v>
      </c>
      <c r="E14" s="1763">
        <v>1</v>
      </c>
      <c r="F14" s="1563">
        <v>4</v>
      </c>
      <c r="G14" s="1211"/>
      <c r="H14" s="1559" t="s">
        <v>1384</v>
      </c>
      <c r="I14" s="1559" t="s">
        <v>1385</v>
      </c>
      <c r="J14" s="1559" t="s">
        <v>1386</v>
      </c>
      <c r="K14" s="1559" t="s">
        <v>1387</v>
      </c>
      <c r="M14" s="1740">
        <v>1</v>
      </c>
      <c r="N14" s="1739">
        <v>1</v>
      </c>
      <c r="O14" s="1739">
        <v>4</v>
      </c>
      <c r="P14" s="1739">
        <v>1</v>
      </c>
      <c r="Q14" s="1739">
        <v>1</v>
      </c>
      <c r="R14" s="1739">
        <v>1</v>
      </c>
      <c r="S14" s="1739">
        <v>1</v>
      </c>
      <c r="T14" s="1739">
        <v>1</v>
      </c>
      <c r="U14" s="1756">
        <v>1</v>
      </c>
      <c r="V14" s="1739">
        <v>1</v>
      </c>
      <c r="W14" s="1739">
        <v>1</v>
      </c>
      <c r="X14" s="1739">
        <v>1</v>
      </c>
      <c r="Y14" s="1739">
        <v>1</v>
      </c>
      <c r="Z14" s="1739"/>
      <c r="AA14" s="1739"/>
      <c r="AB14" s="1739"/>
      <c r="AC14" s="522"/>
      <c r="AD14" s="1109"/>
      <c r="AE14" s="1109"/>
      <c r="AF14" s="1109"/>
      <c r="AG14" s="1109"/>
      <c r="AH14" s="1109"/>
      <c r="AI14" s="1109"/>
      <c r="AJ14" s="1109"/>
      <c r="AK14" s="1109"/>
      <c r="AL14" s="1109"/>
      <c r="AM14" s="1110"/>
      <c r="AN14" s="1110"/>
      <c r="AP14" s="1110"/>
      <c r="AQ14" s="1110"/>
      <c r="AR14" s="1110"/>
      <c r="AS14" s="1110"/>
      <c r="AT14" s="1110"/>
      <c r="AU14" s="1110"/>
      <c r="AV14" s="1110"/>
      <c r="AW14" s="1110"/>
      <c r="AX14" s="1110"/>
      <c r="AY14" s="1110"/>
      <c r="AZ14" s="1110"/>
      <c r="BB14" s="1110"/>
      <c r="BC14" s="1204" t="s">
        <v>1522</v>
      </c>
      <c r="BD14" s="1110"/>
      <c r="BE14" s="1110"/>
      <c r="BF14" s="1110"/>
      <c r="BG14" s="1110"/>
      <c r="BH14" s="1110"/>
      <c r="BI14" s="1110"/>
      <c r="BJ14" s="1110"/>
      <c r="BK14" s="1110"/>
      <c r="BL14" s="1110"/>
      <c r="BO14" s="1247" t="s">
        <v>1443</v>
      </c>
      <c r="BP14" s="522" t="s">
        <v>1444</v>
      </c>
      <c r="BQ14" s="522" t="s">
        <v>1445</v>
      </c>
      <c r="BR14" s="522" t="s">
        <v>1446</v>
      </c>
    </row>
    <row r="15" spans="1:70" s="522" customFormat="1" ht="26">
      <c r="A15" s="1769"/>
      <c r="B15" s="1771"/>
      <c r="C15" s="735" t="s">
        <v>752</v>
      </c>
      <c r="D15" s="735" t="s">
        <v>1363</v>
      </c>
      <c r="E15" s="1763">
        <v>1</v>
      </c>
      <c r="F15" s="1563">
        <v>4</v>
      </c>
      <c r="G15"/>
      <c r="H15" s="1559" t="s">
        <v>1216</v>
      </c>
      <c r="I15" s="1559" t="s">
        <v>1270</v>
      </c>
      <c r="J15" s="1559" t="s">
        <v>1271</v>
      </c>
      <c r="K15" s="1559" t="s">
        <v>1328</v>
      </c>
      <c r="L15" s="1558"/>
      <c r="M15" s="1740">
        <v>1</v>
      </c>
      <c r="N15" s="1739">
        <v>1</v>
      </c>
      <c r="O15" s="1739">
        <v>4</v>
      </c>
      <c r="P15" s="1739">
        <v>1</v>
      </c>
      <c r="Q15" s="1739">
        <v>1.2</v>
      </c>
      <c r="R15" s="1739">
        <v>1</v>
      </c>
      <c r="S15" s="1739">
        <v>1</v>
      </c>
      <c r="T15" s="1739">
        <v>1</v>
      </c>
      <c r="U15" s="1756">
        <v>3.2</v>
      </c>
      <c r="V15" s="1739">
        <v>2</v>
      </c>
      <c r="W15" s="1739">
        <v>1</v>
      </c>
      <c r="X15" s="1739">
        <v>1.2</v>
      </c>
      <c r="Y15" s="1739">
        <v>2.7</v>
      </c>
      <c r="Z15" s="1739"/>
      <c r="AA15" s="1739"/>
      <c r="AB15" s="1739"/>
      <c r="AC15"/>
      <c r="AD15" s="1109"/>
      <c r="AE15" s="1109"/>
      <c r="AF15" s="1109"/>
      <c r="AG15" s="1109"/>
      <c r="AH15" s="1109"/>
      <c r="AI15" s="1109"/>
      <c r="AJ15" s="1109"/>
      <c r="AK15" s="1109"/>
      <c r="AL15" s="1109"/>
      <c r="AM15" s="1110"/>
      <c r="AN15" s="1110"/>
      <c r="AO15" s="1252"/>
      <c r="AP15" s="1110"/>
      <c r="AQ15" s="1110"/>
      <c r="AR15" s="1110"/>
      <c r="AS15" s="1110"/>
      <c r="AT15" s="1110"/>
      <c r="AU15" s="1110"/>
      <c r="AV15" s="1110"/>
      <c r="AW15" s="1110"/>
      <c r="AX15" s="1110"/>
      <c r="AY15" s="1110"/>
      <c r="AZ15" s="1110"/>
      <c r="BA15" s="811"/>
      <c r="BB15" s="1110"/>
      <c r="BC15" s="1204" t="s">
        <v>1523</v>
      </c>
      <c r="BD15" s="1110"/>
      <c r="BE15" s="1110"/>
      <c r="BF15" s="1110"/>
      <c r="BG15" s="1110"/>
      <c r="BH15" s="1110"/>
      <c r="BI15" s="1110"/>
      <c r="BJ15" s="1110"/>
      <c r="BK15" s="1110"/>
      <c r="BL15" s="1110"/>
      <c r="BO15" s="1247" t="s">
        <v>1216</v>
      </c>
      <c r="BP15" s="522" t="s">
        <v>1270</v>
      </c>
      <c r="BQ15" s="522" t="s">
        <v>1271</v>
      </c>
      <c r="BR15" s="522" t="s">
        <v>1328</v>
      </c>
    </row>
    <row r="16" spans="1:70" s="522" customFormat="1" ht="26">
      <c r="A16" s="1769"/>
      <c r="B16" s="1771"/>
      <c r="C16" s="735" t="s">
        <v>958</v>
      </c>
      <c r="D16" s="735" t="s">
        <v>1362</v>
      </c>
      <c r="E16" s="1763">
        <v>2</v>
      </c>
      <c r="F16" s="1563">
        <v>4</v>
      </c>
      <c r="G16" s="115"/>
      <c r="H16" s="1559" t="s">
        <v>1272</v>
      </c>
      <c r="I16" s="1559" t="s">
        <v>1273</v>
      </c>
      <c r="J16" s="1559" t="s">
        <v>1274</v>
      </c>
      <c r="K16" s="1559" t="s">
        <v>1344</v>
      </c>
      <c r="L16" s="1558"/>
      <c r="M16" s="1740">
        <v>1</v>
      </c>
      <c r="N16" s="1739">
        <v>1</v>
      </c>
      <c r="O16" s="1739">
        <v>4</v>
      </c>
      <c r="P16" s="1739">
        <v>2</v>
      </c>
      <c r="Q16" s="1739">
        <v>1.8</v>
      </c>
      <c r="R16" s="1739">
        <v>1</v>
      </c>
      <c r="S16" s="1739">
        <v>1</v>
      </c>
      <c r="T16" s="1739">
        <v>1</v>
      </c>
      <c r="U16" s="1756">
        <v>2</v>
      </c>
      <c r="V16" s="1739">
        <v>3</v>
      </c>
      <c r="W16" s="1739">
        <v>3</v>
      </c>
      <c r="X16" s="1739">
        <v>1.9</v>
      </c>
      <c r="Y16" s="1739">
        <v>1.6</v>
      </c>
      <c r="Z16" s="1739"/>
      <c r="AA16" s="1739"/>
      <c r="AB16" s="1739"/>
      <c r="AC16" s="115"/>
      <c r="AD16" s="1109"/>
      <c r="AE16" s="1109"/>
      <c r="AF16" s="1109"/>
      <c r="AG16" s="1109"/>
      <c r="AH16" s="1109"/>
      <c r="AI16" s="1109"/>
      <c r="AJ16" s="1109"/>
      <c r="AK16" s="1109"/>
      <c r="AL16" s="1109"/>
      <c r="AM16" s="1110"/>
      <c r="AN16" s="1110"/>
      <c r="AO16" s="1252"/>
      <c r="AP16" s="1110"/>
      <c r="AQ16" s="1110"/>
      <c r="AR16" s="1110"/>
      <c r="AS16" s="1110"/>
      <c r="AT16" s="1110"/>
      <c r="AU16" s="1110"/>
      <c r="AV16" s="1110"/>
      <c r="AW16" s="1110"/>
      <c r="AX16" s="1110"/>
      <c r="AY16" s="1110"/>
      <c r="AZ16" s="1110"/>
      <c r="BA16" s="811"/>
      <c r="BB16" s="1770" t="s">
        <v>1520</v>
      </c>
      <c r="BC16" s="1770"/>
      <c r="BD16" s="1770"/>
      <c r="BE16" s="1770"/>
      <c r="BF16" s="1770"/>
      <c r="BG16" s="1770"/>
      <c r="BH16" s="1770"/>
      <c r="BI16" s="1770"/>
      <c r="BJ16" s="1770"/>
      <c r="BK16" s="1770"/>
      <c r="BL16" s="1770"/>
      <c r="BO16" s="1247" t="s">
        <v>1272</v>
      </c>
      <c r="BP16" s="522" t="s">
        <v>1273</v>
      </c>
      <c r="BQ16" s="522" t="s">
        <v>1274</v>
      </c>
      <c r="BR16" s="522" t="s">
        <v>1344</v>
      </c>
    </row>
    <row r="17" spans="1:70" s="522" customFormat="1" ht="26">
      <c r="A17" s="1769"/>
      <c r="B17" s="1771"/>
      <c r="C17" s="735" t="s">
        <v>641</v>
      </c>
      <c r="D17" s="735" t="s">
        <v>1355</v>
      </c>
      <c r="E17" s="1763">
        <v>1</v>
      </c>
      <c r="F17" s="1563">
        <v>4</v>
      </c>
      <c r="G17"/>
      <c r="H17" s="1559" t="s">
        <v>1215</v>
      </c>
      <c r="I17" s="1559" t="s">
        <v>1268</v>
      </c>
      <c r="J17" s="1559" t="s">
        <v>1269</v>
      </c>
      <c r="K17" s="1559" t="s">
        <v>1331</v>
      </c>
      <c r="L17" s="1558"/>
      <c r="M17" s="1740">
        <v>1</v>
      </c>
      <c r="N17" s="1739">
        <v>1</v>
      </c>
      <c r="O17" s="1739">
        <v>4</v>
      </c>
      <c r="P17" s="1739">
        <v>1</v>
      </c>
      <c r="Q17" s="1739">
        <v>1</v>
      </c>
      <c r="R17" s="1739">
        <v>1</v>
      </c>
      <c r="S17" s="1739">
        <v>1</v>
      </c>
      <c r="T17" s="1739">
        <v>1</v>
      </c>
      <c r="U17" s="1756">
        <v>3</v>
      </c>
      <c r="V17" s="1739">
        <v>3</v>
      </c>
      <c r="W17" s="1739">
        <v>4</v>
      </c>
      <c r="X17" s="1739">
        <v>1</v>
      </c>
      <c r="Y17" s="1739">
        <v>2.6</v>
      </c>
      <c r="Z17" s="1739"/>
      <c r="AA17" s="1739"/>
      <c r="AB17" s="1739"/>
      <c r="AC17"/>
      <c r="AD17" s="1109"/>
      <c r="AE17" s="1109"/>
      <c r="AF17" s="1109"/>
      <c r="AG17" s="1109"/>
      <c r="AH17" s="1109"/>
      <c r="AI17" s="1109"/>
      <c r="AJ17" s="1109"/>
      <c r="AK17" s="1109"/>
      <c r="AL17" s="1109"/>
      <c r="AM17" s="1110"/>
      <c r="AN17" s="1110"/>
      <c r="AO17" s="1252"/>
      <c r="AP17" s="1110"/>
      <c r="AQ17" s="1110"/>
      <c r="AR17" s="1110"/>
      <c r="AS17" s="1110"/>
      <c r="AT17" s="1110"/>
      <c r="AU17" s="1110"/>
      <c r="AV17" s="1110"/>
      <c r="AW17" s="1110"/>
      <c r="AX17" s="1110"/>
      <c r="AY17" s="1110"/>
      <c r="AZ17" s="1110"/>
      <c r="BA17" s="811"/>
      <c r="BB17" s="1770"/>
      <c r="BC17" s="1770"/>
      <c r="BD17" s="1770"/>
      <c r="BE17" s="1770"/>
      <c r="BF17" s="1770"/>
      <c r="BG17" s="1770"/>
      <c r="BH17" s="1770"/>
      <c r="BI17" s="1770"/>
      <c r="BJ17" s="1770"/>
      <c r="BK17" s="1770"/>
      <c r="BL17" s="1770"/>
      <c r="BO17" s="1247" t="s">
        <v>1215</v>
      </c>
      <c r="BP17" s="522" t="s">
        <v>1268</v>
      </c>
      <c r="BQ17" s="522" t="s">
        <v>1447</v>
      </c>
      <c r="BR17" s="522" t="s">
        <v>1448</v>
      </c>
    </row>
    <row r="18" spans="1:70" s="522" customFormat="1" ht="26">
      <c r="A18" s="1769"/>
      <c r="B18" s="1771"/>
      <c r="C18" s="735" t="s">
        <v>638</v>
      </c>
      <c r="D18" s="735" t="s">
        <v>1498</v>
      </c>
      <c r="E18" s="1763">
        <v>1.5</v>
      </c>
      <c r="F18" s="1563">
        <v>4</v>
      </c>
      <c r="G18"/>
      <c r="H18" s="1559" t="s">
        <v>1265</v>
      </c>
      <c r="I18" s="1559" t="s">
        <v>1266</v>
      </c>
      <c r="J18" s="1559" t="s">
        <v>1267</v>
      </c>
      <c r="K18" s="1559" t="s">
        <v>1332</v>
      </c>
      <c r="L18" s="1558"/>
      <c r="M18" s="1740">
        <v>1</v>
      </c>
      <c r="N18" s="1739">
        <v>1</v>
      </c>
      <c r="O18" s="1739">
        <v>4</v>
      </c>
      <c r="P18" s="1739">
        <v>1.5</v>
      </c>
      <c r="Q18" s="1739">
        <v>2</v>
      </c>
      <c r="R18" s="1739">
        <v>1</v>
      </c>
      <c r="S18" s="1739">
        <v>1</v>
      </c>
      <c r="T18" s="1739">
        <v>1</v>
      </c>
      <c r="U18" s="1756">
        <v>3.4</v>
      </c>
      <c r="V18" s="1739">
        <v>2</v>
      </c>
      <c r="W18" s="1739">
        <v>1</v>
      </c>
      <c r="X18" s="1739">
        <v>1.9</v>
      </c>
      <c r="Y18" s="1739">
        <v>1.9</v>
      </c>
      <c r="Z18" s="1739"/>
      <c r="AA18" s="1739"/>
      <c r="AB18" s="1739"/>
      <c r="AC18"/>
      <c r="AD18" s="1109"/>
      <c r="AE18" s="1109"/>
      <c r="AF18" s="1109"/>
      <c r="AG18" s="1109"/>
      <c r="AH18" s="1109"/>
      <c r="AI18" s="1109"/>
      <c r="AJ18" s="1109"/>
      <c r="AK18" s="1109"/>
      <c r="AL18" s="1109"/>
      <c r="AM18" s="1110"/>
      <c r="AN18" s="1110"/>
      <c r="AO18" s="1252"/>
      <c r="AP18" s="1110"/>
      <c r="AQ18" s="1110"/>
      <c r="AR18" s="1110"/>
      <c r="AS18" s="1110"/>
      <c r="AT18" s="1110"/>
      <c r="AU18" s="1110"/>
      <c r="AV18" s="1110"/>
      <c r="AW18" s="1110"/>
      <c r="AX18" s="1110"/>
      <c r="AY18" s="1110"/>
      <c r="AZ18" s="1110"/>
      <c r="BA18" s="811"/>
      <c r="BB18" s="1257"/>
      <c r="BC18" s="1122"/>
      <c r="BD18" s="1110"/>
      <c r="BE18" s="1110"/>
      <c r="BF18" s="1110"/>
      <c r="BG18" s="1110"/>
      <c r="BH18" s="1110"/>
      <c r="BI18" s="1110"/>
      <c r="BJ18" s="1110"/>
      <c r="BK18" s="1110"/>
      <c r="BL18" s="1110"/>
      <c r="BO18" s="1247" t="s">
        <v>1449</v>
      </c>
      <c r="BP18" s="522" t="s">
        <v>1450</v>
      </c>
      <c r="BQ18" s="522" t="s">
        <v>1451</v>
      </c>
      <c r="BR18" s="522" t="s">
        <v>1452</v>
      </c>
    </row>
    <row r="19" spans="1:70" s="522" customFormat="1" ht="26">
      <c r="A19" s="1769"/>
      <c r="B19" s="1771"/>
      <c r="C19" s="735" t="s">
        <v>990</v>
      </c>
      <c r="D19" s="735" t="s">
        <v>1508</v>
      </c>
      <c r="E19" s="1763">
        <v>1</v>
      </c>
      <c r="F19" s="1563">
        <v>4</v>
      </c>
      <c r="G19" s="115"/>
      <c r="H19" s="1559" t="s">
        <v>1275</v>
      </c>
      <c r="I19" s="1559" t="s">
        <v>1276</v>
      </c>
      <c r="J19" s="1559" t="s">
        <v>1277</v>
      </c>
      <c r="K19" s="1559" t="s">
        <v>1333</v>
      </c>
      <c r="L19" s="1558"/>
      <c r="M19" s="1740">
        <v>1</v>
      </c>
      <c r="N19" s="1739">
        <v>1</v>
      </c>
      <c r="O19" s="1739">
        <v>4</v>
      </c>
      <c r="P19" s="1739">
        <v>1</v>
      </c>
      <c r="Q19" s="1739">
        <v>1</v>
      </c>
      <c r="R19" s="1739">
        <v>1</v>
      </c>
      <c r="S19" s="1739">
        <v>1</v>
      </c>
      <c r="T19" s="1739">
        <v>1</v>
      </c>
      <c r="U19" s="1756">
        <v>1</v>
      </c>
      <c r="V19" s="1739">
        <v>1</v>
      </c>
      <c r="W19" s="1739">
        <v>1</v>
      </c>
      <c r="X19" s="1739">
        <v>1</v>
      </c>
      <c r="Y19" s="1739">
        <v>1</v>
      </c>
      <c r="Z19" s="1739"/>
      <c r="AA19" s="1739"/>
      <c r="AB19" s="1739"/>
      <c r="AC19" s="115"/>
      <c r="AD19" s="1109"/>
      <c r="AE19" s="1109"/>
      <c r="AF19" s="1109"/>
      <c r="AG19" s="1109"/>
      <c r="AH19" s="1109"/>
      <c r="AI19" s="1109"/>
      <c r="AJ19" s="1109"/>
      <c r="AK19" s="1109"/>
      <c r="AL19" s="1109"/>
      <c r="AM19" s="1110"/>
      <c r="AN19" s="1110"/>
      <c r="AO19" s="1252"/>
      <c r="AP19" s="1110"/>
      <c r="AQ19" s="1110"/>
      <c r="AR19" s="1110"/>
      <c r="AS19" s="1110"/>
      <c r="AT19" s="1110"/>
      <c r="AU19" s="1110"/>
      <c r="AV19" s="1110"/>
      <c r="AW19" s="1110"/>
      <c r="AX19" s="1110"/>
      <c r="AY19" s="1110"/>
      <c r="AZ19" s="1110"/>
      <c r="BA19" s="811"/>
      <c r="BB19" s="1257"/>
      <c r="BC19" s="1122" t="s">
        <v>1316</v>
      </c>
      <c r="BD19" s="1110"/>
      <c r="BE19" s="1110"/>
      <c r="BF19" s="1110"/>
      <c r="BG19" s="1110"/>
      <c r="BH19" s="1110"/>
      <c r="BI19" s="1110"/>
      <c r="BJ19" s="1110"/>
      <c r="BK19" s="1110"/>
      <c r="BL19" s="1110"/>
      <c r="BO19" s="1247" t="s">
        <v>1275</v>
      </c>
      <c r="BP19" s="522" t="s">
        <v>1453</v>
      </c>
      <c r="BQ19" s="522" t="s">
        <v>1455</v>
      </c>
      <c r="BR19" s="522" t="s">
        <v>1454</v>
      </c>
    </row>
    <row r="20" spans="1:70" s="522" customFormat="1" ht="26">
      <c r="A20" s="1769"/>
      <c r="B20" s="13" t="s">
        <v>1416</v>
      </c>
      <c r="C20" s="735" t="s">
        <v>630</v>
      </c>
      <c r="D20" s="735" t="s">
        <v>50</v>
      </c>
      <c r="E20" s="1763">
        <v>1.8</v>
      </c>
      <c r="F20" s="1563">
        <v>4</v>
      </c>
      <c r="G20"/>
      <c r="H20" s="1559" t="s">
        <v>1217</v>
      </c>
      <c r="I20" s="1559" t="s">
        <v>1278</v>
      </c>
      <c r="J20" s="1559" t="s">
        <v>1279</v>
      </c>
      <c r="K20" s="1559" t="s">
        <v>1329</v>
      </c>
      <c r="L20" s="1558"/>
      <c r="M20" s="1740">
        <v>1</v>
      </c>
      <c r="N20" s="1739">
        <v>1</v>
      </c>
      <c r="O20" s="1739">
        <v>4</v>
      </c>
      <c r="P20" s="1739">
        <v>1.8</v>
      </c>
      <c r="Q20" s="1739">
        <v>1</v>
      </c>
      <c r="R20" s="1739">
        <v>1</v>
      </c>
      <c r="S20" s="1739">
        <v>1.5</v>
      </c>
      <c r="T20" s="1739">
        <v>1</v>
      </c>
      <c r="U20" s="1756">
        <v>1</v>
      </c>
      <c r="V20" s="1739">
        <v>3</v>
      </c>
      <c r="W20" s="1739">
        <v>1</v>
      </c>
      <c r="X20" s="1739">
        <v>1</v>
      </c>
      <c r="Y20" s="1739">
        <v>1.9</v>
      </c>
      <c r="Z20" s="1739"/>
      <c r="AA20" s="1739"/>
      <c r="AB20" s="1739"/>
      <c r="AC20"/>
      <c r="AD20" s="1109"/>
      <c r="AE20" s="1109"/>
      <c r="AF20" s="1109"/>
      <c r="AG20" s="1109"/>
      <c r="AH20" s="1109"/>
      <c r="AI20" s="1109"/>
      <c r="AJ20" s="1109"/>
      <c r="AK20" s="1109"/>
      <c r="AL20" s="1109"/>
      <c r="AM20" s="1110"/>
      <c r="AN20" s="1110"/>
      <c r="AO20" s="1252"/>
      <c r="AP20" s="1110"/>
      <c r="AQ20" s="1110"/>
      <c r="AR20" s="1110"/>
      <c r="AS20" s="1110"/>
      <c r="AT20" s="1110"/>
      <c r="AU20" s="1110"/>
      <c r="AV20" s="1110"/>
      <c r="AW20" s="1110"/>
      <c r="AX20" s="1110"/>
      <c r="AY20" s="1110"/>
      <c r="AZ20" s="1110"/>
      <c r="BA20" s="811"/>
      <c r="BB20" s="1018"/>
      <c r="BC20" s="1110"/>
      <c r="BD20" s="1110"/>
      <c r="BE20" s="1110"/>
      <c r="BF20" s="1110"/>
      <c r="BG20" s="1110"/>
      <c r="BH20" s="1110"/>
      <c r="BI20" s="1110"/>
      <c r="BJ20" s="1110"/>
      <c r="BK20" s="1110"/>
      <c r="BL20" s="1110"/>
      <c r="BO20" s="1247" t="s">
        <v>1217</v>
      </c>
      <c r="BP20" s="522" t="s">
        <v>1278</v>
      </c>
      <c r="BQ20" s="522" t="s">
        <v>1456</v>
      </c>
      <c r="BR20" s="522" t="s">
        <v>1457</v>
      </c>
    </row>
    <row r="21" spans="1:70" s="522" customFormat="1" ht="15">
      <c r="A21" s="1769" t="s">
        <v>1311</v>
      </c>
      <c r="B21" s="1771" t="s">
        <v>1406</v>
      </c>
      <c r="C21" s="735" t="s">
        <v>717</v>
      </c>
      <c r="D21" s="735" t="s">
        <v>1212</v>
      </c>
      <c r="E21" s="1763"/>
      <c r="F21" s="1563"/>
      <c r="G21"/>
      <c r="H21" s="1560"/>
      <c r="I21" s="1560"/>
      <c r="J21" s="1560"/>
      <c r="K21" s="1560"/>
      <c r="L21" s="1558"/>
      <c r="M21" s="1740"/>
      <c r="N21" s="1739"/>
      <c r="O21" s="1739"/>
      <c r="P21" s="1739"/>
      <c r="Q21" s="1739"/>
      <c r="R21" s="1739"/>
      <c r="S21" s="1739"/>
      <c r="T21" s="1739"/>
      <c r="U21" s="1756"/>
      <c r="V21" s="1739"/>
      <c r="W21" s="1739"/>
      <c r="X21" s="1739"/>
      <c r="Y21" s="1739"/>
      <c r="Z21" s="1739"/>
      <c r="AA21" s="1739"/>
      <c r="AB21" s="1739"/>
      <c r="AC21"/>
      <c r="AD21" s="1109"/>
      <c r="AE21" s="1109"/>
      <c r="AF21" s="1109"/>
      <c r="AG21" s="1109"/>
      <c r="AH21" s="1109"/>
      <c r="AI21" s="1109"/>
      <c r="AJ21" s="1109"/>
      <c r="AK21" s="1109"/>
      <c r="AL21" s="1109"/>
      <c r="AM21" s="1110"/>
      <c r="AN21" s="1110"/>
      <c r="AO21" s="1252"/>
      <c r="AP21" s="1110"/>
      <c r="AQ21" s="1110"/>
      <c r="AR21" s="1110"/>
      <c r="AS21" s="1110"/>
      <c r="AT21" s="1110"/>
      <c r="AU21" s="1110"/>
      <c r="AV21" s="1110"/>
      <c r="AW21" s="1110"/>
      <c r="AX21" s="1110"/>
      <c r="AY21" s="1110"/>
      <c r="AZ21" s="1110"/>
      <c r="BA21" s="811"/>
      <c r="BB21" s="1149"/>
      <c r="BC21" s="1123" t="s">
        <v>602</v>
      </c>
      <c r="BD21" s="1114"/>
      <c r="BE21" s="1135"/>
      <c r="BF21" s="1135"/>
      <c r="BG21" s="1134" t="str">
        <f>Preferences.EnergyUnits &amp; " / year"</f>
        <v>TWh / year</v>
      </c>
      <c r="BH21" s="1133">
        <v>2007</v>
      </c>
      <c r="BI21" s="1133">
        <v>2020</v>
      </c>
      <c r="BJ21" s="1133">
        <v>2030</v>
      </c>
      <c r="BK21" s="1133">
        <v>2050</v>
      </c>
      <c r="BL21" s="1110"/>
      <c r="BO21" s="1247"/>
    </row>
    <row r="22" spans="1:70" s="522" customFormat="1" ht="15">
      <c r="A22" s="1769"/>
      <c r="B22" s="1771"/>
      <c r="C22" s="1157"/>
      <c r="D22" s="1157" t="s">
        <v>1492</v>
      </c>
      <c r="E22" s="1763">
        <v>3</v>
      </c>
      <c r="F22" s="1564">
        <v>4</v>
      </c>
      <c r="G22" s="1216"/>
      <c r="H22" s="1559" t="s">
        <v>1389</v>
      </c>
      <c r="I22" s="1559" t="s">
        <v>1390</v>
      </c>
      <c r="J22" s="1559" t="s">
        <v>1391</v>
      </c>
      <c r="K22" s="1559" t="s">
        <v>1514</v>
      </c>
      <c r="L22" s="1558"/>
      <c r="M22" s="1740">
        <v>1</v>
      </c>
      <c r="N22" s="1739">
        <v>1</v>
      </c>
      <c r="O22" s="1739">
        <v>4</v>
      </c>
      <c r="P22" s="1739">
        <v>3</v>
      </c>
      <c r="Q22" s="1739">
        <v>2</v>
      </c>
      <c r="R22" s="1739">
        <v>4</v>
      </c>
      <c r="S22" s="1739">
        <v>3</v>
      </c>
      <c r="T22" s="1739">
        <v>3</v>
      </c>
      <c r="U22" s="1756">
        <v>2</v>
      </c>
      <c r="V22" s="1739">
        <v>2</v>
      </c>
      <c r="W22" s="1739">
        <v>3</v>
      </c>
      <c r="X22" s="1739">
        <v>3</v>
      </c>
      <c r="Y22" s="1739">
        <v>3</v>
      </c>
      <c r="Z22" s="1739"/>
      <c r="AA22" s="1739"/>
      <c r="AB22" s="1739"/>
      <c r="AC22" s="1216"/>
      <c r="AD22" s="1109"/>
      <c r="AE22" s="1109"/>
      <c r="AF22" s="1109"/>
      <c r="AG22" s="1109"/>
      <c r="AH22" s="1109"/>
      <c r="AI22" s="1109"/>
      <c r="AJ22" s="1109"/>
      <c r="AK22" s="1109"/>
      <c r="AL22" s="1109"/>
      <c r="AM22" s="1110"/>
      <c r="AN22" s="1110"/>
      <c r="AO22" s="1252"/>
      <c r="AP22" s="1110"/>
      <c r="AQ22" s="1110"/>
      <c r="AR22" s="1110"/>
      <c r="AS22" s="1110"/>
      <c r="AT22" s="1110"/>
      <c r="AU22" s="1110"/>
      <c r="AV22" s="1110"/>
      <c r="AW22" s="1110"/>
      <c r="AX22" s="1110"/>
      <c r="AY22" s="1110"/>
      <c r="AZ22" s="1110"/>
      <c r="BA22" s="811"/>
      <c r="BB22" s="1148"/>
      <c r="BC22" s="1115" t="s">
        <v>757</v>
      </c>
      <c r="BD22" s="1113" t="str">
        <f>INDEX(Vectors[Description], MATCH($BC22, Vectors[Code], 0))</f>
        <v>Coal oversupply (imports)</v>
      </c>
      <c r="BE22" s="1110"/>
      <c r="BF22" s="1112"/>
      <c r="BG22" s="1113"/>
      <c r="BH22" s="1112"/>
      <c r="BI22" s="1112"/>
      <c r="BJ22" s="1112"/>
      <c r="BK22" s="1112"/>
      <c r="BL22" s="1110"/>
      <c r="BO22" s="1248" t="s">
        <v>1389</v>
      </c>
      <c r="BP22" s="526" t="s">
        <v>1458</v>
      </c>
      <c r="BQ22" s="526" t="s">
        <v>1459</v>
      </c>
      <c r="BR22" s="522" t="s">
        <v>1515</v>
      </c>
    </row>
    <row r="23" spans="1:70" s="522" customFormat="1" ht="15">
      <c r="A23" s="1769"/>
      <c r="B23" s="1771"/>
      <c r="C23" s="1157"/>
      <c r="D23" s="1157" t="s">
        <v>1496</v>
      </c>
      <c r="E23" s="1763">
        <v>2</v>
      </c>
      <c r="F23" s="1564">
        <v>4</v>
      </c>
      <c r="G23" s="1216"/>
      <c r="H23" s="1559" t="s">
        <v>1340</v>
      </c>
      <c r="I23" s="1559" t="s">
        <v>1392</v>
      </c>
      <c r="J23" s="1559" t="s">
        <v>1338</v>
      </c>
      <c r="K23" s="1559" t="s">
        <v>1339</v>
      </c>
      <c r="L23" s="1558"/>
      <c r="M23" s="1740">
        <v>1</v>
      </c>
      <c r="N23" s="1739">
        <v>1</v>
      </c>
      <c r="O23" s="1739">
        <v>4</v>
      </c>
      <c r="P23" s="1739">
        <v>2</v>
      </c>
      <c r="Q23" s="1739">
        <v>2</v>
      </c>
      <c r="R23" s="1739">
        <v>2</v>
      </c>
      <c r="S23" s="1739">
        <v>2</v>
      </c>
      <c r="T23" s="1739">
        <v>2</v>
      </c>
      <c r="U23" s="1756">
        <v>4</v>
      </c>
      <c r="V23" s="1739">
        <v>3</v>
      </c>
      <c r="W23" s="1739">
        <v>4</v>
      </c>
      <c r="X23" s="1739">
        <v>2</v>
      </c>
      <c r="Y23" s="1739">
        <v>4</v>
      </c>
      <c r="Z23" s="1739"/>
      <c r="AA23" s="1739"/>
      <c r="AB23" s="1739"/>
      <c r="AC23" s="1216"/>
      <c r="AD23" s="1109"/>
      <c r="AE23" s="1109"/>
      <c r="AF23" s="1109"/>
      <c r="AG23" s="1109"/>
      <c r="AH23" s="1109"/>
      <c r="AI23" s="1109"/>
      <c r="AJ23" s="1109"/>
      <c r="AK23" s="1109"/>
      <c r="AL23" s="1109"/>
      <c r="AM23" s="1110"/>
      <c r="AN23" s="1110"/>
      <c r="AO23" s="1252"/>
      <c r="AP23" s="1110"/>
      <c r="AQ23" s="1110"/>
      <c r="AR23" s="1110"/>
      <c r="AS23" s="1110"/>
      <c r="AT23" s="1110"/>
      <c r="AU23" s="1110"/>
      <c r="AV23" s="1110"/>
      <c r="AW23" s="1110"/>
      <c r="AX23" s="1110"/>
      <c r="AY23" s="1110"/>
      <c r="AZ23" s="1110"/>
      <c r="BA23" s="811"/>
      <c r="BB23" s="1148"/>
      <c r="BC23" s="1115" t="s">
        <v>758</v>
      </c>
      <c r="BD23" s="1113" t="str">
        <f>INDEX(Vectors[Description], MATCH($BC23, Vectors[Code], 0))</f>
        <v>Oil and petroleum products oversupply (imports)</v>
      </c>
      <c r="BE23" s="1110"/>
      <c r="BF23" s="1112"/>
      <c r="BG23" s="1113"/>
      <c r="BH23" s="1112"/>
      <c r="BI23" s="1112"/>
      <c r="BJ23" s="1112"/>
      <c r="BK23" s="1112"/>
      <c r="BL23" s="1110"/>
      <c r="BO23" s="1248" t="s">
        <v>1340</v>
      </c>
      <c r="BP23" s="526" t="s">
        <v>1392</v>
      </c>
      <c r="BQ23" s="526" t="s">
        <v>1338</v>
      </c>
      <c r="BR23" s="522" t="s">
        <v>1339</v>
      </c>
    </row>
    <row r="24" spans="1:70" s="522" customFormat="1" ht="26">
      <c r="A24" s="1769"/>
      <c r="B24" s="1771"/>
      <c r="C24" s="735" t="s">
        <v>745</v>
      </c>
      <c r="D24" s="735" t="s">
        <v>1356</v>
      </c>
      <c r="E24" s="1763">
        <v>2</v>
      </c>
      <c r="F24" s="1721" t="s">
        <v>984</v>
      </c>
      <c r="G24"/>
      <c r="H24" s="1559" t="s">
        <v>1829</v>
      </c>
      <c r="I24" s="1559" t="s">
        <v>1830</v>
      </c>
      <c r="J24" s="1559" t="s">
        <v>1832</v>
      </c>
      <c r="K24" s="1559" t="s">
        <v>1831</v>
      </c>
      <c r="L24" s="1558"/>
      <c r="M24" s="1740">
        <v>1</v>
      </c>
      <c r="N24" s="1739">
        <v>1</v>
      </c>
      <c r="O24" s="1739">
        <v>3</v>
      </c>
      <c r="P24" s="1739">
        <v>2</v>
      </c>
      <c r="Q24" s="1739">
        <v>2</v>
      </c>
      <c r="R24" s="1739">
        <v>2</v>
      </c>
      <c r="S24" s="1739">
        <v>2</v>
      </c>
      <c r="T24" s="1739">
        <v>4</v>
      </c>
      <c r="U24" s="1756">
        <v>4</v>
      </c>
      <c r="V24" s="1739">
        <v>3</v>
      </c>
      <c r="W24" s="1739">
        <v>3</v>
      </c>
      <c r="X24" s="1739">
        <v>2</v>
      </c>
      <c r="Y24" s="1739">
        <v>3</v>
      </c>
      <c r="Z24" s="1739"/>
      <c r="AA24" s="1739"/>
      <c r="AB24" s="1739"/>
      <c r="AC24"/>
      <c r="AD24" s="1109"/>
      <c r="AE24" s="1109"/>
      <c r="AF24" s="1109"/>
      <c r="AG24" s="1109"/>
      <c r="AH24" s="1109"/>
      <c r="AI24" s="1109"/>
      <c r="AJ24" s="1109"/>
      <c r="AK24" s="1109"/>
      <c r="AL24" s="1109"/>
      <c r="AM24" s="1110"/>
      <c r="AN24" s="1110"/>
      <c r="AO24" s="1252"/>
      <c r="AP24" s="1110"/>
      <c r="AQ24" s="1110"/>
      <c r="AR24" s="1110"/>
      <c r="AS24" s="1110"/>
      <c r="AT24" s="1110"/>
      <c r="AU24" s="1110"/>
      <c r="AV24" s="1110"/>
      <c r="AW24" s="1110"/>
      <c r="AX24" s="1110"/>
      <c r="AY24" s="1110"/>
      <c r="AZ24" s="1110"/>
      <c r="BA24" s="811"/>
      <c r="BB24" s="1148"/>
      <c r="BC24" s="1115" t="s">
        <v>759</v>
      </c>
      <c r="BD24" s="1113" t="str">
        <f>INDEX(Vectors[Description], MATCH($BC24, Vectors[Code], 0))</f>
        <v>Gas oversupply (imports)</v>
      </c>
      <c r="BE24" s="1110"/>
      <c r="BF24" s="1112"/>
      <c r="BG24" s="1113"/>
      <c r="BH24" s="1112"/>
      <c r="BI24" s="1112"/>
      <c r="BJ24" s="1112"/>
      <c r="BK24" s="1112"/>
      <c r="BL24" s="1110"/>
      <c r="BO24" s="1247" t="s">
        <v>1825</v>
      </c>
      <c r="BP24" s="522" t="s">
        <v>1826</v>
      </c>
      <c r="BQ24" s="522" t="s">
        <v>1827</v>
      </c>
      <c r="BR24" s="522" t="s">
        <v>1828</v>
      </c>
    </row>
    <row r="25" spans="1:70" s="522" customFormat="1" ht="26">
      <c r="A25" s="1769"/>
      <c r="B25" s="1771"/>
      <c r="C25" s="735" t="s">
        <v>1175</v>
      </c>
      <c r="D25" s="735" t="s">
        <v>1174</v>
      </c>
      <c r="E25" s="1763">
        <v>1</v>
      </c>
      <c r="F25" s="1563">
        <v>4</v>
      </c>
      <c r="G25"/>
      <c r="H25" s="1559" t="s">
        <v>1199</v>
      </c>
      <c r="I25" s="1559" t="s">
        <v>1393</v>
      </c>
      <c r="J25" s="1559" t="s">
        <v>1394</v>
      </c>
      <c r="K25" s="1559" t="s">
        <v>1422</v>
      </c>
      <c r="L25" s="1558"/>
      <c r="M25" s="1740">
        <v>1</v>
      </c>
      <c r="N25" s="1739">
        <v>1</v>
      </c>
      <c r="O25" s="1739">
        <v>4</v>
      </c>
      <c r="P25" s="1739">
        <v>1</v>
      </c>
      <c r="Q25" s="1739">
        <v>1</v>
      </c>
      <c r="R25" s="1739">
        <v>3</v>
      </c>
      <c r="S25" s="1739">
        <v>1</v>
      </c>
      <c r="T25" s="1739">
        <v>1</v>
      </c>
      <c r="U25" s="1756">
        <v>1</v>
      </c>
      <c r="V25" s="1739">
        <v>1</v>
      </c>
      <c r="W25" s="1739">
        <v>3</v>
      </c>
      <c r="X25" s="1739">
        <v>2</v>
      </c>
      <c r="Y25" s="1739">
        <v>1</v>
      </c>
      <c r="Z25" s="1739"/>
      <c r="AA25" s="1739"/>
      <c r="AB25" s="1739"/>
      <c r="AC25"/>
      <c r="AD25" s="1109"/>
      <c r="AE25" s="1109"/>
      <c r="AF25" s="1109"/>
      <c r="AG25" s="1109"/>
      <c r="AH25" s="1109"/>
      <c r="AI25" s="1109"/>
      <c r="AJ25" s="1109"/>
      <c r="AK25" s="1109"/>
      <c r="AL25" s="1109"/>
      <c r="AM25" s="1110"/>
      <c r="AN25" s="1110"/>
      <c r="AO25" s="1252"/>
      <c r="AP25" s="1110"/>
      <c r="AQ25" s="1110"/>
      <c r="AR25" s="1110"/>
      <c r="AS25" s="1110"/>
      <c r="AT25" s="1110"/>
      <c r="AU25" s="1110"/>
      <c r="AV25" s="1110"/>
      <c r="AW25" s="1110"/>
      <c r="AX25" s="1110"/>
      <c r="AY25" s="1110"/>
      <c r="AZ25" s="1110"/>
      <c r="BA25" s="811"/>
      <c r="BB25" s="1148"/>
      <c r="BC25" s="1115" t="s">
        <v>53</v>
      </c>
      <c r="BD25" s="1113" t="str">
        <f>INDEX(Vectors[Description], MATCH($BC25, Vectors[Code], 0))</f>
        <v>Biomass oversupply (imports)</v>
      </c>
      <c r="BE25" s="1110"/>
      <c r="BF25" s="1110"/>
      <c r="BG25" s="1110"/>
      <c r="BH25" s="1112"/>
      <c r="BI25" s="1112"/>
      <c r="BJ25" s="1112"/>
      <c r="BK25" s="1112"/>
      <c r="BL25" s="1110"/>
      <c r="BO25" s="1247" t="s">
        <v>1199</v>
      </c>
      <c r="BP25" s="522" t="s">
        <v>1460</v>
      </c>
      <c r="BQ25" s="522" t="s">
        <v>1461</v>
      </c>
      <c r="BR25" s="522" t="s">
        <v>1462</v>
      </c>
    </row>
    <row r="26" spans="1:70" s="522" customFormat="1" ht="26">
      <c r="A26" s="1769"/>
      <c r="B26" s="1771"/>
      <c r="C26" s="735" t="s">
        <v>744</v>
      </c>
      <c r="D26" s="735" t="s">
        <v>1493</v>
      </c>
      <c r="E26" s="1763">
        <v>1</v>
      </c>
      <c r="F26" s="1563" t="s">
        <v>984</v>
      </c>
      <c r="G26"/>
      <c r="H26" s="1559" t="s">
        <v>1335</v>
      </c>
      <c r="I26" s="1559" t="s">
        <v>1336</v>
      </c>
      <c r="J26" s="1559" t="s">
        <v>1337</v>
      </c>
      <c r="K26" s="1559" t="s">
        <v>1334</v>
      </c>
      <c r="L26" s="1558"/>
      <c r="M26" s="1740">
        <v>1</v>
      </c>
      <c r="N26" s="1739">
        <v>1</v>
      </c>
      <c r="O26" s="1739">
        <v>2</v>
      </c>
      <c r="P26" s="1739">
        <v>1</v>
      </c>
      <c r="Q26" s="1739">
        <v>1</v>
      </c>
      <c r="R26" s="1739">
        <v>3</v>
      </c>
      <c r="S26" s="1739">
        <v>2</v>
      </c>
      <c r="T26" s="1739">
        <v>3</v>
      </c>
      <c r="U26" s="1756">
        <v>1</v>
      </c>
      <c r="V26" s="1739">
        <v>2</v>
      </c>
      <c r="W26" s="1739">
        <v>2</v>
      </c>
      <c r="X26" s="1739">
        <v>2</v>
      </c>
      <c r="Y26" s="1739">
        <v>1</v>
      </c>
      <c r="Z26" s="1739"/>
      <c r="AA26" s="1739"/>
      <c r="AB26" s="1739"/>
      <c r="AC26"/>
      <c r="AD26" s="1109"/>
      <c r="AE26" s="1109"/>
      <c r="AF26" s="1109"/>
      <c r="AG26" s="1109"/>
      <c r="AH26" s="1109"/>
      <c r="AI26" s="1109"/>
      <c r="AJ26" s="1109"/>
      <c r="AK26" s="1109"/>
      <c r="AL26" s="1109"/>
      <c r="AM26" s="1110"/>
      <c r="AN26" s="1110"/>
      <c r="AO26" s="1252"/>
      <c r="AP26" s="1110"/>
      <c r="AQ26" s="1110"/>
      <c r="AR26" s="1110"/>
      <c r="AS26" s="1110"/>
      <c r="AT26" s="1110"/>
      <c r="AU26" s="1110"/>
      <c r="AV26" s="1110"/>
      <c r="AW26" s="1110"/>
      <c r="AX26" s="1110"/>
      <c r="AY26" s="1110"/>
      <c r="AZ26" s="1110"/>
      <c r="BA26" s="811"/>
      <c r="BB26" s="1148"/>
      <c r="BC26" s="1125" t="s">
        <v>54</v>
      </c>
      <c r="BD26" s="1119" t="str">
        <f>INDEX(Vectors[Description], MATCH($BC26, Vectors[Code], 0))</f>
        <v>Electricity oversupply (imports)</v>
      </c>
      <c r="BE26" s="1118"/>
      <c r="BF26" s="1118"/>
      <c r="BG26" s="1118"/>
      <c r="BH26" s="1126"/>
      <c r="BI26" s="1126"/>
      <c r="BJ26" s="1126"/>
      <c r="BK26" s="1126"/>
      <c r="BL26" s="1110"/>
      <c r="BO26" s="1247" t="s">
        <v>1335</v>
      </c>
      <c r="BP26" s="522" t="s">
        <v>1336</v>
      </c>
      <c r="BQ26" s="522" t="s">
        <v>1337</v>
      </c>
      <c r="BR26" s="522" t="s">
        <v>1334</v>
      </c>
    </row>
    <row r="27" spans="1:70" s="522" customFormat="1" ht="26">
      <c r="A27" s="1769"/>
      <c r="B27" s="13" t="s">
        <v>1407</v>
      </c>
      <c r="C27" s="735" t="s">
        <v>1016</v>
      </c>
      <c r="D27" s="735" t="s">
        <v>1017</v>
      </c>
      <c r="E27" s="1763">
        <v>2.5</v>
      </c>
      <c r="F27" s="1563">
        <v>4</v>
      </c>
      <c r="G27" s="115"/>
      <c r="H27" s="1559" t="s">
        <v>1395</v>
      </c>
      <c r="I27" s="1559" t="s">
        <v>1503</v>
      </c>
      <c r="J27" s="1559" t="s">
        <v>1504</v>
      </c>
      <c r="K27" s="1559" t="s">
        <v>1505</v>
      </c>
      <c r="L27" s="1558"/>
      <c r="M27" s="1740">
        <v>1</v>
      </c>
      <c r="N27" s="1739">
        <v>1</v>
      </c>
      <c r="O27" s="1739">
        <v>4</v>
      </c>
      <c r="P27" s="1739">
        <v>2.5</v>
      </c>
      <c r="Q27" s="1739">
        <v>2</v>
      </c>
      <c r="R27" s="1739">
        <v>3.7</v>
      </c>
      <c r="S27" s="1739">
        <v>3</v>
      </c>
      <c r="T27" s="1739">
        <v>2.1</v>
      </c>
      <c r="U27" s="1756">
        <v>1</v>
      </c>
      <c r="V27" s="1739">
        <v>2</v>
      </c>
      <c r="W27" s="1739">
        <v>1</v>
      </c>
      <c r="X27" s="1739">
        <v>2</v>
      </c>
      <c r="Y27" s="1739">
        <v>1</v>
      </c>
      <c r="Z27" s="1739"/>
      <c r="AA27" s="1739"/>
      <c r="AB27" s="1739"/>
      <c r="AC27" s="115"/>
      <c r="AD27" s="1109"/>
      <c r="AE27" s="1109"/>
      <c r="AF27" s="1109"/>
      <c r="AG27" s="1109"/>
      <c r="AH27" s="1109"/>
      <c r="AI27" s="1109"/>
      <c r="AJ27" s="1109"/>
      <c r="AK27" s="1109"/>
      <c r="AL27" s="1109"/>
      <c r="AM27" s="1110"/>
      <c r="AN27" s="1110"/>
      <c r="AO27" s="1252"/>
      <c r="AP27" s="1110"/>
      <c r="AQ27" s="1110"/>
      <c r="AR27" s="1110"/>
      <c r="AS27" s="1110"/>
      <c r="AT27" s="1110"/>
      <c r="AU27" s="1110"/>
      <c r="AV27" s="1110"/>
      <c r="AW27" s="1110"/>
      <c r="AX27" s="1110"/>
      <c r="AY27" s="1110"/>
      <c r="AZ27" s="1110"/>
      <c r="BA27" s="811"/>
      <c r="BB27" s="1018"/>
      <c r="BC27" s="1110"/>
      <c r="BD27" s="1110"/>
      <c r="BE27" s="1110"/>
      <c r="BF27" s="1110"/>
      <c r="BG27" s="1110"/>
      <c r="BH27" s="1110"/>
      <c r="BI27" s="1110"/>
      <c r="BJ27" s="1110"/>
      <c r="BK27" s="1110"/>
      <c r="BL27" s="1110"/>
      <c r="BO27" s="1247" t="s">
        <v>1395</v>
      </c>
      <c r="BP27" s="522" t="s">
        <v>1503</v>
      </c>
      <c r="BQ27" s="522" t="s">
        <v>1504</v>
      </c>
      <c r="BR27" s="522" t="s">
        <v>1505</v>
      </c>
    </row>
    <row r="28" spans="1:70" s="522" customFormat="1" ht="23">
      <c r="A28" s="1235" t="s">
        <v>67</v>
      </c>
      <c r="B28" s="1235"/>
      <c r="C28" s="1235"/>
      <c r="D28" s="1235"/>
      <c r="E28" s="1764"/>
      <c r="F28" s="1565"/>
      <c r="G28" s="1235"/>
      <c r="H28" s="1239"/>
      <c r="I28" s="1239"/>
      <c r="J28" s="1239"/>
      <c r="K28" s="1239"/>
      <c r="L28" s="1235"/>
      <c r="M28" s="1757"/>
      <c r="N28" s="1758"/>
      <c r="O28" s="1758"/>
      <c r="P28" s="1758"/>
      <c r="Q28" s="1758"/>
      <c r="R28" s="1758"/>
      <c r="S28" s="1758"/>
      <c r="T28" s="1759"/>
      <c r="U28" s="1760"/>
      <c r="V28" s="1759"/>
      <c r="W28" s="1759"/>
      <c r="X28" s="1759"/>
      <c r="Y28" s="1759"/>
      <c r="Z28" s="1759"/>
      <c r="AA28" s="1759"/>
      <c r="AB28" s="1759"/>
      <c r="AD28" s="1109"/>
      <c r="AE28" s="1109"/>
      <c r="AF28" s="1109"/>
      <c r="AG28" s="1109"/>
      <c r="AH28" s="1109"/>
      <c r="AI28" s="1109"/>
      <c r="AJ28" s="1109"/>
      <c r="AK28" s="1109"/>
      <c r="AL28" s="1109"/>
      <c r="AM28" s="1110"/>
      <c r="AN28" s="1110"/>
      <c r="AO28" s="1252"/>
      <c r="AP28" s="1110"/>
      <c r="AQ28" s="1110"/>
      <c r="AR28" s="1110"/>
      <c r="AS28" s="1110"/>
      <c r="AT28" s="1110"/>
      <c r="AU28" s="1110"/>
      <c r="AV28" s="1110"/>
      <c r="AW28" s="1110"/>
      <c r="AX28" s="1110"/>
      <c r="AY28" s="1110"/>
      <c r="AZ28" s="1109"/>
      <c r="BA28" s="811"/>
      <c r="BB28" s="1257"/>
      <c r="BC28" s="1122" t="s">
        <v>1091</v>
      </c>
      <c r="BD28" s="1110"/>
      <c r="BE28" s="1110"/>
      <c r="BF28" s="1110"/>
      <c r="BG28" s="1110"/>
      <c r="BH28" s="1110"/>
      <c r="BI28" s="1110"/>
      <c r="BJ28" s="1110"/>
      <c r="BK28" s="1110"/>
      <c r="BL28" s="1110"/>
      <c r="BO28" s="1247"/>
      <c r="BR28" s="1245"/>
    </row>
    <row r="29" spans="1:70" ht="23">
      <c r="A29" s="1769" t="s">
        <v>245</v>
      </c>
      <c r="B29" s="1772" t="s">
        <v>1408</v>
      </c>
      <c r="C29" s="735" t="s">
        <v>702</v>
      </c>
      <c r="D29" s="735" t="s">
        <v>975</v>
      </c>
      <c r="E29" s="1763"/>
      <c r="F29" s="1563"/>
      <c r="H29" s="1560"/>
      <c r="I29" s="1560"/>
      <c r="J29" s="1560"/>
      <c r="K29" s="1560"/>
      <c r="M29" s="1740"/>
      <c r="N29" s="1739"/>
      <c r="O29" s="1739"/>
      <c r="P29" s="1739"/>
      <c r="Q29" s="1739"/>
      <c r="R29" s="1739"/>
      <c r="S29" s="1739"/>
      <c r="T29" s="1739"/>
      <c r="U29" s="1756"/>
      <c r="V29" s="1739"/>
      <c r="W29" s="1739"/>
      <c r="X29" s="1739"/>
      <c r="Y29" s="1739"/>
      <c r="Z29" s="1739"/>
      <c r="AA29" s="1739"/>
      <c r="AB29" s="1739"/>
      <c r="AC29" s="115"/>
      <c r="AD29" s="1109"/>
      <c r="AE29" s="1109"/>
      <c r="AF29" s="1109"/>
      <c r="AG29" s="1109"/>
      <c r="AH29" s="1109"/>
      <c r="AI29" s="1109"/>
      <c r="AJ29" s="1109"/>
      <c r="AK29" s="1109"/>
      <c r="AL29" s="1109"/>
      <c r="AM29" s="1110"/>
      <c r="AN29" s="1110"/>
      <c r="AP29" s="1204"/>
      <c r="AQ29" s="1204" t="s">
        <v>1246</v>
      </c>
      <c r="AR29" s="1110"/>
      <c r="AS29" s="1110"/>
      <c r="AT29" s="1110"/>
      <c r="AU29" s="1110"/>
      <c r="AV29" s="1110"/>
      <c r="AW29" s="1110"/>
      <c r="AX29" s="1110"/>
      <c r="AY29" s="1110"/>
      <c r="AZ29" s="1109"/>
      <c r="BB29" s="1257"/>
      <c r="BC29" s="1122"/>
      <c r="BD29" s="1110"/>
      <c r="BE29" s="1110"/>
      <c r="BF29" s="1110"/>
      <c r="BG29" s="1110"/>
      <c r="BH29" s="1110"/>
      <c r="BI29" s="1110"/>
      <c r="BJ29" s="1110"/>
      <c r="BK29" s="1110"/>
      <c r="BL29" s="1110"/>
      <c r="BO29" s="1247"/>
      <c r="BP29" s="522"/>
      <c r="BQ29" s="522"/>
    </row>
    <row r="30" spans="1:70" s="522" customFormat="1" ht="26">
      <c r="A30" s="1769"/>
      <c r="B30" s="1772"/>
      <c r="C30" s="1157"/>
      <c r="D30" s="1157" t="s">
        <v>1357</v>
      </c>
      <c r="E30" s="1763">
        <v>4</v>
      </c>
      <c r="F30" s="1564">
        <v>4</v>
      </c>
      <c r="G30" s="115"/>
      <c r="H30" s="1559" t="s">
        <v>1396</v>
      </c>
      <c r="I30" s="1559" t="s">
        <v>1499</v>
      </c>
      <c r="J30" s="1559" t="s">
        <v>1500</v>
      </c>
      <c r="K30" s="1559" t="s">
        <v>1397</v>
      </c>
      <c r="L30" s="1558"/>
      <c r="M30" s="1740">
        <v>1</v>
      </c>
      <c r="N30" s="1739">
        <v>4</v>
      </c>
      <c r="O30" s="1739">
        <v>1</v>
      </c>
      <c r="P30" s="1739">
        <v>4</v>
      </c>
      <c r="Q30" s="1739">
        <v>4</v>
      </c>
      <c r="R30" s="1739">
        <v>2</v>
      </c>
      <c r="S30" s="1739">
        <v>3</v>
      </c>
      <c r="T30" s="1739">
        <v>4</v>
      </c>
      <c r="U30" s="1756">
        <v>4</v>
      </c>
      <c r="V30" s="1739">
        <v>4</v>
      </c>
      <c r="W30" s="1739">
        <v>3</v>
      </c>
      <c r="X30" s="1739">
        <v>3</v>
      </c>
      <c r="Y30" s="1739">
        <v>3</v>
      </c>
      <c r="Z30" s="1739"/>
      <c r="AA30" s="1739"/>
      <c r="AB30" s="1739"/>
      <c r="AC30"/>
      <c r="AD30" s="1109"/>
      <c r="AE30" s="1109"/>
      <c r="AF30" s="1109"/>
      <c r="AG30" s="1109"/>
      <c r="AH30" s="1109"/>
      <c r="AI30" s="1109"/>
      <c r="AJ30" s="1109"/>
      <c r="AK30" s="1109"/>
      <c r="AL30" s="1109"/>
      <c r="AM30" s="1111"/>
      <c r="AN30" s="1111"/>
      <c r="AO30" s="1252"/>
      <c r="AP30" s="1110"/>
      <c r="AQ30" s="1110"/>
      <c r="AR30" s="1111"/>
      <c r="AS30" s="1111"/>
      <c r="AT30" s="1111"/>
      <c r="AU30" s="1111"/>
      <c r="AV30" s="1111"/>
      <c r="AW30" s="1111"/>
      <c r="AX30" s="1111"/>
      <c r="AY30" s="1111"/>
      <c r="AZ30" s="1109"/>
      <c r="BA30" s="811"/>
      <c r="BB30" s="1149"/>
      <c r="BC30" s="1123" t="s">
        <v>1100</v>
      </c>
      <c r="BD30" s="1114"/>
      <c r="BE30" s="1135"/>
      <c r="BF30" s="1135"/>
      <c r="BG30" s="1134" t="str">
        <f>Preferences.EnergyUnits &amp; " / year"</f>
        <v>TWh / year</v>
      </c>
      <c r="BH30" s="1133">
        <v>2007</v>
      </c>
      <c r="BI30" s="1133">
        <v>2020</v>
      </c>
      <c r="BJ30" s="1133">
        <v>2030</v>
      </c>
      <c r="BK30" s="1133">
        <v>2050</v>
      </c>
      <c r="BL30" s="1110"/>
      <c r="BO30" s="1247" t="s">
        <v>1396</v>
      </c>
      <c r="BP30" s="522" t="s">
        <v>1499</v>
      </c>
      <c r="BQ30" s="522" t="s">
        <v>1500</v>
      </c>
      <c r="BR30" s="522" t="s">
        <v>1397</v>
      </c>
    </row>
    <row r="31" spans="1:70" s="522" customFormat="1" ht="26">
      <c r="A31" s="1769"/>
      <c r="B31" s="1772"/>
      <c r="C31" s="1157"/>
      <c r="D31" s="1157" t="s">
        <v>1812</v>
      </c>
      <c r="E31" s="1763">
        <v>3</v>
      </c>
      <c r="F31" s="1564">
        <v>4</v>
      </c>
      <c r="G31" s="115"/>
      <c r="H31" s="1559" t="s">
        <v>1813</v>
      </c>
      <c r="I31" s="1559" t="s">
        <v>1834</v>
      </c>
      <c r="J31" s="1559" t="s">
        <v>1835</v>
      </c>
      <c r="K31" s="1559" t="s">
        <v>1833</v>
      </c>
      <c r="L31" s="1558"/>
      <c r="M31" s="1740">
        <v>1</v>
      </c>
      <c r="N31" s="1739">
        <v>4</v>
      </c>
      <c r="O31" s="1739">
        <v>1</v>
      </c>
      <c r="P31" s="1739">
        <v>3</v>
      </c>
      <c r="Q31" s="1739">
        <v>4</v>
      </c>
      <c r="R31" s="1739">
        <v>3</v>
      </c>
      <c r="S31" s="1739">
        <v>2</v>
      </c>
      <c r="T31" s="1739">
        <v>3</v>
      </c>
      <c r="U31" s="1756">
        <v>4</v>
      </c>
      <c r="V31" s="1739">
        <v>4</v>
      </c>
      <c r="W31" s="1739">
        <v>4</v>
      </c>
      <c r="X31" s="1739">
        <v>3</v>
      </c>
      <c r="Y31" s="1739">
        <v>3</v>
      </c>
      <c r="Z31" s="1739"/>
      <c r="AA31" s="1739"/>
      <c r="AB31" s="1739"/>
      <c r="AC31"/>
      <c r="AD31" s="1109"/>
      <c r="AE31" s="1109"/>
      <c r="AF31" s="1109"/>
      <c r="AG31" s="1109"/>
      <c r="AH31" s="1109"/>
      <c r="AI31" s="1109"/>
      <c r="AJ31" s="1109"/>
      <c r="AK31" s="1109"/>
      <c r="AL31" s="1109"/>
      <c r="AM31" s="1111"/>
      <c r="AN31" s="1111"/>
      <c r="AO31" s="1252"/>
      <c r="AP31" s="1110"/>
      <c r="AQ31" s="1110"/>
      <c r="AR31" s="1111"/>
      <c r="AS31" s="1111"/>
      <c r="AT31" s="1111"/>
      <c r="AU31" s="1111"/>
      <c r="AV31" s="1111"/>
      <c r="AW31" s="1111"/>
      <c r="AX31" s="1111"/>
      <c r="AY31" s="1111"/>
      <c r="AZ31" s="1109"/>
      <c r="BA31" s="811"/>
      <c r="BB31" s="1149"/>
      <c r="BC31" s="1149"/>
      <c r="BD31" s="1217"/>
      <c r="BE31" s="1218"/>
      <c r="BF31" s="1218"/>
      <c r="BG31" s="1189"/>
      <c r="BH31" s="1190"/>
      <c r="BI31" s="1190"/>
      <c r="BJ31" s="1190"/>
      <c r="BK31" s="1190"/>
      <c r="BL31" s="1110"/>
      <c r="BO31" s="1247" t="s">
        <v>1813</v>
      </c>
      <c r="BP31" s="522" t="s">
        <v>1814</v>
      </c>
      <c r="BQ31" s="522" t="s">
        <v>1815</v>
      </c>
      <c r="BR31" s="522" t="s">
        <v>1816</v>
      </c>
    </row>
    <row r="32" spans="1:70" s="522" customFormat="1" ht="26">
      <c r="A32" s="1769"/>
      <c r="B32" s="1772"/>
      <c r="C32" s="1157"/>
      <c r="D32" s="1157" t="s">
        <v>1860</v>
      </c>
      <c r="E32" s="1763">
        <v>1</v>
      </c>
      <c r="F32" s="1564" t="s">
        <v>984</v>
      </c>
      <c r="G32" s="1553"/>
      <c r="H32" s="1559" t="s">
        <v>1861</v>
      </c>
      <c r="I32" s="1559" t="s">
        <v>1862</v>
      </c>
      <c r="J32" s="1559" t="s">
        <v>1863</v>
      </c>
      <c r="K32" s="1559" t="s">
        <v>1864</v>
      </c>
      <c r="L32" s="1558"/>
      <c r="M32" s="1740">
        <v>1</v>
      </c>
      <c r="N32" s="1739">
        <v>2</v>
      </c>
      <c r="O32" s="1739">
        <v>2</v>
      </c>
      <c r="P32" s="1739">
        <v>1</v>
      </c>
      <c r="Q32" s="1739">
        <v>2</v>
      </c>
      <c r="R32" s="1739">
        <v>2</v>
      </c>
      <c r="S32" s="1739">
        <v>2</v>
      </c>
      <c r="T32" s="1739">
        <v>1</v>
      </c>
      <c r="U32" s="1756">
        <v>2</v>
      </c>
      <c r="V32" s="1739">
        <v>1</v>
      </c>
      <c r="W32" s="1739">
        <v>2</v>
      </c>
      <c r="X32" s="1739">
        <v>1</v>
      </c>
      <c r="Y32" s="1739">
        <v>2</v>
      </c>
      <c r="Z32" s="1739"/>
      <c r="AA32" s="1739"/>
      <c r="AB32" s="1739"/>
      <c r="AC32" s="1553"/>
      <c r="AD32" s="1109"/>
      <c r="AE32" s="1109"/>
      <c r="AF32" s="1109"/>
      <c r="AG32" s="1109"/>
      <c r="AH32" s="1109"/>
      <c r="AI32" s="1109"/>
      <c r="AJ32" s="1109"/>
      <c r="AK32" s="1109"/>
      <c r="AL32" s="1109"/>
      <c r="AM32" s="1111"/>
      <c r="AN32" s="1111"/>
      <c r="AO32" s="1553"/>
      <c r="AP32" s="1110"/>
      <c r="AQ32" s="1110"/>
      <c r="AR32" s="1111"/>
      <c r="AS32" s="1111"/>
      <c r="AT32" s="1111"/>
      <c r="AU32" s="1111"/>
      <c r="AV32" s="1111"/>
      <c r="AW32" s="1111"/>
      <c r="AX32" s="1111"/>
      <c r="AY32" s="1111"/>
      <c r="AZ32" s="1109"/>
      <c r="BA32" s="811"/>
      <c r="BB32" s="1149"/>
      <c r="BC32" s="1149"/>
      <c r="BD32" s="1217"/>
      <c r="BE32" s="1218"/>
      <c r="BF32" s="1218"/>
      <c r="BG32" s="1189"/>
      <c r="BH32" s="1190"/>
      <c r="BI32" s="1190"/>
      <c r="BJ32" s="1190"/>
      <c r="BK32" s="1190"/>
      <c r="BL32" s="1110"/>
      <c r="BO32" s="1720" t="s">
        <v>1817</v>
      </c>
      <c r="BP32" s="522" t="s">
        <v>1818</v>
      </c>
      <c r="BQ32" s="522" t="s">
        <v>1819</v>
      </c>
      <c r="BR32" s="522" t="s">
        <v>1820</v>
      </c>
    </row>
    <row r="33" spans="1:70" s="522" customFormat="1" ht="26">
      <c r="A33" s="1769"/>
      <c r="B33" s="1772"/>
      <c r="C33" s="735" t="s">
        <v>714</v>
      </c>
      <c r="D33" s="735" t="s">
        <v>976</v>
      </c>
      <c r="E33" s="1763">
        <v>4</v>
      </c>
      <c r="F33" s="1563">
        <v>4</v>
      </c>
      <c r="G33"/>
      <c r="H33" s="1559" t="s">
        <v>1240</v>
      </c>
      <c r="I33" s="1559" t="s">
        <v>1255</v>
      </c>
      <c r="J33" s="1559" t="s">
        <v>1281</v>
      </c>
      <c r="K33" s="1559" t="s">
        <v>1341</v>
      </c>
      <c r="L33" s="1558"/>
      <c r="M33" s="1740">
        <v>1</v>
      </c>
      <c r="N33" s="1739">
        <v>4</v>
      </c>
      <c r="O33" s="1739">
        <v>1</v>
      </c>
      <c r="P33" s="1739">
        <v>4</v>
      </c>
      <c r="Q33" s="1739">
        <v>3</v>
      </c>
      <c r="R33" s="1739">
        <v>2</v>
      </c>
      <c r="S33" s="1739">
        <v>3</v>
      </c>
      <c r="T33" s="1739">
        <v>4</v>
      </c>
      <c r="U33" s="1756">
        <v>4</v>
      </c>
      <c r="V33" s="1739">
        <v>4</v>
      </c>
      <c r="W33" s="1739">
        <v>2</v>
      </c>
      <c r="X33" s="1739">
        <v>3</v>
      </c>
      <c r="Y33" s="1739">
        <v>4</v>
      </c>
      <c r="Z33" s="1739"/>
      <c r="AA33" s="1739"/>
      <c r="AB33" s="1739"/>
      <c r="AC33" s="115"/>
      <c r="AD33" s="1109"/>
      <c r="AE33" s="1109"/>
      <c r="AF33" s="1109"/>
      <c r="AG33" s="1109"/>
      <c r="AH33" s="1109"/>
      <c r="AI33" s="1109"/>
      <c r="AJ33" s="1109"/>
      <c r="AK33" s="1109"/>
      <c r="AL33" s="1109"/>
      <c r="AM33" s="1111"/>
      <c r="AN33" s="1111"/>
      <c r="AO33" s="1252"/>
      <c r="AP33" s="1111"/>
      <c r="AQ33" s="1151" t="s">
        <v>1128</v>
      </c>
      <c r="AR33" s="1110"/>
      <c r="AS33" s="1110"/>
      <c r="AT33" s="1110"/>
      <c r="AU33" s="1110"/>
      <c r="AV33" s="1110"/>
      <c r="AW33" s="1110"/>
      <c r="AX33" s="1110"/>
      <c r="AY33" s="1110"/>
      <c r="AZ33" s="1109"/>
      <c r="BA33" s="811"/>
      <c r="BB33" s="1258"/>
      <c r="BC33" s="1124" t="s">
        <v>1125</v>
      </c>
      <c r="BD33" s="1113"/>
      <c r="BE33" s="1113"/>
      <c r="BF33" s="1112"/>
      <c r="BG33" s="1113"/>
      <c r="BH33" s="1132"/>
      <c r="BI33" s="1132"/>
      <c r="BJ33" s="1132"/>
      <c r="BK33" s="1132"/>
      <c r="BL33" s="1110"/>
      <c r="BO33" s="1247" t="s">
        <v>1240</v>
      </c>
      <c r="BP33" s="522" t="s">
        <v>1255</v>
      </c>
      <c r="BQ33" s="522" t="s">
        <v>1281</v>
      </c>
      <c r="BR33" s="522" t="s">
        <v>1341</v>
      </c>
    </row>
    <row r="34" spans="1:70" s="522" customFormat="1" ht="23">
      <c r="A34" s="1769"/>
      <c r="B34" s="1772" t="s">
        <v>1409</v>
      </c>
      <c r="C34" s="735" t="s">
        <v>715</v>
      </c>
      <c r="D34" s="735" t="s">
        <v>736</v>
      </c>
      <c r="E34" s="1763">
        <v>1</v>
      </c>
      <c r="F34" s="1563">
        <v>4</v>
      </c>
      <c r="G34"/>
      <c r="H34" s="1559" t="s">
        <v>1836</v>
      </c>
      <c r="I34" s="1559" t="s">
        <v>1837</v>
      </c>
      <c r="J34" s="1559" t="s">
        <v>1838</v>
      </c>
      <c r="K34" s="1559" t="s">
        <v>1839</v>
      </c>
      <c r="L34" s="1558"/>
      <c r="M34" s="1740">
        <v>1</v>
      </c>
      <c r="N34" s="1739">
        <v>4</v>
      </c>
      <c r="O34" s="1739">
        <v>1</v>
      </c>
      <c r="P34" s="1739">
        <v>1</v>
      </c>
      <c r="Q34" s="1739">
        <v>2</v>
      </c>
      <c r="R34" s="1739">
        <v>2</v>
      </c>
      <c r="S34" s="1739">
        <v>2</v>
      </c>
      <c r="T34" s="1739">
        <v>1</v>
      </c>
      <c r="U34" s="1756">
        <v>4</v>
      </c>
      <c r="V34" s="1739">
        <v>4</v>
      </c>
      <c r="W34" s="1739">
        <v>4</v>
      </c>
      <c r="X34" s="1739">
        <v>2</v>
      </c>
      <c r="Y34" s="1739">
        <v>2</v>
      </c>
      <c r="Z34" s="1739"/>
      <c r="AA34" s="1739"/>
      <c r="AB34" s="1739"/>
      <c r="AC34" s="115"/>
      <c r="AD34" s="1109"/>
      <c r="AE34" s="1109"/>
      <c r="AF34" s="1109"/>
      <c r="AG34" s="1109"/>
      <c r="AH34" s="1109"/>
      <c r="AI34" s="1109"/>
      <c r="AJ34" s="1109"/>
      <c r="AK34" s="1109"/>
      <c r="AL34" s="1109"/>
      <c r="AM34" s="1111"/>
      <c r="AN34" s="1111"/>
      <c r="AO34" s="1252"/>
      <c r="AP34" s="1255"/>
      <c r="AQ34" s="1255"/>
      <c r="AR34" s="1255"/>
      <c r="AS34" s="1255"/>
      <c r="AT34" s="1255"/>
      <c r="AU34" s="1255"/>
      <c r="AV34" s="1255"/>
      <c r="AW34" s="1255"/>
      <c r="AX34" s="1255"/>
      <c r="AY34" s="1255"/>
      <c r="AZ34" s="1109"/>
      <c r="BA34" s="811"/>
      <c r="BB34" s="1259"/>
      <c r="BC34" s="1259" t="s">
        <v>562</v>
      </c>
      <c r="BD34" s="1262" t="s">
        <v>1186</v>
      </c>
      <c r="BE34" s="1107"/>
      <c r="BF34" s="1107"/>
      <c r="BG34" s="1107"/>
      <c r="BH34" s="1263"/>
      <c r="BI34" s="1263"/>
      <c r="BJ34" s="1263"/>
      <c r="BK34" s="1263"/>
      <c r="BL34" s="1110"/>
      <c r="BO34" s="1247" t="s">
        <v>1840</v>
      </c>
      <c r="BP34" s="522" t="s">
        <v>1841</v>
      </c>
      <c r="BQ34" s="522" t="s">
        <v>1842</v>
      </c>
      <c r="BR34" s="522" t="s">
        <v>1843</v>
      </c>
    </row>
    <row r="35" spans="1:70" s="581" customFormat="1" ht="26">
      <c r="A35" s="1769"/>
      <c r="B35" s="1772"/>
      <c r="C35" s="735" t="s">
        <v>738</v>
      </c>
      <c r="D35" s="735" t="s">
        <v>748</v>
      </c>
      <c r="E35" s="1763">
        <v>1</v>
      </c>
      <c r="F35" s="1563">
        <v>4</v>
      </c>
      <c r="G35"/>
      <c r="H35" s="1559" t="s">
        <v>1821</v>
      </c>
      <c r="I35" s="1559" t="s">
        <v>1822</v>
      </c>
      <c r="J35" s="1559" t="s">
        <v>1823</v>
      </c>
      <c r="K35" s="1559" t="s">
        <v>1824</v>
      </c>
      <c r="L35" s="1558"/>
      <c r="M35" s="1740">
        <v>1</v>
      </c>
      <c r="N35" s="1739">
        <v>4</v>
      </c>
      <c r="O35" s="1739">
        <v>1</v>
      </c>
      <c r="P35" s="1739">
        <v>1</v>
      </c>
      <c r="Q35" s="1739">
        <v>2</v>
      </c>
      <c r="R35" s="1739">
        <v>2</v>
      </c>
      <c r="S35" s="1739">
        <v>2</v>
      </c>
      <c r="T35" s="1739">
        <v>1</v>
      </c>
      <c r="U35" s="1756">
        <v>4</v>
      </c>
      <c r="V35" s="1739">
        <v>3</v>
      </c>
      <c r="W35" s="1739">
        <v>4</v>
      </c>
      <c r="X35" s="1739">
        <v>3</v>
      </c>
      <c r="Y35" s="1739">
        <v>4</v>
      </c>
      <c r="Z35" s="1739"/>
      <c r="AA35" s="1739"/>
      <c r="AB35" s="1739"/>
      <c r="AC35"/>
      <c r="AD35" s="1109"/>
      <c r="AE35" s="1109"/>
      <c r="AF35" s="1109"/>
      <c r="AG35" s="1109"/>
      <c r="AH35" s="1109"/>
      <c r="AI35" s="1109"/>
      <c r="AJ35" s="1109"/>
      <c r="AK35" s="1109"/>
      <c r="AL35" s="1109"/>
      <c r="AM35" s="1110"/>
      <c r="AN35" s="1110"/>
      <c r="AO35" s="1252"/>
      <c r="AP35" s="1217"/>
      <c r="AQ35" s="1114" t="s">
        <v>185</v>
      </c>
      <c r="AR35" s="1114"/>
      <c r="AS35" s="1097"/>
      <c r="AT35" s="1097"/>
      <c r="AU35" s="1097"/>
      <c r="AV35" s="1136">
        <v>2007</v>
      </c>
      <c r="AW35" s="1136">
        <v>2050</v>
      </c>
      <c r="AX35" s="1198" t="s">
        <v>1197</v>
      </c>
      <c r="AY35" s="1198"/>
      <c r="AZ35" s="1109"/>
      <c r="BA35" s="811"/>
      <c r="BB35" s="1148"/>
      <c r="BC35" s="1148" t="s">
        <v>653</v>
      </c>
      <c r="BD35" s="1149" t="s">
        <v>1127</v>
      </c>
      <c r="BE35" s="1035"/>
      <c r="BF35" s="1035"/>
      <c r="BG35" s="1035"/>
      <c r="BH35" s="1150"/>
      <c r="BI35" s="1150"/>
      <c r="BJ35" s="1150"/>
      <c r="BK35" s="1150"/>
      <c r="BL35" s="1110"/>
      <c r="BO35" s="1179" t="s">
        <v>1821</v>
      </c>
      <c r="BP35" s="1179" t="s">
        <v>1822</v>
      </c>
      <c r="BQ35" s="1179" t="s">
        <v>1823</v>
      </c>
      <c r="BR35" s="1179" t="s">
        <v>1824</v>
      </c>
    </row>
    <row r="36" spans="1:70" s="581" customFormat="1" ht="15">
      <c r="A36" s="1769" t="s">
        <v>645</v>
      </c>
      <c r="B36" s="1772" t="s">
        <v>1410</v>
      </c>
      <c r="C36" s="735" t="s">
        <v>653</v>
      </c>
      <c r="D36" s="735" t="s">
        <v>925</v>
      </c>
      <c r="E36" s="1763"/>
      <c r="F36" s="1563"/>
      <c r="G36"/>
      <c r="H36" s="1559"/>
      <c r="I36" s="1559"/>
      <c r="J36" s="1559"/>
      <c r="K36" s="1559"/>
      <c r="L36" s="1558"/>
      <c r="M36" s="1740"/>
      <c r="N36" s="1739"/>
      <c r="O36" s="1739"/>
      <c r="P36" s="1739"/>
      <c r="Q36" s="1739"/>
      <c r="R36" s="1739"/>
      <c r="S36" s="1739"/>
      <c r="T36" s="1739"/>
      <c r="U36" s="1756"/>
      <c r="V36" s="1739"/>
      <c r="W36" s="1739"/>
      <c r="X36" s="1739"/>
      <c r="Y36" s="1739"/>
      <c r="Z36" s="1739"/>
      <c r="AA36" s="1739"/>
      <c r="AB36" s="1739"/>
      <c r="AC36"/>
      <c r="AD36" s="1109"/>
      <c r="AE36" s="1109"/>
      <c r="AF36" s="1109"/>
      <c r="AG36" s="1109"/>
      <c r="AH36" s="1109"/>
      <c r="AI36" s="1109"/>
      <c r="AJ36" s="1109"/>
      <c r="AK36" s="1109"/>
      <c r="AL36" s="1109"/>
      <c r="AM36" s="1110"/>
      <c r="AN36" s="1110"/>
      <c r="AO36" s="1252"/>
      <c r="AP36" s="1148"/>
      <c r="AQ36" s="1115" t="s">
        <v>68</v>
      </c>
      <c r="AR36" s="1113" t="str">
        <f>INDEX(Workstreams[Workstream], MATCH($AQ36, Workstreams[Code], 0))</f>
        <v>Hydrocarbon fuel power generation</v>
      </c>
      <c r="AS36" s="1110"/>
      <c r="AT36" s="1112"/>
      <c r="AU36" s="1113"/>
      <c r="AV36" s="1196"/>
      <c r="AW36" s="1196"/>
      <c r="AX36" s="1199"/>
      <c r="AY36" s="1109"/>
      <c r="AZ36" s="1109"/>
      <c r="BA36" s="811"/>
      <c r="BB36" s="1148"/>
      <c r="BC36" s="1148" t="s">
        <v>726</v>
      </c>
      <c r="BD36" s="1149" t="s">
        <v>1126</v>
      </c>
      <c r="BE36" s="1035"/>
      <c r="BF36" s="1035"/>
      <c r="BG36" s="1035"/>
      <c r="BH36" s="1150"/>
      <c r="BI36" s="1150"/>
      <c r="BJ36" s="1150"/>
      <c r="BK36" s="1150"/>
      <c r="BL36" s="1110"/>
      <c r="BO36" s="1247"/>
      <c r="BP36" s="522"/>
      <c r="BQ36" s="522"/>
      <c r="BR36" s="1245"/>
    </row>
    <row r="37" spans="1:70" s="581" customFormat="1" ht="26">
      <c r="A37" s="1769"/>
      <c r="B37" s="1772"/>
      <c r="C37" s="1156"/>
      <c r="D37" s="1157" t="s">
        <v>1358</v>
      </c>
      <c r="E37" s="1765">
        <v>4</v>
      </c>
      <c r="F37" s="1564">
        <v>4</v>
      </c>
      <c r="G37" s="240"/>
      <c r="H37" s="1559" t="s">
        <v>1222</v>
      </c>
      <c r="I37" s="1559" t="s">
        <v>1223</v>
      </c>
      <c r="J37" s="1559" t="s">
        <v>1224</v>
      </c>
      <c r="K37" s="1559" t="s">
        <v>1342</v>
      </c>
      <c r="L37" s="240"/>
      <c r="M37" s="1761">
        <v>1</v>
      </c>
      <c r="N37" s="1741">
        <v>4</v>
      </c>
      <c r="O37" s="1741">
        <v>1</v>
      </c>
      <c r="P37" s="1739">
        <v>4</v>
      </c>
      <c r="Q37" s="1741">
        <v>4</v>
      </c>
      <c r="R37" s="1739">
        <v>2</v>
      </c>
      <c r="S37" s="1741">
        <v>3</v>
      </c>
      <c r="T37" s="1739">
        <v>4</v>
      </c>
      <c r="U37" s="1756">
        <v>3</v>
      </c>
      <c r="V37" s="1739">
        <v>3</v>
      </c>
      <c r="W37" s="1739">
        <v>4</v>
      </c>
      <c r="X37" s="1739">
        <v>2</v>
      </c>
      <c r="Y37" s="1739">
        <v>2</v>
      </c>
      <c r="Z37" s="1739"/>
      <c r="AA37" s="1739"/>
      <c r="AB37" s="1739"/>
      <c r="AC37"/>
      <c r="AD37" s="1109"/>
      <c r="AE37" s="1109"/>
      <c r="AF37" s="1109"/>
      <c r="AG37" s="1109"/>
      <c r="AH37" s="1109"/>
      <c r="AI37" s="1109"/>
      <c r="AJ37" s="1109"/>
      <c r="AK37" s="1109"/>
      <c r="AL37" s="1109"/>
      <c r="AM37" s="1110"/>
      <c r="AN37" s="1110"/>
      <c r="AO37" s="1252"/>
      <c r="AP37" s="1148"/>
      <c r="AQ37" s="1115" t="s">
        <v>562</v>
      </c>
      <c r="AR37" s="1113" t="str">
        <f>INDEX(Workstreams[Workstream], MATCH($AQ37, Workstreams[Code], 0))</f>
        <v>Bioenergy</v>
      </c>
      <c r="AS37" s="1110"/>
      <c r="AT37" s="1112"/>
      <c r="AU37" s="1113"/>
      <c r="AV37" s="1196"/>
      <c r="AW37" s="1196"/>
      <c r="AX37" s="1199"/>
      <c r="AY37" s="1109"/>
      <c r="AZ37" s="1109"/>
      <c r="BA37" s="811"/>
      <c r="BB37" s="1148"/>
      <c r="BC37" s="1148" t="s">
        <v>569</v>
      </c>
      <c r="BD37" s="1149" t="s">
        <v>1313</v>
      </c>
      <c r="BE37" s="1035"/>
      <c r="BF37" s="1035"/>
      <c r="BG37" s="1035"/>
      <c r="BH37" s="1150"/>
      <c r="BI37" s="1150"/>
      <c r="BJ37" s="1150"/>
      <c r="BK37" s="1150"/>
      <c r="BL37" s="1110"/>
      <c r="BO37" s="1247" t="s">
        <v>1222</v>
      </c>
      <c r="BP37" s="522" t="s">
        <v>1223</v>
      </c>
      <c r="BQ37" s="522" t="s">
        <v>1224</v>
      </c>
      <c r="BR37" s="522" t="s">
        <v>1342</v>
      </c>
    </row>
    <row r="38" spans="1:70" s="581" customFormat="1" ht="26">
      <c r="A38" s="1769"/>
      <c r="B38" s="1772"/>
      <c r="C38" s="1156"/>
      <c r="D38" s="1157" t="s">
        <v>1359</v>
      </c>
      <c r="E38" s="1765">
        <v>3</v>
      </c>
      <c r="F38" s="1564">
        <v>4</v>
      </c>
      <c r="G38" s="240"/>
      <c r="H38" s="1559" t="s">
        <v>1894</v>
      </c>
      <c r="I38" s="1559" t="s">
        <v>1895</v>
      </c>
      <c r="J38" s="1559" t="s">
        <v>1896</v>
      </c>
      <c r="K38" s="1559" t="s">
        <v>1897</v>
      </c>
      <c r="L38" s="240"/>
      <c r="M38" s="1761">
        <v>1</v>
      </c>
      <c r="N38" s="1741">
        <v>4</v>
      </c>
      <c r="O38" s="1741">
        <v>1</v>
      </c>
      <c r="P38" s="1739">
        <v>3</v>
      </c>
      <c r="Q38" s="1741">
        <v>4</v>
      </c>
      <c r="R38" s="1739">
        <v>3</v>
      </c>
      <c r="S38" s="1741">
        <v>3</v>
      </c>
      <c r="T38" s="1739">
        <v>3</v>
      </c>
      <c r="U38" s="1756">
        <v>4</v>
      </c>
      <c r="V38" s="1739">
        <v>4</v>
      </c>
      <c r="W38" s="1739">
        <v>2</v>
      </c>
      <c r="X38" s="1739">
        <v>3</v>
      </c>
      <c r="Y38" s="1739">
        <v>4</v>
      </c>
      <c r="Z38" s="1739"/>
      <c r="AA38" s="1739"/>
      <c r="AB38" s="1739"/>
      <c r="AC38"/>
      <c r="AD38" s="1109"/>
      <c r="AE38" s="1109"/>
      <c r="AF38" s="1109"/>
      <c r="AG38" s="1109"/>
      <c r="AH38" s="1109"/>
      <c r="AI38" s="1109"/>
      <c r="AJ38" s="1109"/>
      <c r="AK38" s="1109"/>
      <c r="AL38" s="1109"/>
      <c r="AM38" s="1110"/>
      <c r="AN38" s="1110"/>
      <c r="AO38" s="1252"/>
      <c r="AP38" s="1148"/>
      <c r="AQ38" s="1115" t="s">
        <v>566</v>
      </c>
      <c r="AR38" s="1113" t="str">
        <f>INDEX(Workstreams[Workstream], MATCH($AQ38, Workstreams[Code], 0))</f>
        <v>Geosequestration</v>
      </c>
      <c r="AS38" s="1110"/>
      <c r="AT38" s="1112"/>
      <c r="AU38" s="1113"/>
      <c r="AV38" s="1196"/>
      <c r="AW38" s="1196"/>
      <c r="AX38" s="1199"/>
      <c r="AY38" s="1109"/>
      <c r="AZ38" s="1109"/>
      <c r="BA38" s="811"/>
      <c r="BB38" s="1148"/>
      <c r="BC38" s="1148" t="s">
        <v>619</v>
      </c>
      <c r="BD38" s="1149" t="s">
        <v>1314</v>
      </c>
      <c r="BE38" s="1035"/>
      <c r="BF38" s="1035"/>
      <c r="BG38" s="1035"/>
      <c r="BH38" s="1150"/>
      <c r="BI38" s="1150"/>
      <c r="BJ38" s="1150"/>
      <c r="BK38" s="1150"/>
      <c r="BL38" s="1110"/>
      <c r="BO38" s="1247" t="s">
        <v>1894</v>
      </c>
      <c r="BP38" s="522" t="s">
        <v>1895</v>
      </c>
      <c r="BQ38" s="522" t="s">
        <v>1896</v>
      </c>
      <c r="BR38" s="522" t="s">
        <v>1897</v>
      </c>
    </row>
    <row r="39" spans="1:70" s="581" customFormat="1" ht="26">
      <c r="A39" s="1769"/>
      <c r="B39" s="1772"/>
      <c r="C39" s="1156"/>
      <c r="D39" s="1157" t="s">
        <v>1360</v>
      </c>
      <c r="E39" s="1765">
        <v>3</v>
      </c>
      <c r="F39" s="1564" t="s">
        <v>984</v>
      </c>
      <c r="G39" s="240"/>
      <c r="H39" s="1559" t="s">
        <v>1280</v>
      </c>
      <c r="I39" s="1559" t="s">
        <v>1516</v>
      </c>
      <c r="J39" s="1559" t="s">
        <v>1517</v>
      </c>
      <c r="K39" s="1559" t="s">
        <v>1518</v>
      </c>
      <c r="L39" s="240"/>
      <c r="M39" s="1761">
        <v>1</v>
      </c>
      <c r="N39" s="1741">
        <v>4</v>
      </c>
      <c r="O39" s="1741">
        <v>1</v>
      </c>
      <c r="P39" s="1739">
        <v>3</v>
      </c>
      <c r="Q39" s="1741">
        <v>4</v>
      </c>
      <c r="R39" s="1739">
        <v>3</v>
      </c>
      <c r="S39" s="1741">
        <v>3</v>
      </c>
      <c r="T39" s="1739">
        <v>4</v>
      </c>
      <c r="U39" s="1756">
        <v>3</v>
      </c>
      <c r="V39" s="1739">
        <v>3</v>
      </c>
      <c r="W39" s="1739">
        <v>3</v>
      </c>
      <c r="X39" s="1739">
        <v>4</v>
      </c>
      <c r="Y39" s="1739">
        <v>4</v>
      </c>
      <c r="Z39" s="1739"/>
      <c r="AA39" s="1739"/>
      <c r="AB39" s="1739"/>
      <c r="AC39" s="115"/>
      <c r="AD39" s="1109"/>
      <c r="AE39" s="1109"/>
      <c r="AF39" s="1109"/>
      <c r="AG39" s="1109"/>
      <c r="AH39" s="1109"/>
      <c r="AI39" s="1109"/>
      <c r="AJ39" s="1109"/>
      <c r="AK39" s="1109"/>
      <c r="AL39" s="1109"/>
      <c r="AM39" s="1110"/>
      <c r="AN39" s="1110"/>
      <c r="AO39" s="1252"/>
      <c r="AP39" s="1148"/>
      <c r="AQ39" s="1115" t="s">
        <v>563</v>
      </c>
      <c r="AR39" s="1113" t="str">
        <f>INDEX(Workstreams[Workstream], MATCH($AQ39, Workstreams[Code], 0))</f>
        <v>Agriculture &amp; waste</v>
      </c>
      <c r="AS39" s="1110"/>
      <c r="AT39" s="1112"/>
      <c r="AU39" s="1113"/>
      <c r="AV39" s="1196"/>
      <c r="AW39" s="1196"/>
      <c r="AX39" s="1199"/>
      <c r="AY39" s="1109"/>
      <c r="AZ39" s="1109"/>
      <c r="BA39" s="811"/>
      <c r="BB39" s="1148"/>
      <c r="BC39" s="1148" t="s">
        <v>695</v>
      </c>
      <c r="BD39" s="1149" t="s">
        <v>1315</v>
      </c>
      <c r="BE39" s="1035"/>
      <c r="BF39" s="1035"/>
      <c r="BG39" s="1035"/>
      <c r="BH39" s="1150"/>
      <c r="BI39" s="1150"/>
      <c r="BJ39" s="1150"/>
      <c r="BK39" s="1150"/>
      <c r="BL39" s="1110"/>
      <c r="BO39" s="522" t="s">
        <v>1280</v>
      </c>
      <c r="BP39" s="522" t="s">
        <v>1516</v>
      </c>
      <c r="BQ39" s="522" t="s">
        <v>1517</v>
      </c>
      <c r="BR39" s="522" t="s">
        <v>1518</v>
      </c>
    </row>
    <row r="40" spans="1:70" s="581" customFormat="1" ht="26">
      <c r="A40" s="1769"/>
      <c r="B40" s="1772"/>
      <c r="C40" s="1156"/>
      <c r="D40" s="1157" t="s">
        <v>1361</v>
      </c>
      <c r="E40" s="1765">
        <v>3</v>
      </c>
      <c r="F40" s="1564" t="s">
        <v>984</v>
      </c>
      <c r="G40" s="240"/>
      <c r="H40" s="1559" t="s">
        <v>1810</v>
      </c>
      <c r="I40" s="1559" t="s">
        <v>1811</v>
      </c>
      <c r="J40" s="1559" t="s">
        <v>1227</v>
      </c>
      <c r="K40" s="1559" t="s">
        <v>1343</v>
      </c>
      <c r="L40" s="240"/>
      <c r="M40" s="1761">
        <v>1</v>
      </c>
      <c r="N40" s="1741">
        <v>4</v>
      </c>
      <c r="O40" s="1741">
        <v>1</v>
      </c>
      <c r="P40" s="1739">
        <v>3</v>
      </c>
      <c r="Q40" s="1741">
        <v>4</v>
      </c>
      <c r="R40" s="1739">
        <v>3</v>
      </c>
      <c r="S40" s="1741">
        <v>2</v>
      </c>
      <c r="T40" s="1739">
        <v>1</v>
      </c>
      <c r="U40" s="1756">
        <v>3</v>
      </c>
      <c r="V40" s="1739">
        <v>3</v>
      </c>
      <c r="W40" s="1739">
        <v>4</v>
      </c>
      <c r="X40" s="1739">
        <v>1</v>
      </c>
      <c r="Y40" s="1739">
        <v>1</v>
      </c>
      <c r="Z40" s="1739"/>
      <c r="AA40" s="1739"/>
      <c r="AB40" s="1739"/>
      <c r="AC40"/>
      <c r="AD40" s="1109"/>
      <c r="AE40" s="1109"/>
      <c r="AF40" s="1109"/>
      <c r="AG40" s="1109"/>
      <c r="AH40" s="1109"/>
      <c r="AI40" s="1109"/>
      <c r="AJ40" s="1109"/>
      <c r="AK40" s="1109"/>
      <c r="AL40" s="1109"/>
      <c r="AM40" s="1110"/>
      <c r="AN40" s="1110"/>
      <c r="AO40" s="1252"/>
      <c r="AP40" s="1148"/>
      <c r="AQ40" s="1115" t="s">
        <v>567</v>
      </c>
      <c r="AR40" s="1113" t="str">
        <f>INDEX(Workstreams[Workstream], MATCH($AQ40, Workstreams[Code], 0))</f>
        <v>Heating</v>
      </c>
      <c r="AS40" s="1110"/>
      <c r="AT40" s="1112"/>
      <c r="AU40" s="1113"/>
      <c r="AV40" s="1196"/>
      <c r="AW40" s="1196"/>
      <c r="AX40" s="1199"/>
      <c r="AY40" s="1109"/>
      <c r="AZ40" s="1109"/>
      <c r="BA40" s="811"/>
      <c r="BB40" s="1106"/>
      <c r="BC40" s="1111"/>
      <c r="BD40" s="1111"/>
      <c r="BE40" s="1111"/>
      <c r="BF40" s="1111"/>
      <c r="BG40" s="1111"/>
      <c r="BH40" s="1111"/>
      <c r="BI40" s="1111"/>
      <c r="BJ40" s="1111"/>
      <c r="BK40" s="1111"/>
      <c r="BL40" s="1110"/>
      <c r="BO40" s="1247" t="s">
        <v>1225</v>
      </c>
      <c r="BP40" s="522" t="s">
        <v>1226</v>
      </c>
      <c r="BQ40" s="1147" t="s">
        <v>1227</v>
      </c>
      <c r="BR40" s="522" t="s">
        <v>1343</v>
      </c>
    </row>
    <row r="41" spans="1:70" s="581" customFormat="1" ht="15">
      <c r="A41" s="1769"/>
      <c r="B41" s="1772" t="s">
        <v>1411</v>
      </c>
      <c r="C41" s="735" t="s">
        <v>731</v>
      </c>
      <c r="D41" s="735" t="s">
        <v>733</v>
      </c>
      <c r="E41" s="1763"/>
      <c r="F41" s="1563"/>
      <c r="G41"/>
      <c r="H41" s="1560"/>
      <c r="I41" s="1560"/>
      <c r="J41" s="1560"/>
      <c r="K41" s="1560"/>
      <c r="L41" s="1558"/>
      <c r="M41" s="1740"/>
      <c r="N41" s="1739"/>
      <c r="O41" s="1739"/>
      <c r="P41" s="1739"/>
      <c r="Q41" s="1739"/>
      <c r="R41" s="1739"/>
      <c r="S41" s="1739"/>
      <c r="T41" s="1739"/>
      <c r="U41" s="1756"/>
      <c r="V41" s="1739"/>
      <c r="W41" s="1739"/>
      <c r="X41" s="1739"/>
      <c r="Y41" s="1739"/>
      <c r="Z41" s="1739"/>
      <c r="AA41" s="1739"/>
      <c r="AB41" s="1739"/>
      <c r="AC41"/>
      <c r="AD41" s="1109"/>
      <c r="AE41" s="1109"/>
      <c r="AF41" s="1109"/>
      <c r="AG41" s="1109"/>
      <c r="AH41" s="1109"/>
      <c r="AI41" s="1109"/>
      <c r="AJ41" s="1109"/>
      <c r="AK41" s="1109"/>
      <c r="AL41" s="1109"/>
      <c r="AM41" s="1110"/>
      <c r="AN41" s="1110"/>
      <c r="AO41" s="1252"/>
      <c r="AP41" s="1148"/>
      <c r="AQ41" s="1115" t="s">
        <v>568</v>
      </c>
      <c r="AR41" s="1113" t="str">
        <f>INDEX(Workstreams[Workstream], MATCH($AQ41, Workstreams[Code], 0))</f>
        <v>Lighting &amp; appliances</v>
      </c>
      <c r="AS41" s="1110"/>
      <c r="AT41" s="1112"/>
      <c r="AU41" s="1113"/>
      <c r="AV41" s="1196"/>
      <c r="AW41" s="1196"/>
      <c r="AX41" s="1199"/>
      <c r="AY41" s="1109"/>
      <c r="AZ41" s="1109"/>
      <c r="BA41" s="811"/>
      <c r="BB41" s="1258"/>
      <c r="BC41" s="1124" t="s">
        <v>1090</v>
      </c>
      <c r="BD41" s="1113"/>
      <c r="BE41" s="1113"/>
      <c r="BF41" s="1112"/>
      <c r="BG41" s="1113"/>
      <c r="BH41" s="1132"/>
      <c r="BI41" s="1132"/>
      <c r="BJ41" s="1132"/>
      <c r="BK41" s="1132"/>
      <c r="BL41" s="1111"/>
      <c r="BO41" s="1249"/>
    </row>
    <row r="42" spans="1:70" s="522" customFormat="1" ht="26">
      <c r="A42" s="1769"/>
      <c r="B42" s="1772"/>
      <c r="C42" s="1157"/>
      <c r="D42" s="1157" t="s">
        <v>1495</v>
      </c>
      <c r="E42" s="1763">
        <v>4</v>
      </c>
      <c r="F42" s="1564">
        <v>4</v>
      </c>
      <c r="G42" s="115"/>
      <c r="H42" s="1559" t="s">
        <v>1235</v>
      </c>
      <c r="I42" s="1559" t="s">
        <v>1236</v>
      </c>
      <c r="J42" s="1559" t="s">
        <v>1237</v>
      </c>
      <c r="K42" s="1559" t="s">
        <v>1345</v>
      </c>
      <c r="L42" s="1558"/>
      <c r="M42" s="1740">
        <v>1</v>
      </c>
      <c r="N42" s="1739">
        <v>4</v>
      </c>
      <c r="O42" s="1739">
        <v>1</v>
      </c>
      <c r="P42" s="1739">
        <v>4</v>
      </c>
      <c r="Q42" s="1739">
        <v>4</v>
      </c>
      <c r="R42" s="1739">
        <v>2</v>
      </c>
      <c r="S42" s="1739">
        <v>3</v>
      </c>
      <c r="T42" s="1739">
        <v>4</v>
      </c>
      <c r="U42" s="1756">
        <v>4</v>
      </c>
      <c r="V42" s="1739">
        <v>4</v>
      </c>
      <c r="W42" s="1739">
        <v>4</v>
      </c>
      <c r="X42" s="1739">
        <v>2</v>
      </c>
      <c r="Y42" s="1739">
        <v>4</v>
      </c>
      <c r="Z42" s="1739"/>
      <c r="AA42" s="1739"/>
      <c r="AB42" s="1739"/>
      <c r="AC42" s="115"/>
      <c r="AD42" s="1109"/>
      <c r="AE42" s="1109"/>
      <c r="AF42" s="1109"/>
      <c r="AG42" s="1109"/>
      <c r="AH42" s="1109"/>
      <c r="AI42" s="1109"/>
      <c r="AJ42" s="1109"/>
      <c r="AK42" s="1109"/>
      <c r="AL42" s="1109"/>
      <c r="AM42" s="1110"/>
      <c r="AN42" s="1110"/>
      <c r="AO42" s="1252"/>
      <c r="AP42" s="1148"/>
      <c r="AQ42" s="1115" t="s">
        <v>569</v>
      </c>
      <c r="AR42" s="1113" t="str">
        <f>INDEX(Workstreams[Workstream], MATCH($AQ42, Workstreams[Code], 0))</f>
        <v>Industry</v>
      </c>
      <c r="AS42" s="1110"/>
      <c r="AT42" s="1112"/>
      <c r="AU42" s="1113"/>
      <c r="AV42" s="1196"/>
      <c r="AW42" s="1196"/>
      <c r="AX42" s="1199"/>
      <c r="AY42" s="1109"/>
      <c r="AZ42" s="1109"/>
      <c r="BA42" s="811"/>
      <c r="BB42" s="1259"/>
      <c r="BC42" s="1259" t="s">
        <v>562</v>
      </c>
      <c r="BD42" s="1262" t="s">
        <v>1097</v>
      </c>
      <c r="BE42" s="1106"/>
      <c r="BF42" s="1264"/>
      <c r="BG42" s="1262"/>
      <c r="BH42" s="1263"/>
      <c r="BI42" s="1263"/>
      <c r="BJ42" s="1263"/>
      <c r="BK42" s="1263"/>
      <c r="BL42" s="1110"/>
      <c r="BO42" s="1247" t="s">
        <v>1235</v>
      </c>
      <c r="BP42" s="522" t="s">
        <v>1236</v>
      </c>
      <c r="BQ42" s="522" t="s">
        <v>1237</v>
      </c>
      <c r="BR42" s="522" t="s">
        <v>1345</v>
      </c>
    </row>
    <row r="43" spans="1:70" s="522" customFormat="1" ht="26">
      <c r="A43" s="1769"/>
      <c r="B43" s="1772"/>
      <c r="C43" s="1157"/>
      <c r="D43" s="1157" t="s">
        <v>1364</v>
      </c>
      <c r="E43" s="1763">
        <v>2</v>
      </c>
      <c r="F43" s="1564" t="s">
        <v>982</v>
      </c>
      <c r="G43" s="115"/>
      <c r="H43" s="1559" t="s">
        <v>1474</v>
      </c>
      <c r="I43" s="1559" t="s">
        <v>1475</v>
      </c>
      <c r="J43" s="1559" t="s">
        <v>1419</v>
      </c>
      <c r="K43" s="1559" t="s">
        <v>1419</v>
      </c>
      <c r="L43" s="1558"/>
      <c r="M43" s="1740">
        <v>1</v>
      </c>
      <c r="N43" s="1739">
        <v>2</v>
      </c>
      <c r="O43" s="1739">
        <v>1</v>
      </c>
      <c r="P43" s="1739">
        <v>2</v>
      </c>
      <c r="Q43" s="1739">
        <v>2</v>
      </c>
      <c r="R43" s="1739">
        <v>2</v>
      </c>
      <c r="S43" s="1739">
        <v>1</v>
      </c>
      <c r="T43" s="1739">
        <v>1</v>
      </c>
      <c r="U43" s="1756">
        <v>2</v>
      </c>
      <c r="V43" s="1739">
        <v>1</v>
      </c>
      <c r="W43" s="1739">
        <v>2</v>
      </c>
      <c r="X43" s="1739">
        <v>1</v>
      </c>
      <c r="Y43" s="1739">
        <v>2</v>
      </c>
      <c r="Z43" s="1739"/>
      <c r="AA43" s="1739"/>
      <c r="AB43" s="1739"/>
      <c r="AC43" s="115"/>
      <c r="AD43" s="1110"/>
      <c r="AE43" s="1110"/>
      <c r="AF43" s="1110"/>
      <c r="AG43" s="1110"/>
      <c r="AH43" s="1110"/>
      <c r="AI43" s="1110"/>
      <c r="AJ43" s="1112"/>
      <c r="AK43" s="1113"/>
      <c r="AL43" s="1113"/>
      <c r="AM43" s="1110"/>
      <c r="AN43" s="1110"/>
      <c r="AO43" s="1252"/>
      <c r="AP43" s="1148"/>
      <c r="AQ43" s="1115"/>
      <c r="AR43" s="1113"/>
      <c r="AS43" s="1110"/>
      <c r="AT43" s="1112"/>
      <c r="AU43" s="1113"/>
      <c r="AV43" s="1196"/>
      <c r="AW43" s="1196"/>
      <c r="AX43" s="1199"/>
      <c r="AY43" s="1109"/>
      <c r="AZ43" s="1109"/>
      <c r="BA43" s="811"/>
      <c r="BB43" s="1148"/>
      <c r="BC43" s="1148" t="s">
        <v>570</v>
      </c>
      <c r="BD43" s="1149" t="s">
        <v>1095</v>
      </c>
      <c r="BE43" s="1018"/>
      <c r="BF43" s="1186"/>
      <c r="BG43" s="1149"/>
      <c r="BH43" s="1150"/>
      <c r="BI43" s="1150"/>
      <c r="BJ43" s="1150"/>
      <c r="BK43" s="1150"/>
      <c r="BL43" s="1110"/>
      <c r="BO43" s="522" t="s">
        <v>1474</v>
      </c>
      <c r="BP43" s="522" t="s">
        <v>1475</v>
      </c>
      <c r="BQ43" s="522" t="s">
        <v>1475</v>
      </c>
      <c r="BR43" s="522" t="s">
        <v>1475</v>
      </c>
    </row>
    <row r="44" spans="1:70" s="522" customFormat="1" ht="15">
      <c r="A44" s="1769" t="s">
        <v>1412</v>
      </c>
      <c r="B44" s="1771" t="s">
        <v>39</v>
      </c>
      <c r="C44" s="735" t="s">
        <v>699</v>
      </c>
      <c r="D44" s="735" t="s">
        <v>426</v>
      </c>
      <c r="E44" s="1763"/>
      <c r="F44" s="1563"/>
      <c r="G44"/>
      <c r="H44" s="1560"/>
      <c r="I44" s="1560"/>
      <c r="J44" s="1560"/>
      <c r="K44" s="1560"/>
      <c r="L44" s="1558"/>
      <c r="M44" s="1740"/>
      <c r="N44" s="1739"/>
      <c r="O44" s="1739"/>
      <c r="P44" s="1739"/>
      <c r="Q44" s="1739"/>
      <c r="R44" s="1739"/>
      <c r="S44" s="1739"/>
      <c r="T44" s="1739"/>
      <c r="U44" s="1756"/>
      <c r="V44" s="1739"/>
      <c r="W44" s="1739"/>
      <c r="X44" s="1739"/>
      <c r="Y44" s="1739"/>
      <c r="Z44" s="1739"/>
      <c r="AA44" s="1739"/>
      <c r="AB44" s="1739"/>
      <c r="AD44" s="1110"/>
      <c r="AE44" s="1110"/>
      <c r="AF44" s="1110"/>
      <c r="AG44" s="1110"/>
      <c r="AH44" s="1110"/>
      <c r="AI44" s="1110"/>
      <c r="AJ44" s="1112"/>
      <c r="AK44" s="1113"/>
      <c r="AL44" s="1113"/>
      <c r="AM44" s="1110"/>
      <c r="AN44" s="1110"/>
      <c r="AO44" s="1252"/>
      <c r="AP44" s="1148"/>
      <c r="AQ44" s="1115" t="s">
        <v>570</v>
      </c>
      <c r="AR44" s="1113" t="str">
        <f>INDEX(Workstreams[Workstream], MATCH($AQ44, Workstreams[Code], 0))</f>
        <v>Transport</v>
      </c>
      <c r="AS44" s="1110"/>
      <c r="AT44" s="1112"/>
      <c r="AU44" s="1113"/>
      <c r="AV44" s="1196"/>
      <c r="AW44" s="1196"/>
      <c r="AX44" s="1199"/>
      <c r="AY44" s="1110"/>
      <c r="AZ44" s="1110"/>
      <c r="BA44" s="811"/>
      <c r="BB44" s="1148"/>
      <c r="BC44" s="1148" t="s">
        <v>569</v>
      </c>
      <c r="BD44" s="1149" t="s">
        <v>1099</v>
      </c>
      <c r="BE44" s="1018"/>
      <c r="BF44" s="1186"/>
      <c r="BG44" s="1149"/>
      <c r="BH44" s="1150"/>
      <c r="BI44" s="1150"/>
      <c r="BJ44" s="1150"/>
      <c r="BK44" s="1150"/>
      <c r="BL44" s="1111"/>
      <c r="BO44" s="1193"/>
      <c r="BP44" s="1245"/>
      <c r="BQ44" s="1245"/>
      <c r="BR44" s="1245"/>
    </row>
    <row r="45" spans="1:70" s="522" customFormat="1" ht="15">
      <c r="A45" s="1769"/>
      <c r="B45" s="1771"/>
      <c r="C45" s="1157"/>
      <c r="D45" s="1157" t="s">
        <v>1512</v>
      </c>
      <c r="E45" s="1763">
        <v>2</v>
      </c>
      <c r="F45" s="1564" t="s">
        <v>983</v>
      </c>
      <c r="G45" s="115"/>
      <c r="H45" s="1559" t="s">
        <v>1398</v>
      </c>
      <c r="I45" s="1559" t="s">
        <v>1399</v>
      </c>
      <c r="J45" s="1559" t="s">
        <v>1400</v>
      </c>
      <c r="K45" s="1559" t="s">
        <v>1421</v>
      </c>
      <c r="L45" s="1558"/>
      <c r="M45" s="1740">
        <v>1</v>
      </c>
      <c r="N45" s="1739">
        <v>3</v>
      </c>
      <c r="O45" s="1739">
        <v>2</v>
      </c>
      <c r="P45" s="1739">
        <v>2</v>
      </c>
      <c r="Q45" s="1739">
        <v>2</v>
      </c>
      <c r="R45" s="1739">
        <v>2</v>
      </c>
      <c r="S45" s="1739">
        <v>2</v>
      </c>
      <c r="T45" s="1739">
        <v>3</v>
      </c>
      <c r="U45" s="1756">
        <v>2</v>
      </c>
      <c r="V45" s="1739">
        <v>2</v>
      </c>
      <c r="W45" s="1739">
        <v>3</v>
      </c>
      <c r="X45" s="1739">
        <v>2</v>
      </c>
      <c r="Y45" s="1739">
        <v>1</v>
      </c>
      <c r="Z45" s="1739"/>
      <c r="AA45" s="1739"/>
      <c r="AB45" s="1739"/>
      <c r="AD45" s="1110"/>
      <c r="AE45" s="1110"/>
      <c r="AF45" s="1110"/>
      <c r="AG45" s="1110"/>
      <c r="AH45" s="1110"/>
      <c r="AI45" s="1110"/>
      <c r="AJ45" s="1112"/>
      <c r="AK45" s="1113"/>
      <c r="AL45" s="1113"/>
      <c r="AM45" s="1110"/>
      <c r="AN45" s="1110"/>
      <c r="AO45" s="1252"/>
      <c r="AP45" s="1148"/>
      <c r="AQ45" s="1115" t="s">
        <v>749</v>
      </c>
      <c r="AR45" s="1113" t="str">
        <f>INDEX(Workstreams[Workstream], MATCH($AQ45, Workstreams[Code], 0))</f>
        <v>Fossil fuel production</v>
      </c>
      <c r="AS45" s="1110"/>
      <c r="AT45" s="1112"/>
      <c r="AU45" s="1113"/>
      <c r="AV45" s="1196"/>
      <c r="AW45" s="1196"/>
      <c r="AX45" s="1199"/>
      <c r="AY45" s="1110"/>
      <c r="AZ45" s="1110"/>
      <c r="BA45" s="811"/>
      <c r="BB45" s="1148"/>
      <c r="BC45" s="1148" t="s">
        <v>751</v>
      </c>
      <c r="BD45" s="1149" t="s">
        <v>1185</v>
      </c>
      <c r="BE45" s="1018"/>
      <c r="BF45" s="1186"/>
      <c r="BG45" s="1149"/>
      <c r="BH45" s="1150"/>
      <c r="BI45" s="1150"/>
      <c r="BJ45" s="1150"/>
      <c r="BK45" s="1150"/>
      <c r="BL45" s="1111"/>
      <c r="BO45" s="1247" t="s">
        <v>1398</v>
      </c>
      <c r="BP45" s="522" t="s">
        <v>1399</v>
      </c>
      <c r="BQ45" s="522" t="s">
        <v>1400</v>
      </c>
      <c r="BR45" s="522" t="s">
        <v>1400</v>
      </c>
    </row>
    <row r="46" spans="1:70" s="522" customFormat="1" ht="26">
      <c r="A46" s="1769"/>
      <c r="B46" s="1771"/>
      <c r="C46" s="1157"/>
      <c r="D46" s="1157" t="s">
        <v>1513</v>
      </c>
      <c r="E46" s="1763">
        <v>3</v>
      </c>
      <c r="F46" s="1564">
        <v>3</v>
      </c>
      <c r="G46" s="115"/>
      <c r="H46" s="1559" t="s">
        <v>1401</v>
      </c>
      <c r="I46" s="1559" t="s">
        <v>1402</v>
      </c>
      <c r="J46" s="1559" t="s">
        <v>1403</v>
      </c>
      <c r="K46" s="1559" t="s">
        <v>1420</v>
      </c>
      <c r="L46" s="1558"/>
      <c r="M46" s="1740">
        <v>1</v>
      </c>
      <c r="N46" s="1739">
        <v>3</v>
      </c>
      <c r="O46" s="1739">
        <v>1</v>
      </c>
      <c r="P46" s="1739">
        <v>3</v>
      </c>
      <c r="Q46" s="1739">
        <v>3</v>
      </c>
      <c r="R46" s="1739">
        <v>1</v>
      </c>
      <c r="S46" s="1739">
        <v>3</v>
      </c>
      <c r="T46" s="1739">
        <v>2</v>
      </c>
      <c r="U46" s="1756">
        <v>3</v>
      </c>
      <c r="V46" s="1739">
        <v>3</v>
      </c>
      <c r="W46" s="1739">
        <v>2</v>
      </c>
      <c r="X46" s="1739">
        <v>2</v>
      </c>
      <c r="Y46" s="1739">
        <v>3</v>
      </c>
      <c r="Z46" s="1739"/>
      <c r="AA46" s="1739"/>
      <c r="AB46" s="1739"/>
      <c r="AD46" s="1110"/>
      <c r="AE46" s="1110"/>
      <c r="AF46" s="1110"/>
      <c r="AG46" s="1110"/>
      <c r="AH46" s="1110"/>
      <c r="AI46" s="1110"/>
      <c r="AJ46" s="1112"/>
      <c r="AK46" s="1113"/>
      <c r="AL46" s="1113"/>
      <c r="AM46" s="1110"/>
      <c r="AN46" s="1110"/>
      <c r="AO46" s="1252"/>
      <c r="AP46" s="1148"/>
      <c r="AQ46" s="1115" t="s">
        <v>766</v>
      </c>
      <c r="AR46" s="1113" t="str">
        <f>INDEX(Workstreams[Workstream], MATCH($AQ46, Workstreams[Code], 0))</f>
        <v>Transfers</v>
      </c>
      <c r="AS46" s="1110"/>
      <c r="AT46" s="1112"/>
      <c r="AU46" s="1113"/>
      <c r="AV46" s="1196"/>
      <c r="AW46" s="1196"/>
      <c r="AX46" s="1199"/>
      <c r="AY46" s="1110"/>
      <c r="AZ46" s="1110"/>
      <c r="BA46" s="811"/>
      <c r="BB46" s="1018"/>
      <c r="BC46" s="1110"/>
      <c r="BD46" s="1110"/>
      <c r="BE46" s="1110"/>
      <c r="BF46" s="1110"/>
      <c r="BG46" s="1110"/>
      <c r="BH46" s="1110"/>
      <c r="BI46" s="1110"/>
      <c r="BJ46" s="1110"/>
      <c r="BK46" s="1110"/>
      <c r="BL46" s="1111"/>
      <c r="BO46" s="1247" t="s">
        <v>1463</v>
      </c>
      <c r="BP46" s="522" t="s">
        <v>1464</v>
      </c>
      <c r="BQ46" s="522" t="s">
        <v>1465</v>
      </c>
      <c r="BR46" s="522" t="s">
        <v>1465</v>
      </c>
    </row>
    <row r="47" spans="1:70" s="522" customFormat="1" ht="15">
      <c r="A47" s="1769"/>
      <c r="B47" s="1771" t="s">
        <v>1413</v>
      </c>
      <c r="C47" s="735" t="s">
        <v>726</v>
      </c>
      <c r="D47" s="735" t="s">
        <v>957</v>
      </c>
      <c r="E47" s="1763"/>
      <c r="F47" s="1563"/>
      <c r="G47"/>
      <c r="H47" s="1560"/>
      <c r="I47" s="1560"/>
      <c r="J47" s="1560"/>
      <c r="K47" s="1560"/>
      <c r="L47" s="1558"/>
      <c r="M47" s="1740"/>
      <c r="N47" s="1739"/>
      <c r="O47" s="1739"/>
      <c r="P47" s="1739"/>
      <c r="Q47" s="1739"/>
      <c r="R47" s="1739"/>
      <c r="S47" s="1739"/>
      <c r="T47" s="1739"/>
      <c r="U47" s="1756"/>
      <c r="V47" s="1739"/>
      <c r="W47" s="1739"/>
      <c r="X47" s="1739"/>
      <c r="Y47" s="1739"/>
      <c r="Z47" s="1739"/>
      <c r="AA47" s="1739"/>
      <c r="AB47" s="1739"/>
      <c r="AD47" s="1110"/>
      <c r="AE47" s="1110"/>
      <c r="AF47" s="1110"/>
      <c r="AG47" s="1110"/>
      <c r="AH47" s="1110"/>
      <c r="AI47" s="1110"/>
      <c r="AJ47" s="1112"/>
      <c r="AK47" s="1113"/>
      <c r="AL47" s="1113"/>
      <c r="AM47" s="1110"/>
      <c r="AN47" s="1110"/>
      <c r="AO47" s="1252"/>
      <c r="AP47" s="1018"/>
      <c r="AQ47" s="1116"/>
      <c r="AR47" s="1117" t="s">
        <v>133</v>
      </c>
      <c r="AS47" s="1116"/>
      <c r="AT47" s="1116"/>
      <c r="AU47" s="1116"/>
      <c r="AV47" s="1197"/>
      <c r="AW47" s="1197"/>
      <c r="AX47" s="1200"/>
      <c r="AY47" s="1200"/>
      <c r="AZ47" s="1110"/>
      <c r="BA47" s="811"/>
      <c r="BB47" s="1258"/>
      <c r="BC47" s="1124" t="s">
        <v>1089</v>
      </c>
      <c r="BD47" s="1113"/>
      <c r="BE47" s="1113"/>
      <c r="BF47" s="1112"/>
      <c r="BG47" s="1113"/>
      <c r="BH47" s="1132"/>
      <c r="BI47" s="1132"/>
      <c r="BJ47" s="1132"/>
      <c r="BK47" s="1132"/>
      <c r="BL47" s="1110"/>
      <c r="BO47" s="1247"/>
      <c r="BR47" s="1245"/>
    </row>
    <row r="48" spans="1:70" s="522" customFormat="1" ht="26">
      <c r="A48" s="1769"/>
      <c r="B48" s="1771"/>
      <c r="C48" s="1156"/>
      <c r="D48" s="1157" t="s">
        <v>1365</v>
      </c>
      <c r="E48" s="1763">
        <v>4</v>
      </c>
      <c r="F48" s="1564">
        <v>4</v>
      </c>
      <c r="G48" s="115"/>
      <c r="H48" s="1559" t="s">
        <v>1202</v>
      </c>
      <c r="I48" s="1559" t="s">
        <v>1203</v>
      </c>
      <c r="J48" s="1559" t="s">
        <v>1228</v>
      </c>
      <c r="K48" s="1559" t="s">
        <v>1229</v>
      </c>
      <c r="L48" s="1558"/>
      <c r="M48" s="1740">
        <v>1</v>
      </c>
      <c r="N48" s="1739">
        <v>4</v>
      </c>
      <c r="O48" s="1739">
        <v>1</v>
      </c>
      <c r="P48" s="1739">
        <v>4</v>
      </c>
      <c r="Q48" s="1739">
        <v>4</v>
      </c>
      <c r="R48" s="1739">
        <v>2</v>
      </c>
      <c r="S48" s="1739">
        <v>3</v>
      </c>
      <c r="T48" s="1739">
        <v>4</v>
      </c>
      <c r="U48" s="1756">
        <v>4</v>
      </c>
      <c r="V48" s="1739">
        <v>4</v>
      </c>
      <c r="W48" s="1739">
        <v>3</v>
      </c>
      <c r="X48" s="1739">
        <v>3</v>
      </c>
      <c r="Y48" s="1739">
        <v>4</v>
      </c>
      <c r="Z48" s="1739"/>
      <c r="AA48" s="1739"/>
      <c r="AB48" s="1739"/>
      <c r="AD48" s="1110"/>
      <c r="AE48" s="1110"/>
      <c r="AF48" s="1110"/>
      <c r="AG48" s="1110"/>
      <c r="AH48" s="1110"/>
      <c r="AI48" s="1110"/>
      <c r="AJ48" s="1112"/>
      <c r="AK48" s="1113"/>
      <c r="AL48" s="1113"/>
      <c r="AM48" s="1110"/>
      <c r="AN48" s="1110"/>
      <c r="AO48" s="1252"/>
      <c r="AP48" s="1018"/>
      <c r="AQ48" s="1118"/>
      <c r="AR48" s="1119" t="s">
        <v>1018</v>
      </c>
      <c r="AS48" s="1120"/>
      <c r="AT48" s="1120"/>
      <c r="AU48" s="1120"/>
      <c r="AV48" s="1202"/>
      <c r="AW48" s="1121"/>
      <c r="AX48" s="1201"/>
      <c r="AY48" s="1201"/>
      <c r="AZ48" s="1110"/>
      <c r="BA48" s="811"/>
      <c r="BB48" s="1259"/>
      <c r="BC48" s="1259" t="s">
        <v>562</v>
      </c>
      <c r="BD48" s="1262" t="s">
        <v>1098</v>
      </c>
      <c r="BE48" s="1106"/>
      <c r="BF48" s="1106"/>
      <c r="BG48" s="1106"/>
      <c r="BH48" s="1263"/>
      <c r="BI48" s="1263"/>
      <c r="BJ48" s="1263"/>
      <c r="BK48" s="1263"/>
      <c r="BL48" s="1110"/>
      <c r="BO48" s="1247" t="s">
        <v>1466</v>
      </c>
      <c r="BP48" s="522" t="s">
        <v>1467</v>
      </c>
      <c r="BQ48" s="522" t="s">
        <v>1468</v>
      </c>
      <c r="BR48" s="522" t="s">
        <v>1469</v>
      </c>
    </row>
    <row r="49" spans="1:70" s="522" customFormat="1" ht="26">
      <c r="A49" s="1769"/>
      <c r="B49" s="1771"/>
      <c r="C49" s="1156"/>
      <c r="D49" s="1157" t="s">
        <v>1366</v>
      </c>
      <c r="E49" s="1763">
        <v>3</v>
      </c>
      <c r="F49" s="1564" t="s">
        <v>984</v>
      </c>
      <c r="G49" s="115"/>
      <c r="H49" s="1559" t="s">
        <v>1230</v>
      </c>
      <c r="I49" s="1559" t="s">
        <v>1231</v>
      </c>
      <c r="J49" s="1559" t="s">
        <v>1232</v>
      </c>
      <c r="K49" s="1559" t="s">
        <v>1233</v>
      </c>
      <c r="L49" s="1558"/>
      <c r="M49" s="1740">
        <v>1</v>
      </c>
      <c r="N49" s="1739">
        <v>4</v>
      </c>
      <c r="O49" s="1739">
        <v>1</v>
      </c>
      <c r="P49" s="1739">
        <v>3</v>
      </c>
      <c r="Q49" s="1739">
        <v>4</v>
      </c>
      <c r="R49" s="1739">
        <v>3</v>
      </c>
      <c r="S49" s="1739">
        <v>4</v>
      </c>
      <c r="T49" s="1739">
        <v>4</v>
      </c>
      <c r="U49" s="1756">
        <v>4</v>
      </c>
      <c r="V49" s="1739">
        <v>4</v>
      </c>
      <c r="W49" s="1739">
        <v>3</v>
      </c>
      <c r="X49" s="1739">
        <v>4</v>
      </c>
      <c r="Y49" s="1739">
        <v>4</v>
      </c>
      <c r="Z49" s="1739"/>
      <c r="AA49" s="1739"/>
      <c r="AB49" s="1739"/>
      <c r="AD49" s="1110"/>
      <c r="AE49" s="1110"/>
      <c r="AF49" s="1110"/>
      <c r="AG49" s="1110"/>
      <c r="AH49" s="1110"/>
      <c r="AI49" s="1110"/>
      <c r="AJ49" s="1112"/>
      <c r="AK49" s="1113"/>
      <c r="AL49" s="1113"/>
      <c r="AM49" s="1110"/>
      <c r="AN49" s="1110"/>
      <c r="AO49" s="1252"/>
      <c r="AP49" s="1256"/>
      <c r="AQ49" s="1203" t="s">
        <v>1244</v>
      </c>
      <c r="AR49" s="1110"/>
      <c r="AS49" s="1110"/>
      <c r="AT49" s="1110"/>
      <c r="AU49" s="1110"/>
      <c r="AV49" s="1110"/>
      <c r="AW49" s="1110"/>
      <c r="AX49" s="1110"/>
      <c r="AY49" s="1110"/>
      <c r="AZ49" s="1110"/>
      <c r="BA49" s="811"/>
      <c r="BB49" s="1148"/>
      <c r="BC49" s="1148" t="s">
        <v>695</v>
      </c>
      <c r="BD49" s="1149" t="s">
        <v>1096</v>
      </c>
      <c r="BE49" s="1018"/>
      <c r="BF49" s="1018"/>
      <c r="BG49" s="1018"/>
      <c r="BH49" s="1150"/>
      <c r="BI49" s="1150"/>
      <c r="BJ49" s="1150"/>
      <c r="BK49" s="1150"/>
      <c r="BL49" s="1110"/>
      <c r="BO49" s="1247" t="s">
        <v>1230</v>
      </c>
      <c r="BP49" s="522" t="s">
        <v>1231</v>
      </c>
      <c r="BQ49" s="522" t="s">
        <v>1232</v>
      </c>
      <c r="BR49" s="522" t="s">
        <v>1233</v>
      </c>
    </row>
    <row r="50" spans="1:70" s="522" customFormat="1" ht="26">
      <c r="A50" s="1769"/>
      <c r="B50" s="1771"/>
      <c r="C50" s="1156"/>
      <c r="D50" s="1157" t="s">
        <v>1367</v>
      </c>
      <c r="E50" s="1763">
        <v>2</v>
      </c>
      <c r="F50" s="1564" t="s">
        <v>984</v>
      </c>
      <c r="G50" s="115"/>
      <c r="H50" s="1559" t="s">
        <v>1810</v>
      </c>
      <c r="I50" s="1559" t="s">
        <v>1811</v>
      </c>
      <c r="J50" s="1559" t="s">
        <v>1201</v>
      </c>
      <c r="K50" s="1559" t="s">
        <v>1234</v>
      </c>
      <c r="L50" s="1558"/>
      <c r="M50" s="1740">
        <v>1</v>
      </c>
      <c r="N50" s="1739">
        <v>4</v>
      </c>
      <c r="O50" s="1739">
        <v>1</v>
      </c>
      <c r="P50" s="1739">
        <v>2</v>
      </c>
      <c r="Q50" s="1739">
        <v>4</v>
      </c>
      <c r="R50" s="1739">
        <v>3</v>
      </c>
      <c r="S50" s="1739">
        <v>3</v>
      </c>
      <c r="T50" s="1739">
        <v>4</v>
      </c>
      <c r="U50" s="1756">
        <v>3</v>
      </c>
      <c r="V50" s="1739">
        <v>3</v>
      </c>
      <c r="W50" s="1739">
        <v>4</v>
      </c>
      <c r="X50" s="1739">
        <v>4</v>
      </c>
      <c r="Y50" s="1739">
        <v>3</v>
      </c>
      <c r="Z50" s="1739"/>
      <c r="AA50" s="1739"/>
      <c r="AB50" s="1739"/>
      <c r="AD50" s="1110"/>
      <c r="AE50" s="1110"/>
      <c r="AF50" s="1110"/>
      <c r="AG50" s="1110"/>
      <c r="AH50" s="1110"/>
      <c r="AI50" s="1110"/>
      <c r="AJ50" s="1112"/>
      <c r="AK50" s="1113"/>
      <c r="AL50" s="1113"/>
      <c r="AM50" s="1110"/>
      <c r="AN50" s="1110"/>
      <c r="AO50" s="1252"/>
      <c r="AP50" s="1256"/>
      <c r="AQ50" s="1203" t="s">
        <v>1247</v>
      </c>
      <c r="AR50" s="1110"/>
      <c r="AS50" s="1110"/>
      <c r="AT50" s="1110"/>
      <c r="AU50" s="1110"/>
      <c r="AV50" s="1110"/>
      <c r="AW50" s="1110"/>
      <c r="AX50" s="1110"/>
      <c r="AY50" s="1110"/>
      <c r="AZ50" s="1110"/>
      <c r="BA50" s="811"/>
      <c r="BB50" s="1148"/>
      <c r="BC50" s="1148" t="s">
        <v>619</v>
      </c>
      <c r="BD50" s="1149" t="s">
        <v>1188</v>
      </c>
      <c r="BE50" s="1018"/>
      <c r="BF50" s="1018"/>
      <c r="BG50" s="1018"/>
      <c r="BH50" s="1150"/>
      <c r="BI50" s="1150"/>
      <c r="BJ50" s="1150"/>
      <c r="BK50" s="1150"/>
      <c r="BL50" s="1110"/>
      <c r="BO50" s="1247" t="s">
        <v>1225</v>
      </c>
      <c r="BP50" s="522" t="s">
        <v>1200</v>
      </c>
      <c r="BQ50" s="1147" t="s">
        <v>1201</v>
      </c>
      <c r="BR50" s="522" t="s">
        <v>1234</v>
      </c>
    </row>
    <row r="51" spans="1:70" s="522" customFormat="1" ht="15">
      <c r="A51" s="1769"/>
      <c r="B51" s="1771" t="s">
        <v>1414</v>
      </c>
      <c r="C51" s="735" t="s">
        <v>732</v>
      </c>
      <c r="D51" s="735" t="s">
        <v>734</v>
      </c>
      <c r="E51" s="1763"/>
      <c r="F51" s="1563"/>
      <c r="G51"/>
      <c r="H51" s="1559"/>
      <c r="I51" s="1559"/>
      <c r="J51" s="1559"/>
      <c r="K51" s="1559"/>
      <c r="L51" s="1558"/>
      <c r="M51" s="1740"/>
      <c r="N51" s="1739"/>
      <c r="O51" s="1739"/>
      <c r="P51" s="1739"/>
      <c r="Q51" s="1739"/>
      <c r="R51" s="1739"/>
      <c r="S51" s="1739"/>
      <c r="T51" s="1739"/>
      <c r="U51" s="1756"/>
      <c r="V51" s="1739"/>
      <c r="W51" s="1739"/>
      <c r="X51" s="1739"/>
      <c r="Y51" s="1739"/>
      <c r="Z51" s="1739"/>
      <c r="AA51" s="1739"/>
      <c r="AB51" s="1739"/>
      <c r="AD51" s="1110"/>
      <c r="AE51" s="1110"/>
      <c r="AF51" s="1110"/>
      <c r="AG51" s="1110"/>
      <c r="AH51" s="1110"/>
      <c r="AI51" s="1110"/>
      <c r="AJ51" s="1112"/>
      <c r="AK51" s="1113"/>
      <c r="AL51" s="1113"/>
      <c r="AM51" s="1110"/>
      <c r="AN51" s="1110"/>
      <c r="AO51" s="1252"/>
      <c r="AP51" s="1203"/>
      <c r="AQ51" s="1203" t="s">
        <v>1245</v>
      </c>
      <c r="AR51" s="1110"/>
      <c r="AS51" s="1110"/>
      <c r="AT51" s="1110"/>
      <c r="AU51" s="1110"/>
      <c r="AV51" s="1110"/>
      <c r="AW51" s="1110"/>
      <c r="AX51" s="1110"/>
      <c r="AY51" s="1110"/>
      <c r="AZ51" s="1110"/>
      <c r="BA51" s="811"/>
      <c r="BB51" s="1148"/>
      <c r="BC51" s="1148" t="s">
        <v>569</v>
      </c>
      <c r="BD51" s="1149" t="s">
        <v>1099</v>
      </c>
      <c r="BE51" s="1018"/>
      <c r="BF51" s="1018"/>
      <c r="BG51" s="1018"/>
      <c r="BH51" s="1150"/>
      <c r="BI51" s="1150"/>
      <c r="BJ51" s="1150"/>
      <c r="BK51" s="1150"/>
      <c r="BL51" s="1110"/>
      <c r="BO51" s="1247"/>
      <c r="BR51" s="1245"/>
    </row>
    <row r="52" spans="1:70" s="522" customFormat="1" ht="26">
      <c r="A52" s="1769"/>
      <c r="B52" s="1771"/>
      <c r="C52" s="1157"/>
      <c r="D52" s="1157" t="s">
        <v>1494</v>
      </c>
      <c r="E52" s="1763">
        <v>4</v>
      </c>
      <c r="F52" s="1564">
        <v>4</v>
      </c>
      <c r="G52" s="115"/>
      <c r="H52" s="1559" t="s">
        <v>1205</v>
      </c>
      <c r="I52" s="1559" t="s">
        <v>1242</v>
      </c>
      <c r="J52" s="1559" t="s">
        <v>1238</v>
      </c>
      <c r="K52" s="1559" t="s">
        <v>1239</v>
      </c>
      <c r="L52" s="1558"/>
      <c r="M52" s="1740">
        <v>1</v>
      </c>
      <c r="N52" s="1739">
        <v>4</v>
      </c>
      <c r="O52" s="1739">
        <v>1</v>
      </c>
      <c r="P52" s="1739">
        <v>4</v>
      </c>
      <c r="Q52" s="1739">
        <v>4</v>
      </c>
      <c r="R52" s="1739">
        <v>2</v>
      </c>
      <c r="S52" s="1739">
        <v>3</v>
      </c>
      <c r="T52" s="1739">
        <v>4</v>
      </c>
      <c r="U52" s="1756">
        <v>4</v>
      </c>
      <c r="V52" s="1739">
        <v>4</v>
      </c>
      <c r="W52" s="1739">
        <v>4</v>
      </c>
      <c r="X52" s="1739">
        <v>3</v>
      </c>
      <c r="Y52" s="1739">
        <v>4</v>
      </c>
      <c r="Z52" s="1739"/>
      <c r="AA52" s="1739"/>
      <c r="AB52" s="1739"/>
      <c r="AD52" s="1110"/>
      <c r="AE52" s="1110"/>
      <c r="AF52" s="1110"/>
      <c r="AG52" s="1110"/>
      <c r="AH52" s="1110"/>
      <c r="AI52" s="1110"/>
      <c r="AJ52" s="1112"/>
      <c r="AK52" s="1113"/>
      <c r="AL52" s="1113"/>
      <c r="AM52" s="1110"/>
      <c r="AN52" s="1110"/>
      <c r="AO52" s="1252"/>
      <c r="AP52" s="1110"/>
      <c r="AQ52" s="1110"/>
      <c r="AR52" s="1110"/>
      <c r="AS52" s="1110"/>
      <c r="AT52" s="1110"/>
      <c r="AU52" s="1110"/>
      <c r="AV52" s="1110"/>
      <c r="AW52" s="1112"/>
      <c r="AX52" s="1110"/>
      <c r="AY52" s="1110"/>
      <c r="AZ52" s="1110"/>
      <c r="BA52" s="811"/>
      <c r="BB52" s="1148"/>
      <c r="BC52" s="1148" t="s">
        <v>567</v>
      </c>
      <c r="BD52" s="1149" t="s">
        <v>1184</v>
      </c>
      <c r="BE52" s="1018"/>
      <c r="BF52" s="1018"/>
      <c r="BG52" s="1018"/>
      <c r="BH52" s="1150"/>
      <c r="BI52" s="1150"/>
      <c r="BJ52" s="1150"/>
      <c r="BK52" s="1150"/>
      <c r="BL52" s="1110"/>
      <c r="BO52" s="1247" t="s">
        <v>1470</v>
      </c>
      <c r="BP52" s="522" t="s">
        <v>1471</v>
      </c>
      <c r="BQ52" s="522" t="s">
        <v>1472</v>
      </c>
      <c r="BR52" s="522" t="s">
        <v>1473</v>
      </c>
    </row>
    <row r="53" spans="1:70" s="522" customFormat="1" ht="23">
      <c r="A53" s="1769"/>
      <c r="B53" s="1771"/>
      <c r="C53" s="1157"/>
      <c r="D53" s="1157" t="s">
        <v>1368</v>
      </c>
      <c r="E53" s="1763">
        <v>2</v>
      </c>
      <c r="F53" s="1564" t="s">
        <v>982</v>
      </c>
      <c r="G53" s="115"/>
      <c r="H53" s="1559" t="s">
        <v>1206</v>
      </c>
      <c r="I53" s="1559" t="s">
        <v>1204</v>
      </c>
      <c r="J53" s="1559" t="s">
        <v>1419</v>
      </c>
      <c r="K53" s="1559" t="s">
        <v>1419</v>
      </c>
      <c r="L53" s="1558"/>
      <c r="M53" s="1740">
        <v>1</v>
      </c>
      <c r="N53" s="1739">
        <v>2</v>
      </c>
      <c r="O53" s="1739">
        <v>1</v>
      </c>
      <c r="P53" s="1739">
        <v>2</v>
      </c>
      <c r="Q53" s="1739">
        <v>2</v>
      </c>
      <c r="R53" s="1739">
        <v>2</v>
      </c>
      <c r="S53" s="1739">
        <v>1</v>
      </c>
      <c r="T53" s="1739">
        <v>1</v>
      </c>
      <c r="U53" s="1756">
        <v>2</v>
      </c>
      <c r="V53" s="1739">
        <v>1</v>
      </c>
      <c r="W53" s="1739">
        <v>2</v>
      </c>
      <c r="X53" s="1739">
        <v>2</v>
      </c>
      <c r="Y53" s="1739">
        <v>2</v>
      </c>
      <c r="Z53" s="1739"/>
      <c r="AA53" s="1739"/>
      <c r="AB53" s="1739"/>
      <c r="AD53" s="1110"/>
      <c r="AE53" s="1110"/>
      <c r="AF53" s="1110"/>
      <c r="AG53" s="1110"/>
      <c r="AH53" s="1110"/>
      <c r="AI53" s="1110"/>
      <c r="AJ53" s="1112"/>
      <c r="AK53" s="1113"/>
      <c r="AL53" s="1113"/>
      <c r="AM53" s="1110"/>
      <c r="AN53" s="1110"/>
      <c r="AO53" s="1252"/>
      <c r="AP53" s="1110"/>
      <c r="AQ53" s="1110"/>
      <c r="AR53" s="1110"/>
      <c r="AS53" s="1110"/>
      <c r="AT53" s="1110"/>
      <c r="AU53" s="1110"/>
      <c r="AV53" s="1110"/>
      <c r="AW53" s="1112"/>
      <c r="AX53" s="1110"/>
      <c r="AY53" s="1110"/>
      <c r="AZ53" s="1110"/>
      <c r="BA53" s="811"/>
      <c r="BB53" s="1122"/>
      <c r="BC53" s="1122"/>
      <c r="BD53" s="1110"/>
      <c r="BE53" s="1110"/>
      <c r="BF53" s="1110"/>
      <c r="BG53" s="1110"/>
      <c r="BH53" s="1110"/>
      <c r="BI53" s="1110"/>
      <c r="BJ53" s="1110"/>
      <c r="BK53" s="1110"/>
      <c r="BL53" s="1110"/>
      <c r="BO53" s="1247" t="s">
        <v>1476</v>
      </c>
      <c r="BP53" s="522" t="s">
        <v>1477</v>
      </c>
      <c r="BQ53" s="522" t="s">
        <v>1477</v>
      </c>
      <c r="BR53" s="522" t="s">
        <v>1477</v>
      </c>
    </row>
    <row r="54" spans="1:70" s="522" customFormat="1" ht="23">
      <c r="A54" s="1568" t="s">
        <v>1417</v>
      </c>
      <c r="B54" s="1569"/>
      <c r="C54" s="1235"/>
      <c r="D54" s="1235"/>
      <c r="E54" s="1764"/>
      <c r="F54" s="1565"/>
      <c r="G54" s="1235"/>
      <c r="H54" s="1239"/>
      <c r="I54" s="1239"/>
      <c r="J54" s="1239"/>
      <c r="K54" s="1239"/>
      <c r="L54" s="1235"/>
      <c r="M54" s="1757"/>
      <c r="N54" s="1758"/>
      <c r="O54" s="1758"/>
      <c r="P54" s="1758"/>
      <c r="Q54" s="1758"/>
      <c r="R54" s="1758"/>
      <c r="S54" s="1758"/>
      <c r="T54" s="1759"/>
      <c r="U54" s="1760"/>
      <c r="V54" s="1759"/>
      <c r="W54" s="1759"/>
      <c r="X54" s="1759"/>
      <c r="Y54" s="1759"/>
      <c r="Z54" s="1759"/>
      <c r="AA54" s="1759"/>
      <c r="AB54" s="1759"/>
      <c r="AD54" s="1110"/>
      <c r="AE54" s="1110"/>
      <c r="AF54" s="1110"/>
      <c r="AG54" s="1110"/>
      <c r="AH54" s="1110"/>
      <c r="AI54" s="1110"/>
      <c r="AJ54" s="1112"/>
      <c r="AK54" s="1113"/>
      <c r="AL54" s="1113"/>
      <c r="AM54" s="1110"/>
      <c r="AN54" s="1110"/>
      <c r="AO54" s="1253"/>
      <c r="AP54" s="1110"/>
      <c r="AQ54" s="1110"/>
      <c r="AR54" s="1110"/>
      <c r="AS54" s="1110"/>
      <c r="AT54" s="1110"/>
      <c r="AU54" s="1110"/>
      <c r="AV54" s="1110"/>
      <c r="AW54" s="1112"/>
      <c r="AX54" s="1110"/>
      <c r="AY54" s="1110"/>
      <c r="AZ54" s="1110"/>
      <c r="BA54" s="811"/>
      <c r="BB54" s="1122"/>
      <c r="BC54" s="1122"/>
      <c r="BD54" s="1110"/>
      <c r="BE54" s="1110"/>
      <c r="BF54" s="1110"/>
      <c r="BG54" s="1110"/>
      <c r="BH54" s="1110"/>
      <c r="BI54" s="1110"/>
      <c r="BJ54" s="1110"/>
      <c r="BK54" s="1110"/>
      <c r="BL54" s="1110"/>
      <c r="BO54" s="1247"/>
    </row>
    <row r="55" spans="1:70" s="522" customFormat="1" ht="26">
      <c r="A55" s="1572" t="s">
        <v>424</v>
      </c>
      <c r="B55" s="1571"/>
      <c r="C55" s="735" t="s">
        <v>743</v>
      </c>
      <c r="D55" s="735" t="s">
        <v>424</v>
      </c>
      <c r="E55" s="1763">
        <v>1</v>
      </c>
      <c r="F55" s="1563">
        <v>4</v>
      </c>
      <c r="G55" s="115"/>
      <c r="H55" s="1559" t="s">
        <v>1241</v>
      </c>
      <c r="I55" s="1559" t="s">
        <v>1207</v>
      </c>
      <c r="J55" s="1559" t="s">
        <v>1282</v>
      </c>
      <c r="K55" s="1559" t="s">
        <v>1283</v>
      </c>
      <c r="L55" s="1558"/>
      <c r="M55" s="1740">
        <v>1</v>
      </c>
      <c r="N55" s="1739">
        <v>1</v>
      </c>
      <c r="O55" s="1739">
        <v>1</v>
      </c>
      <c r="P55" s="1739">
        <v>1</v>
      </c>
      <c r="Q55" s="1739">
        <v>1</v>
      </c>
      <c r="R55" s="1739">
        <v>1</v>
      </c>
      <c r="S55" s="1739">
        <v>2</v>
      </c>
      <c r="T55" s="1739">
        <v>1</v>
      </c>
      <c r="U55" s="1756">
        <v>4</v>
      </c>
      <c r="V55" s="1739">
        <v>2</v>
      </c>
      <c r="W55" s="1739">
        <v>1</v>
      </c>
      <c r="X55" s="1739">
        <v>1</v>
      </c>
      <c r="Y55" s="1739">
        <v>2</v>
      </c>
      <c r="Z55" s="1739"/>
      <c r="AA55" s="1739"/>
      <c r="AB55" s="1739"/>
      <c r="AC55" s="115"/>
      <c r="AD55" s="1110"/>
      <c r="AE55" s="1110"/>
      <c r="AF55" s="1110"/>
      <c r="AG55" s="1110"/>
      <c r="AH55" s="1110"/>
      <c r="AI55" s="1110"/>
      <c r="AJ55" s="1112"/>
      <c r="AK55" s="1113"/>
      <c r="AL55" s="1113"/>
      <c r="AM55" s="1110"/>
      <c r="AN55" s="1110"/>
      <c r="AO55" s="1253"/>
      <c r="AP55" s="1110"/>
      <c r="AQ55" s="1110"/>
      <c r="AR55" s="1110"/>
      <c r="AS55" s="1110"/>
      <c r="AT55" s="1110"/>
      <c r="AU55" s="1110"/>
      <c r="AV55" s="1110"/>
      <c r="AW55" s="1112"/>
      <c r="AX55" s="1110"/>
      <c r="AY55" s="1110"/>
      <c r="AZ55" s="1110"/>
      <c r="BA55" s="811"/>
      <c r="BB55" s="1122"/>
      <c r="BC55" s="1122"/>
      <c r="BD55" s="1110"/>
      <c r="BE55" s="1110"/>
      <c r="BF55" s="1110"/>
      <c r="BG55" s="1110"/>
      <c r="BH55" s="1110"/>
      <c r="BI55" s="1110"/>
      <c r="BJ55" s="1110"/>
      <c r="BK55" s="1110"/>
      <c r="BL55" s="1110"/>
      <c r="BO55" s="1247" t="s">
        <v>1241</v>
      </c>
      <c r="BP55" s="522" t="s">
        <v>1478</v>
      </c>
      <c r="BQ55" s="522" t="s">
        <v>1479</v>
      </c>
      <c r="BR55" s="522" t="s">
        <v>1480</v>
      </c>
    </row>
    <row r="56" spans="1:70" s="522" customFormat="1" ht="25.5" customHeight="1">
      <c r="A56" s="1572" t="s">
        <v>1312</v>
      </c>
      <c r="B56" s="1570"/>
      <c r="C56" s="735" t="s">
        <v>634</v>
      </c>
      <c r="D56" s="735" t="s">
        <v>1369</v>
      </c>
      <c r="E56" s="1763">
        <v>2</v>
      </c>
      <c r="F56" s="1563">
        <v>4</v>
      </c>
      <c r="G56"/>
      <c r="H56" s="1559" t="s">
        <v>1218</v>
      </c>
      <c r="I56" s="1559" t="s">
        <v>1219</v>
      </c>
      <c r="J56" s="1559" t="s">
        <v>1220</v>
      </c>
      <c r="K56" s="1559" t="s">
        <v>1221</v>
      </c>
      <c r="L56" s="1558"/>
      <c r="M56" s="1740">
        <v>1</v>
      </c>
      <c r="N56" s="1739">
        <v>1</v>
      </c>
      <c r="O56" s="1739">
        <v>1</v>
      </c>
      <c r="P56" s="1739">
        <v>2</v>
      </c>
      <c r="Q56" s="1739">
        <v>4</v>
      </c>
      <c r="R56" s="1739">
        <v>2</v>
      </c>
      <c r="S56" s="1739">
        <v>2</v>
      </c>
      <c r="T56" s="1739">
        <v>1</v>
      </c>
      <c r="U56" s="1756">
        <v>4</v>
      </c>
      <c r="V56" s="1739">
        <v>3</v>
      </c>
      <c r="W56" s="1739">
        <v>4</v>
      </c>
      <c r="X56" s="1739">
        <v>2</v>
      </c>
      <c r="Y56" s="1739">
        <v>3</v>
      </c>
      <c r="Z56" s="1739"/>
      <c r="AA56" s="1739"/>
      <c r="AB56" s="1739"/>
      <c r="AC56"/>
      <c r="AD56" s="1110"/>
      <c r="AE56" s="1110"/>
      <c r="AF56" s="1110"/>
      <c r="AG56" s="1110"/>
      <c r="AH56" s="1110"/>
      <c r="AI56" s="1110"/>
      <c r="AJ56" s="1112"/>
      <c r="AK56" s="1113"/>
      <c r="AL56" s="1113"/>
      <c r="AM56" s="1110"/>
      <c r="AN56" s="1110"/>
      <c r="AO56" s="1253"/>
      <c r="AP56" s="1110"/>
      <c r="AQ56" s="1110"/>
      <c r="AR56" s="1110"/>
      <c r="AS56" s="1110"/>
      <c r="AT56" s="1110"/>
      <c r="AU56" s="1110"/>
      <c r="AV56" s="1110"/>
      <c r="AW56" s="1112"/>
      <c r="AX56" s="1110"/>
      <c r="AY56" s="1110"/>
      <c r="AZ56" s="1110"/>
      <c r="BA56" s="811"/>
      <c r="BB56" s="1122"/>
      <c r="BC56" s="1122"/>
      <c r="BD56" s="1110"/>
      <c r="BE56" s="1110"/>
      <c r="BF56" s="1110"/>
      <c r="BG56" s="1110"/>
      <c r="BH56" s="1110"/>
      <c r="BI56" s="1110"/>
      <c r="BJ56" s="1110"/>
      <c r="BK56" s="1110"/>
      <c r="BL56" s="1110"/>
      <c r="BO56" s="1247" t="s">
        <v>1484</v>
      </c>
      <c r="BP56" s="522" t="s">
        <v>1483</v>
      </c>
      <c r="BQ56" s="522" t="s">
        <v>1482</v>
      </c>
      <c r="BR56" s="522" t="s">
        <v>1481</v>
      </c>
    </row>
    <row r="57" spans="1:70" s="522" customFormat="1" ht="23">
      <c r="A57" s="1572" t="s">
        <v>1751</v>
      </c>
      <c r="B57" s="13"/>
      <c r="C57" s="1766" t="s">
        <v>755</v>
      </c>
      <c r="D57" s="1766" t="s">
        <v>756</v>
      </c>
      <c r="E57" s="1763">
        <v>1</v>
      </c>
      <c r="F57" s="1563">
        <v>3</v>
      </c>
      <c r="G57"/>
      <c r="H57" s="1559" t="s">
        <v>1770</v>
      </c>
      <c r="I57" s="1559" t="s">
        <v>1771</v>
      </c>
      <c r="J57" s="1559" t="s">
        <v>1670</v>
      </c>
      <c r="K57" s="1559"/>
      <c r="L57" s="1558"/>
      <c r="M57" s="1740">
        <v>1</v>
      </c>
      <c r="N57" s="1739">
        <v>1</v>
      </c>
      <c r="O57" s="1739">
        <v>1</v>
      </c>
      <c r="P57" s="1739">
        <v>1</v>
      </c>
      <c r="Q57" s="1739">
        <v>1</v>
      </c>
      <c r="R57" s="1739">
        <v>1</v>
      </c>
      <c r="S57" s="1739">
        <v>1</v>
      </c>
      <c r="T57" s="1739">
        <v>1</v>
      </c>
      <c r="U57" s="1756">
        <v>1</v>
      </c>
      <c r="V57" s="1739">
        <v>1</v>
      </c>
      <c r="W57" s="1739">
        <v>1</v>
      </c>
      <c r="X57" s="1739">
        <v>1</v>
      </c>
      <c r="Y57" s="1739">
        <v>1</v>
      </c>
      <c r="Z57" s="1739"/>
      <c r="AA57" s="1739"/>
      <c r="AB57" s="1739"/>
      <c r="AC57"/>
      <c r="AD57" s="1110"/>
      <c r="AE57" s="1110"/>
      <c r="AF57" s="1110"/>
      <c r="AG57" s="1110"/>
      <c r="AH57" s="1110"/>
      <c r="AI57" s="1110"/>
      <c r="AJ57" s="1112"/>
      <c r="AK57" s="1113"/>
      <c r="AL57" s="1113"/>
      <c r="AM57" s="1110"/>
      <c r="AN57" s="1110"/>
      <c r="AO57" s="1590"/>
      <c r="AP57" s="1110"/>
      <c r="AQ57" s="1110"/>
      <c r="AR57" s="1110"/>
      <c r="AS57" s="1110"/>
      <c r="AT57" s="1110"/>
      <c r="AU57" s="1110"/>
      <c r="AV57" s="1110"/>
      <c r="AW57" s="1112"/>
      <c r="AX57" s="1110"/>
      <c r="AY57" s="1110"/>
      <c r="AZ57" s="1110"/>
      <c r="BA57" s="811"/>
      <c r="BB57" s="1122"/>
      <c r="BC57" s="1122"/>
      <c r="BD57" s="1110"/>
      <c r="BE57" s="1110"/>
      <c r="BF57" s="1110"/>
      <c r="BG57" s="1110"/>
      <c r="BH57" s="1110"/>
      <c r="BI57" s="1110"/>
      <c r="BJ57" s="1110"/>
      <c r="BK57" s="1110"/>
      <c r="BL57" s="1110"/>
      <c r="BO57" s="1245"/>
      <c r="BP57" s="1245"/>
      <c r="BQ57" s="1245"/>
      <c r="BR57" s="1245"/>
    </row>
    <row r="58" spans="1:70" s="522" customFormat="1" ht="20.25" customHeight="1">
      <c r="A58" s="1566" t="s">
        <v>1521</v>
      </c>
      <c r="B58" s="1005"/>
      <c r="C58" s="24"/>
      <c r="D58" s="24"/>
      <c r="E58" s="1767"/>
      <c r="F58" s="562"/>
      <c r="G58"/>
      <c r="K58" s="522" t="s">
        <v>1871</v>
      </c>
      <c r="L58" s="1558"/>
      <c r="M58" s="1753" t="s">
        <v>1882</v>
      </c>
      <c r="N58" s="1250"/>
      <c r="O58" s="1250"/>
      <c r="P58" s="1753" t="s">
        <v>1872</v>
      </c>
      <c r="Q58" s="1753" t="s">
        <v>1873</v>
      </c>
      <c r="R58" s="1753" t="s">
        <v>1874</v>
      </c>
      <c r="S58" s="1753" t="s">
        <v>1875</v>
      </c>
      <c r="T58" s="1753" t="s">
        <v>1876</v>
      </c>
      <c r="U58" s="1753" t="s">
        <v>1877</v>
      </c>
      <c r="V58" s="1753" t="s">
        <v>1878</v>
      </c>
      <c r="W58" s="1753" t="s">
        <v>1879</v>
      </c>
      <c r="X58" s="1753" t="s">
        <v>1880</v>
      </c>
      <c r="Y58" s="1753" t="s">
        <v>1881</v>
      </c>
      <c r="Z58" s="1689"/>
      <c r="AA58" s="1689"/>
      <c r="AB58" s="1557"/>
      <c r="AC58"/>
      <c r="AD58" s="115"/>
      <c r="AE58"/>
      <c r="AF58" s="527"/>
      <c r="AG58" s="527"/>
      <c r="AH58" s="1037"/>
      <c r="AI58" s="527"/>
      <c r="AJ58" s="527"/>
      <c r="AK58" s="527"/>
      <c r="AL58" s="527"/>
      <c r="AM58" s="527"/>
      <c r="AN58" s="1131"/>
      <c r="AO58" s="1252"/>
      <c r="AP58" s="1252"/>
      <c r="AQ58" s="1131"/>
      <c r="AR58" s="1131"/>
      <c r="AS58" s="1131"/>
      <c r="AT58" s="1131"/>
      <c r="AU58" s="1131"/>
      <c r="AV58" s="1131"/>
      <c r="AW58" s="1131"/>
      <c r="AX58" s="1131"/>
      <c r="AY58" s="1131"/>
      <c r="AZ58" s="1131"/>
      <c r="BA58" s="811"/>
      <c r="BB58" s="811"/>
      <c r="BL58" s="1131"/>
      <c r="BM58" s="1131"/>
      <c r="BN58" s="1131"/>
    </row>
    <row r="59" spans="1:70" s="522" customFormat="1" ht="20.25" customHeight="1">
      <c r="A59" s="1005"/>
      <c r="B59" s="1528"/>
      <c r="C59" s="32"/>
      <c r="D59" s="24"/>
      <c r="E59" s="1768"/>
      <c r="F59" s="502"/>
      <c r="G59"/>
      <c r="K59" s="522" t="s">
        <v>1868</v>
      </c>
      <c r="L59" s="986"/>
      <c r="M59" s="1607">
        <v>75</v>
      </c>
      <c r="N59" s="986" t="s">
        <v>1870</v>
      </c>
      <c r="O59" s="986" t="s">
        <v>1870</v>
      </c>
      <c r="P59" s="1607">
        <v>112</v>
      </c>
      <c r="Q59" s="1607">
        <v>109</v>
      </c>
      <c r="R59" s="1607">
        <v>110</v>
      </c>
      <c r="S59" s="1607">
        <v>111</v>
      </c>
      <c r="T59" s="1607">
        <v>170</v>
      </c>
      <c r="U59" s="1762">
        <v>95</v>
      </c>
      <c r="V59" s="1607">
        <v>96</v>
      </c>
      <c r="W59" s="1607">
        <v>94</v>
      </c>
      <c r="X59" s="1607">
        <v>97</v>
      </c>
      <c r="Y59" s="1607">
        <v>92</v>
      </c>
      <c r="Z59" s="986"/>
      <c r="AA59" s="986"/>
      <c r="AB59" s="986"/>
      <c r="AC59"/>
      <c r="AD59" s="115"/>
      <c r="AE59"/>
      <c r="AF59" s="527"/>
      <c r="AG59" s="527"/>
      <c r="AH59" s="1037"/>
      <c r="AI59" s="527"/>
      <c r="AJ59" s="527"/>
      <c r="AK59" s="527"/>
      <c r="AL59" s="527"/>
      <c r="AM59" s="527"/>
      <c r="AO59" s="1252"/>
      <c r="AP59" s="1252"/>
      <c r="BA59" s="811"/>
      <c r="BB59" s="811"/>
      <c r="BC59" s="1131"/>
      <c r="BD59" s="1131"/>
      <c r="BE59" s="1131"/>
      <c r="BF59" s="1131"/>
      <c r="BG59" s="1131"/>
      <c r="BH59" s="1131"/>
      <c r="BI59" s="1131"/>
      <c r="BJ59" s="1131"/>
      <c r="BK59" s="1131"/>
      <c r="BL59" s="1131"/>
      <c r="BM59" s="1131"/>
      <c r="BN59" s="1131"/>
    </row>
    <row r="60" spans="1:70" s="522" customFormat="1" ht="12" customHeight="1">
      <c r="A60" s="1005"/>
      <c r="B60" s="1528"/>
      <c r="C60" s="32"/>
      <c r="D60" s="32"/>
      <c r="E60" s="1768"/>
      <c r="F60" s="562"/>
      <c r="G60"/>
      <c r="H60" s="115"/>
      <c r="I60" s="115"/>
      <c r="J60" s="115"/>
      <c r="K60" s="1559" t="s">
        <v>1869</v>
      </c>
      <c r="L60" s="986"/>
      <c r="M60" s="1607">
        <v>10</v>
      </c>
      <c r="N60" s="986" t="s">
        <v>1870</v>
      </c>
      <c r="O60" s="986" t="s">
        <v>1870</v>
      </c>
      <c r="P60" s="1607">
        <v>0</v>
      </c>
      <c r="Q60" s="1607">
        <v>1</v>
      </c>
      <c r="R60" s="1607">
        <v>2</v>
      </c>
      <c r="S60" s="1607">
        <v>3</v>
      </c>
      <c r="T60" s="1607">
        <v>4</v>
      </c>
      <c r="U60" s="1762">
        <v>5</v>
      </c>
      <c r="V60" s="1607">
        <v>6</v>
      </c>
      <c r="W60" s="1607">
        <v>7</v>
      </c>
      <c r="X60" s="1607">
        <v>8</v>
      </c>
      <c r="Y60" s="1607">
        <v>9</v>
      </c>
      <c r="Z60" s="986"/>
      <c r="AA60" s="986"/>
      <c r="AB60" s="986"/>
      <c r="AC60"/>
      <c r="AD60"/>
      <c r="AE60"/>
      <c r="AF60" s="527"/>
      <c r="AG60" s="527"/>
      <c r="AH60" s="1037"/>
      <c r="AI60" s="527"/>
      <c r="AJ60" s="527"/>
      <c r="AK60" s="527"/>
      <c r="AL60" s="527"/>
      <c r="AM60" s="527"/>
      <c r="AO60" s="1252"/>
      <c r="AP60" s="1252"/>
      <c r="AQ60" s="1131"/>
      <c r="AR60" s="1131"/>
      <c r="AS60" s="1131"/>
      <c r="AT60" s="1131"/>
      <c r="AU60" s="1131"/>
      <c r="AV60" s="1131"/>
      <c r="AW60" s="1131"/>
      <c r="AX60" s="1131"/>
      <c r="AY60" s="1131"/>
      <c r="AZ60" s="1131"/>
      <c r="BA60" s="811"/>
      <c r="BB60" s="811"/>
      <c r="BC60" s="1131"/>
      <c r="BD60" s="1131"/>
      <c r="BE60" s="1131"/>
      <c r="BF60" s="1131"/>
      <c r="BG60" s="1131"/>
      <c r="BH60" s="1131"/>
      <c r="BI60" s="1131"/>
      <c r="BJ60" s="1131"/>
      <c r="BK60" s="1131"/>
      <c r="BL60" s="1131"/>
      <c r="BO60" s="1245"/>
      <c r="BP60" s="1245"/>
      <c r="BQ60" s="1245"/>
      <c r="BR60" s="1245"/>
    </row>
    <row r="61" spans="1:70" s="522" customFormat="1" ht="21" customHeight="1">
      <c r="A61" s="1005"/>
      <c r="B61" s="1005"/>
      <c r="D61" s="32"/>
      <c r="E61" s="736"/>
      <c r="F61" s="562"/>
      <c r="G61" s="1234"/>
      <c r="H61" s="1234"/>
      <c r="I61" s="1234"/>
      <c r="J61" s="1234"/>
      <c r="K61" s="1234"/>
      <c r="L61" s="1558"/>
      <c r="M61" s="1234"/>
      <c r="N61" s="1250"/>
      <c r="O61" s="1250"/>
      <c r="P61" s="1689"/>
      <c r="Q61" s="1557"/>
      <c r="R61" s="1557"/>
      <c r="S61" s="1557"/>
      <c r="T61" s="1752"/>
      <c r="U61" s="1557"/>
      <c r="V61" s="1689"/>
      <c r="W61" s="1689"/>
      <c r="X61" s="1689"/>
      <c r="Y61" s="1689"/>
      <c r="Z61" s="1689"/>
      <c r="AA61" s="1689"/>
      <c r="AB61" s="1557"/>
      <c r="AC61" s="1234"/>
      <c r="AO61" s="1252"/>
      <c r="AP61" s="1252"/>
      <c r="AQ61" s="1131"/>
      <c r="AR61" s="1131"/>
      <c r="AS61" s="1131"/>
      <c r="AT61" s="1131"/>
      <c r="AU61" s="1131"/>
      <c r="AV61" s="1131"/>
      <c r="AW61" s="1131"/>
      <c r="AX61" s="1131"/>
      <c r="AY61" s="1131"/>
      <c r="AZ61" s="1131"/>
      <c r="BA61" s="811"/>
      <c r="BB61" s="811"/>
      <c r="BC61" s="1131"/>
      <c r="BD61" s="1131"/>
      <c r="BE61" s="1131"/>
      <c r="BF61" s="1131"/>
      <c r="BG61" s="1131"/>
      <c r="BH61" s="1131"/>
      <c r="BI61" s="1131"/>
      <c r="BJ61" s="1131"/>
      <c r="BK61" s="1131"/>
      <c r="BO61" s="1245"/>
      <c r="BP61" s="1245"/>
      <c r="BQ61" s="1245"/>
      <c r="BR61" s="1245"/>
    </row>
    <row r="62" spans="1:70" s="522" customFormat="1" ht="20.25" customHeight="1">
      <c r="A62" s="1005"/>
      <c r="B62" s="1005"/>
      <c r="E62" s="736"/>
      <c r="F62" s="562"/>
      <c r="G62" s="1234"/>
      <c r="H62" s="1234"/>
      <c r="I62" s="1234"/>
      <c r="J62" s="1234"/>
      <c r="K62" s="1234"/>
      <c r="L62" s="1558"/>
      <c r="M62" s="1234"/>
      <c r="N62" s="1250"/>
      <c r="O62" s="1250"/>
      <c r="P62" s="1689"/>
      <c r="Q62" s="1557"/>
      <c r="R62" s="1557"/>
      <c r="S62" s="1557"/>
      <c r="T62" s="1752"/>
      <c r="U62" s="1557"/>
      <c r="V62" s="1689"/>
      <c r="W62" s="1689"/>
      <c r="X62" s="1689"/>
      <c r="Y62" s="1689"/>
      <c r="Z62" s="1689"/>
      <c r="AA62" s="1689"/>
      <c r="AB62" s="1557"/>
      <c r="AC62" s="1234"/>
      <c r="AO62" s="1252"/>
      <c r="AP62" s="1252"/>
      <c r="AR62" s="1131"/>
      <c r="AS62" s="1131"/>
      <c r="AT62" s="1131"/>
      <c r="AU62" s="1131"/>
      <c r="AV62" s="1131"/>
      <c r="AW62" s="1131"/>
      <c r="AX62" s="1131"/>
      <c r="AY62" s="1131"/>
      <c r="AZ62" s="1131"/>
      <c r="BA62" s="811"/>
      <c r="BB62" s="811"/>
      <c r="BO62" s="1245"/>
      <c r="BP62" s="1245"/>
      <c r="BQ62" s="1245"/>
      <c r="BR62" s="1245"/>
    </row>
    <row r="63" spans="1:70" s="522" customFormat="1" ht="20.25" customHeight="1">
      <c r="A63" s="1005"/>
      <c r="B63" s="1005"/>
      <c r="E63" s="736"/>
      <c r="F63" s="562"/>
      <c r="G63" s="1234"/>
      <c r="H63" s="1234"/>
      <c r="I63" s="1234"/>
      <c r="J63" s="1234"/>
      <c r="K63" s="1234"/>
      <c r="L63" s="1558"/>
      <c r="M63" s="1234"/>
      <c r="N63" s="1250"/>
      <c r="O63" s="1250"/>
      <c r="AC63" s="1234"/>
      <c r="AO63" s="1252"/>
      <c r="AP63" s="1252"/>
      <c r="BA63" s="811"/>
      <c r="BB63" s="811"/>
      <c r="BC63" s="1131"/>
      <c r="BD63" s="1131"/>
      <c r="BM63" s="1131"/>
      <c r="BN63" s="1131"/>
      <c r="BO63" s="1245"/>
      <c r="BP63" s="1245"/>
      <c r="BQ63" s="1245"/>
      <c r="BR63" s="1245"/>
    </row>
    <row r="64" spans="1:70" s="522" customFormat="1" ht="20.25" customHeight="1">
      <c r="A64" s="1005"/>
      <c r="B64" s="1005"/>
      <c r="E64" s="736"/>
      <c r="F64" s="562"/>
      <c r="G64" s="1234"/>
      <c r="H64" s="1234"/>
      <c r="I64" s="1234"/>
      <c r="J64" s="1234"/>
      <c r="K64" s="1234"/>
      <c r="L64" s="1558"/>
      <c r="M64" s="1234"/>
      <c r="N64" s="1250"/>
      <c r="O64" s="1250"/>
      <c r="AC64" s="1234"/>
      <c r="AO64" s="1252"/>
      <c r="AP64" s="1252"/>
      <c r="BA64" s="811"/>
      <c r="BB64" s="811"/>
      <c r="BC64" s="1131"/>
      <c r="BD64" s="1131"/>
      <c r="BM64" s="1131"/>
      <c r="BN64" s="1131"/>
      <c r="BO64" s="1245"/>
      <c r="BP64" s="1245"/>
      <c r="BQ64" s="1245"/>
      <c r="BR64" s="1245"/>
    </row>
    <row r="65" spans="1:70" s="522" customFormat="1">
      <c r="A65" s="1251"/>
      <c r="B65" s="1005"/>
      <c r="F65" s="562"/>
      <c r="AO65" s="1252"/>
      <c r="AP65" s="1252"/>
      <c r="BA65" s="811"/>
      <c r="BB65" s="811"/>
      <c r="BD65" s="1131"/>
      <c r="BM65" s="1131"/>
      <c r="BN65" s="1131"/>
    </row>
    <row r="66" spans="1:70" s="522" customFormat="1">
      <c r="A66" s="1251"/>
      <c r="B66" s="1251"/>
      <c r="F66" s="562"/>
      <c r="AO66" s="1252"/>
      <c r="AP66" s="1252"/>
      <c r="BA66" s="811"/>
      <c r="BB66" s="811"/>
    </row>
    <row r="67" spans="1:70" s="522" customFormat="1">
      <c r="A67" s="1251"/>
      <c r="B67" s="1005"/>
      <c r="F67" s="562"/>
      <c r="AO67" s="1252"/>
      <c r="AP67" s="1252"/>
      <c r="BA67" s="811"/>
      <c r="BB67" s="811"/>
    </row>
    <row r="68" spans="1:70" s="522" customFormat="1">
      <c r="A68" s="1005"/>
      <c r="B68" s="1005"/>
      <c r="F68" s="562"/>
      <c r="P68" s="1689"/>
      <c r="Q68" s="1557"/>
      <c r="R68" s="1557"/>
      <c r="S68" s="1557"/>
      <c r="T68" s="1752"/>
      <c r="U68" s="1557"/>
      <c r="V68" s="1689"/>
      <c r="W68" s="1689"/>
      <c r="X68" s="1689"/>
      <c r="Y68" s="1689"/>
      <c r="Z68" s="1689"/>
      <c r="AA68" s="1689"/>
      <c r="AB68" s="1557"/>
      <c r="AO68" s="1252"/>
      <c r="AP68" s="1252"/>
      <c r="BA68" s="811"/>
      <c r="BB68" s="811"/>
    </row>
    <row r="69" spans="1:70" s="522" customFormat="1">
      <c r="A69" s="1005"/>
      <c r="B69" s="1251"/>
      <c r="F69" s="562"/>
      <c r="P69" s="1689"/>
      <c r="Q69" s="1557"/>
      <c r="R69" s="1557"/>
      <c r="S69" s="1557"/>
      <c r="T69" s="1752"/>
      <c r="U69" s="1557"/>
      <c r="V69" s="1689"/>
      <c r="W69" s="1689"/>
      <c r="X69" s="1689"/>
      <c r="Y69" s="1689"/>
      <c r="Z69" s="1689"/>
      <c r="AA69" s="1689"/>
      <c r="AB69" s="1557"/>
      <c r="AO69" s="1252"/>
      <c r="AP69" s="1252"/>
      <c r="BA69" s="811"/>
      <c r="BB69" s="811"/>
    </row>
    <row r="70" spans="1:70" s="522" customFormat="1">
      <c r="A70" s="1251"/>
      <c r="B70" s="1251"/>
      <c r="C70"/>
      <c r="D70"/>
      <c r="E70" s="736"/>
      <c r="F70" s="734"/>
      <c r="G70"/>
      <c r="H70" s="115"/>
      <c r="I70" s="115"/>
      <c r="J70" s="115"/>
      <c r="K70" s="115"/>
      <c r="L70" s="1558"/>
      <c r="M70" s="115"/>
      <c r="N70" s="1250"/>
      <c r="O70" s="1250"/>
      <c r="P70" s="1689"/>
      <c r="Q70" s="1557"/>
      <c r="R70" s="1557"/>
      <c r="S70" s="1557"/>
      <c r="T70" s="1752"/>
      <c r="U70" s="1557"/>
      <c r="V70" s="1689"/>
      <c r="W70" s="1689"/>
      <c r="X70" s="1689"/>
      <c r="Y70" s="1689"/>
      <c r="Z70" s="1689"/>
      <c r="AA70" s="1689"/>
      <c r="AB70" s="1557"/>
      <c r="AC70"/>
      <c r="AD70"/>
      <c r="AE70"/>
      <c r="AF70"/>
      <c r="AG70"/>
      <c r="AH70"/>
      <c r="AI70"/>
      <c r="AJ70"/>
      <c r="AK70"/>
      <c r="AL70"/>
      <c r="AM70"/>
      <c r="AN70"/>
      <c r="AO70" s="1252"/>
      <c r="AP70" s="1252"/>
      <c r="BA70" s="811"/>
      <c r="BB70" s="811"/>
      <c r="BO70" s="1245"/>
      <c r="BP70" s="1245"/>
      <c r="BQ70" s="1245"/>
      <c r="BR70" s="1245"/>
    </row>
    <row r="71" spans="1:70" s="522" customFormat="1">
      <c r="A71" s="1251"/>
      <c r="B71" s="1251"/>
      <c r="C71"/>
      <c r="D71"/>
      <c r="E71" s="736"/>
      <c r="F71" s="734"/>
      <c r="G71"/>
      <c r="H71" s="115"/>
      <c r="I71" s="115"/>
      <c r="J71" s="115"/>
      <c r="K71" s="115"/>
      <c r="L71" s="1558"/>
      <c r="M71" s="115"/>
      <c r="N71" s="1250"/>
      <c r="O71" s="1250"/>
      <c r="P71" s="1689"/>
      <c r="Q71" s="1557"/>
      <c r="R71" s="1557"/>
      <c r="S71" s="1557"/>
      <c r="T71" s="1752"/>
      <c r="U71" s="1557"/>
      <c r="V71" s="1689"/>
      <c r="W71" s="1689"/>
      <c r="X71" s="1689"/>
      <c r="Y71" s="1689"/>
      <c r="Z71" s="1689"/>
      <c r="AA71" s="1689"/>
      <c r="AB71" s="1557"/>
      <c r="AC71"/>
      <c r="AD71"/>
      <c r="AE71"/>
      <c r="AF71"/>
      <c r="AG71"/>
      <c r="AH71"/>
      <c r="AI71"/>
      <c r="AJ71"/>
      <c r="AK71"/>
      <c r="AL71"/>
      <c r="AM71"/>
      <c r="AN71"/>
      <c r="AO71" s="1252"/>
      <c r="AP71" s="1252"/>
      <c r="BA71" s="811"/>
      <c r="BB71" s="811"/>
      <c r="BO71" s="1245"/>
      <c r="BP71" s="1245"/>
      <c r="BQ71" s="1245"/>
      <c r="BR71" s="1245"/>
    </row>
    <row r="72" spans="1:70" s="522" customFormat="1">
      <c r="A72" s="1251"/>
      <c r="B72" s="1005"/>
      <c r="C72"/>
      <c r="D72"/>
      <c r="E72" s="736"/>
      <c r="F72" s="734"/>
      <c r="G72"/>
      <c r="H72" s="115"/>
      <c r="I72" s="115"/>
      <c r="J72" s="115"/>
      <c r="K72" s="115"/>
      <c r="L72" s="1558"/>
      <c r="M72" s="115"/>
      <c r="N72" s="1250"/>
      <c r="O72" s="1250"/>
      <c r="P72" s="1689"/>
      <c r="Q72" s="1557"/>
      <c r="R72" s="1557"/>
      <c r="S72" s="1557"/>
      <c r="T72" s="1752"/>
      <c r="U72" s="1557"/>
      <c r="V72" s="1689"/>
      <c r="W72" s="1689"/>
      <c r="X72" s="1689"/>
      <c r="Y72" s="1689"/>
      <c r="Z72" s="1689"/>
      <c r="AA72" s="1689"/>
      <c r="AB72" s="1557"/>
      <c r="AC72"/>
      <c r="AD72"/>
      <c r="AE72"/>
      <c r="AF72"/>
      <c r="AG72"/>
      <c r="AH72"/>
      <c r="AI72"/>
      <c r="AJ72"/>
      <c r="AK72"/>
      <c r="AL72"/>
      <c r="AM72"/>
      <c r="AN72"/>
      <c r="AO72" s="1252"/>
      <c r="AP72" s="1252"/>
      <c r="BA72" s="811"/>
      <c r="BB72" s="811"/>
      <c r="BO72" s="1245"/>
      <c r="BP72" s="1245"/>
      <c r="BQ72" s="1245"/>
      <c r="BR72" s="1245"/>
    </row>
    <row r="73" spans="1:70" s="522" customFormat="1">
      <c r="A73" s="1005"/>
      <c r="B73" s="1005"/>
      <c r="C73"/>
      <c r="D73"/>
      <c r="E73" s="736"/>
      <c r="F73" s="734"/>
      <c r="G73"/>
      <c r="H73" s="115"/>
      <c r="I73" s="115"/>
      <c r="J73" s="115"/>
      <c r="K73" s="115"/>
      <c r="L73" s="1558"/>
      <c r="M73" s="115"/>
      <c r="N73" s="1250"/>
      <c r="O73" s="1250"/>
      <c r="P73" s="1689"/>
      <c r="Q73" s="1557"/>
      <c r="R73" s="1557"/>
      <c r="S73" s="1557"/>
      <c r="T73" s="1752"/>
      <c r="U73" s="1557"/>
      <c r="V73" s="1689"/>
      <c r="W73" s="1689"/>
      <c r="X73" s="1689"/>
      <c r="Y73" s="1689"/>
      <c r="Z73" s="1689"/>
      <c r="AA73" s="1689"/>
      <c r="AB73" s="1557"/>
      <c r="AC73"/>
      <c r="AD73"/>
      <c r="AE73"/>
      <c r="AF73"/>
      <c r="AG73"/>
      <c r="AH73"/>
      <c r="AI73"/>
      <c r="AJ73"/>
      <c r="AK73"/>
      <c r="AL73"/>
      <c r="AM73"/>
      <c r="AN73"/>
      <c r="AO73" s="1252"/>
      <c r="AP73" s="1252"/>
      <c r="AQ73"/>
      <c r="AR73"/>
      <c r="AS73"/>
      <c r="AT73"/>
      <c r="AU73"/>
      <c r="AV73"/>
      <c r="AW73"/>
      <c r="AX73"/>
      <c r="AY73"/>
      <c r="AZ73"/>
      <c r="BA73" s="811"/>
      <c r="BB73" s="811"/>
      <c r="BO73" s="1245"/>
      <c r="BP73" s="1245"/>
      <c r="BQ73" s="1245"/>
      <c r="BR73" s="1245"/>
    </row>
    <row r="74" spans="1:70" s="522" customFormat="1">
      <c r="A74" s="1005"/>
      <c r="B74" s="1005"/>
      <c r="C74"/>
      <c r="D74"/>
      <c r="E74" s="736"/>
      <c r="F74" s="734"/>
      <c r="G74"/>
      <c r="H74" s="115"/>
      <c r="I74" s="115"/>
      <c r="J74" s="115"/>
      <c r="K74" s="115"/>
      <c r="L74" s="1558"/>
      <c r="M74" s="115"/>
      <c r="N74" s="1250"/>
      <c r="O74" s="1250"/>
      <c r="P74" s="1689"/>
      <c r="Q74" s="1557"/>
      <c r="R74" s="1557"/>
      <c r="S74" s="1557"/>
      <c r="T74" s="1752"/>
      <c r="U74" s="1557"/>
      <c r="V74" s="1689"/>
      <c r="W74" s="1689"/>
      <c r="X74" s="1689"/>
      <c r="Y74" s="1689"/>
      <c r="Z74" s="1689"/>
      <c r="AA74" s="1689"/>
      <c r="AB74" s="1557"/>
      <c r="AC74"/>
      <c r="AD74"/>
      <c r="AE74"/>
      <c r="AF74"/>
      <c r="AG74"/>
      <c r="AH74"/>
      <c r="AI74"/>
      <c r="AJ74"/>
      <c r="AK74"/>
      <c r="AL74"/>
      <c r="AM74"/>
      <c r="AN74"/>
      <c r="AO74" s="1252"/>
      <c r="AP74" s="1252"/>
      <c r="AQ74"/>
      <c r="AR74"/>
      <c r="AS74"/>
      <c r="AT74"/>
      <c r="AU74"/>
      <c r="AV74"/>
      <c r="AW74"/>
      <c r="AX74"/>
      <c r="AY74"/>
      <c r="AZ74"/>
      <c r="BA74" s="811"/>
      <c r="BB74" s="811"/>
      <c r="BO74" s="1245"/>
      <c r="BP74" s="1245"/>
      <c r="BQ74" s="1245"/>
      <c r="BR74" s="1245"/>
    </row>
    <row r="75" spans="1:70">
      <c r="BC75" s="522"/>
      <c r="BD75" s="522"/>
      <c r="BE75" s="522"/>
      <c r="BF75" s="522"/>
      <c r="BG75" s="522"/>
      <c r="BH75" s="522"/>
      <c r="BI75" s="522"/>
      <c r="BJ75" s="522"/>
      <c r="BK75" s="522"/>
    </row>
  </sheetData>
  <sheetProtection formatColumns="0" insertColumns="0" deleteColumns="0"/>
  <mergeCells count="16">
    <mergeCell ref="A29:A35"/>
    <mergeCell ref="BB16:BL17"/>
    <mergeCell ref="BB2:BL2"/>
    <mergeCell ref="A44:A53"/>
    <mergeCell ref="A5:A20"/>
    <mergeCell ref="B5:B19"/>
    <mergeCell ref="B51:B53"/>
    <mergeCell ref="B36:B40"/>
    <mergeCell ref="A36:A43"/>
    <mergeCell ref="B41:B43"/>
    <mergeCell ref="B44:B46"/>
    <mergeCell ref="B47:B50"/>
    <mergeCell ref="B21:B26"/>
    <mergeCell ref="B29:B33"/>
    <mergeCell ref="B34:B35"/>
    <mergeCell ref="A21:A27"/>
  </mergeCells>
  <conditionalFormatting sqref="H8 H26 H35 H39:H40 H43 H45 H53 H24 H49:H50">
    <cfRule type="expression" dxfId="376" priority="306">
      <formula>$E8=1</formula>
    </cfRule>
  </conditionalFormatting>
  <conditionalFormatting sqref="I8 I26 I35 I39:I40 I43 I45 I53 I24 I49:I50">
    <cfRule type="expression" dxfId="375" priority="314">
      <formula>$E8=2</formula>
    </cfRule>
  </conditionalFormatting>
  <conditionalFormatting sqref="J8 J26 J35 J39:J40 J43 J45 J49:J50 J53 J24">
    <cfRule type="expression" dxfId="374" priority="322">
      <formula>$E8=3</formula>
    </cfRule>
  </conditionalFormatting>
  <conditionalFormatting sqref="K26 K35 K39:K40 K43 K45 K49:K50 K53 K24 K8">
    <cfRule type="expression" dxfId="373" priority="330">
      <formula>$E8=4</formula>
    </cfRule>
  </conditionalFormatting>
  <conditionalFormatting sqref="H5">
    <cfRule type="expression" dxfId="372" priority="254" stopIfTrue="1">
      <formula>$E5&gt;=1</formula>
    </cfRule>
  </conditionalFormatting>
  <conditionalFormatting sqref="H5:J5">
    <cfRule type="expression" dxfId="371" priority="14" stopIfTrue="1">
      <formula>$E5&gt;=3</formula>
    </cfRule>
  </conditionalFormatting>
  <conditionalFormatting sqref="H5:I5">
    <cfRule type="expression" dxfId="370" priority="15" stopIfTrue="1">
      <formula>$E5&gt;=2</formula>
    </cfRule>
  </conditionalFormatting>
  <conditionalFormatting sqref="H5:K5">
    <cfRule type="expression" dxfId="369" priority="13" stopIfTrue="1">
      <formula>$E5&gt;=4</formula>
    </cfRule>
  </conditionalFormatting>
  <conditionalFormatting sqref="H22">
    <cfRule type="expression" dxfId="368" priority="12" stopIfTrue="1">
      <formula>$E22&gt;=1</formula>
    </cfRule>
  </conditionalFormatting>
  <conditionalFormatting sqref="H22:J22">
    <cfRule type="expression" dxfId="367" priority="10" stopIfTrue="1">
      <formula>$E22&gt;=3</formula>
    </cfRule>
  </conditionalFormatting>
  <conditionalFormatting sqref="H22:I22">
    <cfRule type="expression" dxfId="366" priority="11" stopIfTrue="1">
      <formula>$E22&gt;=2</formula>
    </cfRule>
  </conditionalFormatting>
  <conditionalFormatting sqref="H22:K22">
    <cfRule type="expression" dxfId="365" priority="9" stopIfTrue="1">
      <formula>$E22&gt;=4</formula>
    </cfRule>
  </conditionalFormatting>
  <conditionalFormatting sqref="H46">
    <cfRule type="expression" dxfId="364" priority="8" stopIfTrue="1">
      <formula>$E46&gt;=1</formula>
    </cfRule>
  </conditionalFormatting>
  <conditionalFormatting sqref="H46:J46">
    <cfRule type="expression" dxfId="363" priority="6" stopIfTrue="1">
      <formula>$E46&gt;=3</formula>
    </cfRule>
  </conditionalFormatting>
  <conditionalFormatting sqref="H46:I46">
    <cfRule type="expression" dxfId="362" priority="7" stopIfTrue="1">
      <formula>$E46&gt;=2</formula>
    </cfRule>
  </conditionalFormatting>
  <conditionalFormatting sqref="H46:K46">
    <cfRule type="expression" dxfId="361" priority="5" stopIfTrue="1">
      <formula>$E46&gt;=4</formula>
    </cfRule>
  </conditionalFormatting>
  <conditionalFormatting sqref="H7 H9:H20 H23 H25 H27 H30:H34 H37:H38 H42 H48 H52 H55:H57">
    <cfRule type="expression" dxfId="360" priority="4" stopIfTrue="1">
      <formula>$E7&gt;=1</formula>
    </cfRule>
  </conditionalFormatting>
  <conditionalFormatting sqref="H7:J7 H9:J20 H23:J23 H25:J25 H27:J27 H30:J34 H37:J38 H42:J42 H48:J48 H52:J52 H55:J57">
    <cfRule type="expression" dxfId="359" priority="2" stopIfTrue="1">
      <formula>$E7&gt;=3</formula>
    </cfRule>
  </conditionalFormatting>
  <conditionalFormatting sqref="H7:I7 H9:I20 H23:I23 H25:I25 H27:I27 H30:I34 H37:I38 H42:I42 H48:I48 H52:I52 H55:I57">
    <cfRule type="expression" dxfId="358" priority="3" stopIfTrue="1">
      <formula>$E7&gt;=2</formula>
    </cfRule>
  </conditionalFormatting>
  <conditionalFormatting sqref="H7:K7 H9:K20 H23:K23 H25:K25 H27:K27 H30:K34 H37:K38 H42:K42 H48:K48 H52:K52 H55:K57 K60">
    <cfRule type="expression" dxfId="357" priority="1" stopIfTrue="1">
      <formula>$E7&gt;=4</formula>
    </cfRule>
  </conditionalFormatting>
  <hyperlinks>
    <hyperlink ref="E1" r:id="rId1" display="http://2050-wiki.greenonblack.com/pages/72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 enableFormatConditionsCalculation="0">
    <pageSetUpPr fitToPage="1"/>
  </sheetPr>
  <dimension ref="A1:AI109"/>
  <sheetViews>
    <sheetView workbookViewId="0"/>
  </sheetViews>
  <sheetFormatPr baseColWidth="10" defaultColWidth="8.83203125" defaultRowHeight="12" x14ac:dyDescent="0"/>
  <cols>
    <col min="1" max="1" width="19.1640625" style="46" customWidth="1"/>
    <col min="2" max="2" width="7" style="46" bestFit="1" customWidth="1"/>
    <col min="3" max="3" width="12.6640625" style="46" customWidth="1"/>
    <col min="4" max="4" width="8.33203125" style="46" customWidth="1"/>
    <col min="5" max="5" width="9" style="46" customWidth="1"/>
    <col min="6" max="6" width="6.83203125" style="46" customWidth="1"/>
    <col min="7" max="7" width="9.5" style="46" customWidth="1"/>
    <col min="8" max="9" width="8.5" style="46" customWidth="1"/>
    <col min="10" max="10" width="5.33203125" style="46" customWidth="1"/>
    <col min="11" max="11" width="7.5" style="46" customWidth="1"/>
    <col min="12" max="24" width="8.83203125" style="46"/>
    <col min="25" max="33" width="9.33203125" style="46" bestFit="1" customWidth="1"/>
    <col min="34" max="34" width="9.6640625" style="46" bestFit="1" customWidth="1"/>
    <col min="35" max="35" width="9.33203125" style="46" bestFit="1" customWidth="1"/>
    <col min="36" max="256" width="8.83203125" style="46"/>
    <col min="257" max="257" width="19.1640625" style="46" customWidth="1"/>
    <col min="258" max="258" width="7" style="46" bestFit="1" customWidth="1"/>
    <col min="259" max="259" width="12.6640625" style="46" customWidth="1"/>
    <col min="260" max="260" width="8.33203125" style="46" customWidth="1"/>
    <col min="261" max="261" width="9" style="46" customWidth="1"/>
    <col min="262" max="262" width="6.83203125" style="46" customWidth="1"/>
    <col min="263" max="263" width="9.5" style="46" customWidth="1"/>
    <col min="264" max="265" width="8.5" style="46" customWidth="1"/>
    <col min="266" max="266" width="5.33203125" style="46" customWidth="1"/>
    <col min="267" max="267" width="7.5" style="46" customWidth="1"/>
    <col min="268" max="280" width="8.83203125" style="46"/>
    <col min="281" max="289" width="9.33203125" style="46" bestFit="1" customWidth="1"/>
    <col min="290" max="290" width="9.6640625" style="46" bestFit="1" customWidth="1"/>
    <col min="291" max="291" width="9.33203125" style="46" bestFit="1" customWidth="1"/>
    <col min="292" max="512" width="8.83203125" style="46"/>
    <col min="513" max="513" width="19.1640625" style="46" customWidth="1"/>
    <col min="514" max="514" width="7" style="46" bestFit="1" customWidth="1"/>
    <col min="515" max="515" width="12.6640625" style="46" customWidth="1"/>
    <col min="516" max="516" width="8.33203125" style="46" customWidth="1"/>
    <col min="517" max="517" width="9" style="46" customWidth="1"/>
    <col min="518" max="518" width="6.83203125" style="46" customWidth="1"/>
    <col min="519" max="519" width="9.5" style="46" customWidth="1"/>
    <col min="520" max="521" width="8.5" style="46" customWidth="1"/>
    <col min="522" max="522" width="5.33203125" style="46" customWidth="1"/>
    <col min="523" max="523" width="7.5" style="46" customWidth="1"/>
    <col min="524" max="536" width="8.83203125" style="46"/>
    <col min="537" max="545" width="9.33203125" style="46" bestFit="1" customWidth="1"/>
    <col min="546" max="546" width="9.6640625" style="46" bestFit="1" customWidth="1"/>
    <col min="547" max="547" width="9.33203125" style="46" bestFit="1" customWidth="1"/>
    <col min="548" max="768" width="8.83203125" style="46"/>
    <col min="769" max="769" width="19.1640625" style="46" customWidth="1"/>
    <col min="770" max="770" width="7" style="46" bestFit="1" customWidth="1"/>
    <col min="771" max="771" width="12.6640625" style="46" customWidth="1"/>
    <col min="772" max="772" width="8.33203125" style="46" customWidth="1"/>
    <col min="773" max="773" width="9" style="46" customWidth="1"/>
    <col min="774" max="774" width="6.83203125" style="46" customWidth="1"/>
    <col min="775" max="775" width="9.5" style="46" customWidth="1"/>
    <col min="776" max="777" width="8.5" style="46" customWidth="1"/>
    <col min="778" max="778" width="5.33203125" style="46" customWidth="1"/>
    <col min="779" max="779" width="7.5" style="46" customWidth="1"/>
    <col min="780" max="792" width="8.83203125" style="46"/>
    <col min="793" max="801" width="9.33203125" style="46" bestFit="1" customWidth="1"/>
    <col min="802" max="802" width="9.6640625" style="46" bestFit="1" customWidth="1"/>
    <col min="803" max="803" width="9.33203125" style="46" bestFit="1" customWidth="1"/>
    <col min="804" max="1024" width="8.83203125" style="46"/>
    <col min="1025" max="1025" width="19.1640625" style="46" customWidth="1"/>
    <col min="1026" max="1026" width="7" style="46" bestFit="1" customWidth="1"/>
    <col min="1027" max="1027" width="12.6640625" style="46" customWidth="1"/>
    <col min="1028" max="1028" width="8.33203125" style="46" customWidth="1"/>
    <col min="1029" max="1029" width="9" style="46" customWidth="1"/>
    <col min="1030" max="1030" width="6.83203125" style="46" customWidth="1"/>
    <col min="1031" max="1031" width="9.5" style="46" customWidth="1"/>
    <col min="1032" max="1033" width="8.5" style="46" customWidth="1"/>
    <col min="1034" max="1034" width="5.33203125" style="46" customWidth="1"/>
    <col min="1035" max="1035" width="7.5" style="46" customWidth="1"/>
    <col min="1036" max="1048" width="8.83203125" style="46"/>
    <col min="1049" max="1057" width="9.33203125" style="46" bestFit="1" customWidth="1"/>
    <col min="1058" max="1058" width="9.6640625" style="46" bestFit="1" customWidth="1"/>
    <col min="1059" max="1059" width="9.33203125" style="46" bestFit="1" customWidth="1"/>
    <col min="1060" max="1280" width="8.83203125" style="46"/>
    <col min="1281" max="1281" width="19.1640625" style="46" customWidth="1"/>
    <col min="1282" max="1282" width="7" style="46" bestFit="1" customWidth="1"/>
    <col min="1283" max="1283" width="12.6640625" style="46" customWidth="1"/>
    <col min="1284" max="1284" width="8.33203125" style="46" customWidth="1"/>
    <col min="1285" max="1285" width="9" style="46" customWidth="1"/>
    <col min="1286" max="1286" width="6.83203125" style="46" customWidth="1"/>
    <col min="1287" max="1287" width="9.5" style="46" customWidth="1"/>
    <col min="1288" max="1289" width="8.5" style="46" customWidth="1"/>
    <col min="1290" max="1290" width="5.33203125" style="46" customWidth="1"/>
    <col min="1291" max="1291" width="7.5" style="46" customWidth="1"/>
    <col min="1292" max="1304" width="8.83203125" style="46"/>
    <col min="1305" max="1313" width="9.33203125" style="46" bestFit="1" customWidth="1"/>
    <col min="1314" max="1314" width="9.6640625" style="46" bestFit="1" customWidth="1"/>
    <col min="1315" max="1315" width="9.33203125" style="46" bestFit="1" customWidth="1"/>
    <col min="1316" max="1536" width="8.83203125" style="46"/>
    <col min="1537" max="1537" width="19.1640625" style="46" customWidth="1"/>
    <col min="1538" max="1538" width="7" style="46" bestFit="1" customWidth="1"/>
    <col min="1539" max="1539" width="12.6640625" style="46" customWidth="1"/>
    <col min="1540" max="1540" width="8.33203125" style="46" customWidth="1"/>
    <col min="1541" max="1541" width="9" style="46" customWidth="1"/>
    <col min="1542" max="1542" width="6.83203125" style="46" customWidth="1"/>
    <col min="1543" max="1543" width="9.5" style="46" customWidth="1"/>
    <col min="1544" max="1545" width="8.5" style="46" customWidth="1"/>
    <col min="1546" max="1546" width="5.33203125" style="46" customWidth="1"/>
    <col min="1547" max="1547" width="7.5" style="46" customWidth="1"/>
    <col min="1548" max="1560" width="8.83203125" style="46"/>
    <col min="1561" max="1569" width="9.33203125" style="46" bestFit="1" customWidth="1"/>
    <col min="1570" max="1570" width="9.6640625" style="46" bestFit="1" customWidth="1"/>
    <col min="1571" max="1571" width="9.33203125" style="46" bestFit="1" customWidth="1"/>
    <col min="1572" max="1792" width="8.83203125" style="46"/>
    <col min="1793" max="1793" width="19.1640625" style="46" customWidth="1"/>
    <col min="1794" max="1794" width="7" style="46" bestFit="1" customWidth="1"/>
    <col min="1795" max="1795" width="12.6640625" style="46" customWidth="1"/>
    <col min="1796" max="1796" width="8.33203125" style="46" customWidth="1"/>
    <col min="1797" max="1797" width="9" style="46" customWidth="1"/>
    <col min="1798" max="1798" width="6.83203125" style="46" customWidth="1"/>
    <col min="1799" max="1799" width="9.5" style="46" customWidth="1"/>
    <col min="1800" max="1801" width="8.5" style="46" customWidth="1"/>
    <col min="1802" max="1802" width="5.33203125" style="46" customWidth="1"/>
    <col min="1803" max="1803" width="7.5" style="46" customWidth="1"/>
    <col min="1804" max="1816" width="8.83203125" style="46"/>
    <col min="1817" max="1825" width="9.33203125" style="46" bestFit="1" customWidth="1"/>
    <col min="1826" max="1826" width="9.6640625" style="46" bestFit="1" customWidth="1"/>
    <col min="1827" max="1827" width="9.33203125" style="46" bestFit="1" customWidth="1"/>
    <col min="1828" max="2048" width="8.83203125" style="46"/>
    <col min="2049" max="2049" width="19.1640625" style="46" customWidth="1"/>
    <col min="2050" max="2050" width="7" style="46" bestFit="1" customWidth="1"/>
    <col min="2051" max="2051" width="12.6640625" style="46" customWidth="1"/>
    <col min="2052" max="2052" width="8.33203125" style="46" customWidth="1"/>
    <col min="2053" max="2053" width="9" style="46" customWidth="1"/>
    <col min="2054" max="2054" width="6.83203125" style="46" customWidth="1"/>
    <col min="2055" max="2055" width="9.5" style="46" customWidth="1"/>
    <col min="2056" max="2057" width="8.5" style="46" customWidth="1"/>
    <col min="2058" max="2058" width="5.33203125" style="46" customWidth="1"/>
    <col min="2059" max="2059" width="7.5" style="46" customWidth="1"/>
    <col min="2060" max="2072" width="8.83203125" style="46"/>
    <col min="2073" max="2081" width="9.33203125" style="46" bestFit="1" customWidth="1"/>
    <col min="2082" max="2082" width="9.6640625" style="46" bestFit="1" customWidth="1"/>
    <col min="2083" max="2083" width="9.33203125" style="46" bestFit="1" customWidth="1"/>
    <col min="2084" max="2304" width="8.83203125" style="46"/>
    <col min="2305" max="2305" width="19.1640625" style="46" customWidth="1"/>
    <col min="2306" max="2306" width="7" style="46" bestFit="1" customWidth="1"/>
    <col min="2307" max="2307" width="12.6640625" style="46" customWidth="1"/>
    <col min="2308" max="2308" width="8.33203125" style="46" customWidth="1"/>
    <col min="2309" max="2309" width="9" style="46" customWidth="1"/>
    <col min="2310" max="2310" width="6.83203125" style="46" customWidth="1"/>
    <col min="2311" max="2311" width="9.5" style="46" customWidth="1"/>
    <col min="2312" max="2313" width="8.5" style="46" customWidth="1"/>
    <col min="2314" max="2314" width="5.33203125" style="46" customWidth="1"/>
    <col min="2315" max="2315" width="7.5" style="46" customWidth="1"/>
    <col min="2316" max="2328" width="8.83203125" style="46"/>
    <col min="2329" max="2337" width="9.33203125" style="46" bestFit="1" customWidth="1"/>
    <col min="2338" max="2338" width="9.6640625" style="46" bestFit="1" customWidth="1"/>
    <col min="2339" max="2339" width="9.33203125" style="46" bestFit="1" customWidth="1"/>
    <col min="2340" max="2560" width="8.83203125" style="46"/>
    <col min="2561" max="2561" width="19.1640625" style="46" customWidth="1"/>
    <col min="2562" max="2562" width="7" style="46" bestFit="1" customWidth="1"/>
    <col min="2563" max="2563" width="12.6640625" style="46" customWidth="1"/>
    <col min="2564" max="2564" width="8.33203125" style="46" customWidth="1"/>
    <col min="2565" max="2565" width="9" style="46" customWidth="1"/>
    <col min="2566" max="2566" width="6.83203125" style="46" customWidth="1"/>
    <col min="2567" max="2567" width="9.5" style="46" customWidth="1"/>
    <col min="2568" max="2569" width="8.5" style="46" customWidth="1"/>
    <col min="2570" max="2570" width="5.33203125" style="46" customWidth="1"/>
    <col min="2571" max="2571" width="7.5" style="46" customWidth="1"/>
    <col min="2572" max="2584" width="8.83203125" style="46"/>
    <col min="2585" max="2593" width="9.33203125" style="46" bestFit="1" customWidth="1"/>
    <col min="2594" max="2594" width="9.6640625" style="46" bestFit="1" customWidth="1"/>
    <col min="2595" max="2595" width="9.33203125" style="46" bestFit="1" customWidth="1"/>
    <col min="2596" max="2816" width="8.83203125" style="46"/>
    <col min="2817" max="2817" width="19.1640625" style="46" customWidth="1"/>
    <col min="2818" max="2818" width="7" style="46" bestFit="1" customWidth="1"/>
    <col min="2819" max="2819" width="12.6640625" style="46" customWidth="1"/>
    <col min="2820" max="2820" width="8.33203125" style="46" customWidth="1"/>
    <col min="2821" max="2821" width="9" style="46" customWidth="1"/>
    <col min="2822" max="2822" width="6.83203125" style="46" customWidth="1"/>
    <col min="2823" max="2823" width="9.5" style="46" customWidth="1"/>
    <col min="2824" max="2825" width="8.5" style="46" customWidth="1"/>
    <col min="2826" max="2826" width="5.33203125" style="46" customWidth="1"/>
    <col min="2827" max="2827" width="7.5" style="46" customWidth="1"/>
    <col min="2828" max="2840" width="8.83203125" style="46"/>
    <col min="2841" max="2849" width="9.33203125" style="46" bestFit="1" customWidth="1"/>
    <col min="2850" max="2850" width="9.6640625" style="46" bestFit="1" customWidth="1"/>
    <col min="2851" max="2851" width="9.33203125" style="46" bestFit="1" customWidth="1"/>
    <col min="2852" max="3072" width="8.83203125" style="46"/>
    <col min="3073" max="3073" width="19.1640625" style="46" customWidth="1"/>
    <col min="3074" max="3074" width="7" style="46" bestFit="1" customWidth="1"/>
    <col min="3075" max="3075" width="12.6640625" style="46" customWidth="1"/>
    <col min="3076" max="3076" width="8.33203125" style="46" customWidth="1"/>
    <col min="3077" max="3077" width="9" style="46" customWidth="1"/>
    <col min="3078" max="3078" width="6.83203125" style="46" customWidth="1"/>
    <col min="3079" max="3079" width="9.5" style="46" customWidth="1"/>
    <col min="3080" max="3081" width="8.5" style="46" customWidth="1"/>
    <col min="3082" max="3082" width="5.33203125" style="46" customWidth="1"/>
    <col min="3083" max="3083" width="7.5" style="46" customWidth="1"/>
    <col min="3084" max="3096" width="8.83203125" style="46"/>
    <col min="3097" max="3105" width="9.33203125" style="46" bestFit="1" customWidth="1"/>
    <col min="3106" max="3106" width="9.6640625" style="46" bestFit="1" customWidth="1"/>
    <col min="3107" max="3107" width="9.33203125" style="46" bestFit="1" customWidth="1"/>
    <col min="3108" max="3328" width="8.83203125" style="46"/>
    <col min="3329" max="3329" width="19.1640625" style="46" customWidth="1"/>
    <col min="3330" max="3330" width="7" style="46" bestFit="1" customWidth="1"/>
    <col min="3331" max="3331" width="12.6640625" style="46" customWidth="1"/>
    <col min="3332" max="3332" width="8.33203125" style="46" customWidth="1"/>
    <col min="3333" max="3333" width="9" style="46" customWidth="1"/>
    <col min="3334" max="3334" width="6.83203125" style="46" customWidth="1"/>
    <col min="3335" max="3335" width="9.5" style="46" customWidth="1"/>
    <col min="3336" max="3337" width="8.5" style="46" customWidth="1"/>
    <col min="3338" max="3338" width="5.33203125" style="46" customWidth="1"/>
    <col min="3339" max="3339" width="7.5" style="46" customWidth="1"/>
    <col min="3340" max="3352" width="8.83203125" style="46"/>
    <col min="3353" max="3361" width="9.33203125" style="46" bestFit="1" customWidth="1"/>
    <col min="3362" max="3362" width="9.6640625" style="46" bestFit="1" customWidth="1"/>
    <col min="3363" max="3363" width="9.33203125" style="46" bestFit="1" customWidth="1"/>
    <col min="3364" max="3584" width="8.83203125" style="46"/>
    <col min="3585" max="3585" width="19.1640625" style="46" customWidth="1"/>
    <col min="3586" max="3586" width="7" style="46" bestFit="1" customWidth="1"/>
    <col min="3587" max="3587" width="12.6640625" style="46" customWidth="1"/>
    <col min="3588" max="3588" width="8.33203125" style="46" customWidth="1"/>
    <col min="3589" max="3589" width="9" style="46" customWidth="1"/>
    <col min="3590" max="3590" width="6.83203125" style="46" customWidth="1"/>
    <col min="3591" max="3591" width="9.5" style="46" customWidth="1"/>
    <col min="3592" max="3593" width="8.5" style="46" customWidth="1"/>
    <col min="3594" max="3594" width="5.33203125" style="46" customWidth="1"/>
    <col min="3595" max="3595" width="7.5" style="46" customWidth="1"/>
    <col min="3596" max="3608" width="8.83203125" style="46"/>
    <col min="3609" max="3617" width="9.33203125" style="46" bestFit="1" customWidth="1"/>
    <col min="3618" max="3618" width="9.6640625" style="46" bestFit="1" customWidth="1"/>
    <col min="3619" max="3619" width="9.33203125" style="46" bestFit="1" customWidth="1"/>
    <col min="3620" max="3840" width="8.83203125" style="46"/>
    <col min="3841" max="3841" width="19.1640625" style="46" customWidth="1"/>
    <col min="3842" max="3842" width="7" style="46" bestFit="1" customWidth="1"/>
    <col min="3843" max="3843" width="12.6640625" style="46" customWidth="1"/>
    <col min="3844" max="3844" width="8.33203125" style="46" customWidth="1"/>
    <col min="3845" max="3845" width="9" style="46" customWidth="1"/>
    <col min="3846" max="3846" width="6.83203125" style="46" customWidth="1"/>
    <col min="3847" max="3847" width="9.5" style="46" customWidth="1"/>
    <col min="3848" max="3849" width="8.5" style="46" customWidth="1"/>
    <col min="3850" max="3850" width="5.33203125" style="46" customWidth="1"/>
    <col min="3851" max="3851" width="7.5" style="46" customWidth="1"/>
    <col min="3852" max="3864" width="8.83203125" style="46"/>
    <col min="3865" max="3873" width="9.33203125" style="46" bestFit="1" customWidth="1"/>
    <col min="3874" max="3874" width="9.6640625" style="46" bestFit="1" customWidth="1"/>
    <col min="3875" max="3875" width="9.33203125" style="46" bestFit="1" customWidth="1"/>
    <col min="3876" max="4096" width="8.83203125" style="46"/>
    <col min="4097" max="4097" width="19.1640625" style="46" customWidth="1"/>
    <col min="4098" max="4098" width="7" style="46" bestFit="1" customWidth="1"/>
    <col min="4099" max="4099" width="12.6640625" style="46" customWidth="1"/>
    <col min="4100" max="4100" width="8.33203125" style="46" customWidth="1"/>
    <col min="4101" max="4101" width="9" style="46" customWidth="1"/>
    <col min="4102" max="4102" width="6.83203125" style="46" customWidth="1"/>
    <col min="4103" max="4103" width="9.5" style="46" customWidth="1"/>
    <col min="4104" max="4105" width="8.5" style="46" customWidth="1"/>
    <col min="4106" max="4106" width="5.33203125" style="46" customWidth="1"/>
    <col min="4107" max="4107" width="7.5" style="46" customWidth="1"/>
    <col min="4108" max="4120" width="8.83203125" style="46"/>
    <col min="4121" max="4129" width="9.33203125" style="46" bestFit="1" customWidth="1"/>
    <col min="4130" max="4130" width="9.6640625" style="46" bestFit="1" customWidth="1"/>
    <col min="4131" max="4131" width="9.33203125" style="46" bestFit="1" customWidth="1"/>
    <col min="4132" max="4352" width="8.83203125" style="46"/>
    <col min="4353" max="4353" width="19.1640625" style="46" customWidth="1"/>
    <col min="4354" max="4354" width="7" style="46" bestFit="1" customWidth="1"/>
    <col min="4355" max="4355" width="12.6640625" style="46" customWidth="1"/>
    <col min="4356" max="4356" width="8.33203125" style="46" customWidth="1"/>
    <col min="4357" max="4357" width="9" style="46" customWidth="1"/>
    <col min="4358" max="4358" width="6.83203125" style="46" customWidth="1"/>
    <col min="4359" max="4359" width="9.5" style="46" customWidth="1"/>
    <col min="4360" max="4361" width="8.5" style="46" customWidth="1"/>
    <col min="4362" max="4362" width="5.33203125" style="46" customWidth="1"/>
    <col min="4363" max="4363" width="7.5" style="46" customWidth="1"/>
    <col min="4364" max="4376" width="8.83203125" style="46"/>
    <col min="4377" max="4385" width="9.33203125" style="46" bestFit="1" customWidth="1"/>
    <col min="4386" max="4386" width="9.6640625" style="46" bestFit="1" customWidth="1"/>
    <col min="4387" max="4387" width="9.33203125" style="46" bestFit="1" customWidth="1"/>
    <col min="4388" max="4608" width="8.83203125" style="46"/>
    <col min="4609" max="4609" width="19.1640625" style="46" customWidth="1"/>
    <col min="4610" max="4610" width="7" style="46" bestFit="1" customWidth="1"/>
    <col min="4611" max="4611" width="12.6640625" style="46" customWidth="1"/>
    <col min="4612" max="4612" width="8.33203125" style="46" customWidth="1"/>
    <col min="4613" max="4613" width="9" style="46" customWidth="1"/>
    <col min="4614" max="4614" width="6.83203125" style="46" customWidth="1"/>
    <col min="4615" max="4615" width="9.5" style="46" customWidth="1"/>
    <col min="4616" max="4617" width="8.5" style="46" customWidth="1"/>
    <col min="4618" max="4618" width="5.33203125" style="46" customWidth="1"/>
    <col min="4619" max="4619" width="7.5" style="46" customWidth="1"/>
    <col min="4620" max="4632" width="8.83203125" style="46"/>
    <col min="4633" max="4641" width="9.33203125" style="46" bestFit="1" customWidth="1"/>
    <col min="4642" max="4642" width="9.6640625" style="46" bestFit="1" customWidth="1"/>
    <col min="4643" max="4643" width="9.33203125" style="46" bestFit="1" customWidth="1"/>
    <col min="4644" max="4864" width="8.83203125" style="46"/>
    <col min="4865" max="4865" width="19.1640625" style="46" customWidth="1"/>
    <col min="4866" max="4866" width="7" style="46" bestFit="1" customWidth="1"/>
    <col min="4867" max="4867" width="12.6640625" style="46" customWidth="1"/>
    <col min="4868" max="4868" width="8.33203125" style="46" customWidth="1"/>
    <col min="4869" max="4869" width="9" style="46" customWidth="1"/>
    <col min="4870" max="4870" width="6.83203125" style="46" customWidth="1"/>
    <col min="4871" max="4871" width="9.5" style="46" customWidth="1"/>
    <col min="4872" max="4873" width="8.5" style="46" customWidth="1"/>
    <col min="4874" max="4874" width="5.33203125" style="46" customWidth="1"/>
    <col min="4875" max="4875" width="7.5" style="46" customWidth="1"/>
    <col min="4876" max="4888" width="8.83203125" style="46"/>
    <col min="4889" max="4897" width="9.33203125" style="46" bestFit="1" customWidth="1"/>
    <col min="4898" max="4898" width="9.6640625" style="46" bestFit="1" customWidth="1"/>
    <col min="4899" max="4899" width="9.33203125" style="46" bestFit="1" customWidth="1"/>
    <col min="4900" max="5120" width="8.83203125" style="46"/>
    <col min="5121" max="5121" width="19.1640625" style="46" customWidth="1"/>
    <col min="5122" max="5122" width="7" style="46" bestFit="1" customWidth="1"/>
    <col min="5123" max="5123" width="12.6640625" style="46" customWidth="1"/>
    <col min="5124" max="5124" width="8.33203125" style="46" customWidth="1"/>
    <col min="5125" max="5125" width="9" style="46" customWidth="1"/>
    <col min="5126" max="5126" width="6.83203125" style="46" customWidth="1"/>
    <col min="5127" max="5127" width="9.5" style="46" customWidth="1"/>
    <col min="5128" max="5129" width="8.5" style="46" customWidth="1"/>
    <col min="5130" max="5130" width="5.33203125" style="46" customWidth="1"/>
    <col min="5131" max="5131" width="7.5" style="46" customWidth="1"/>
    <col min="5132" max="5144" width="8.83203125" style="46"/>
    <col min="5145" max="5153" width="9.33203125" style="46" bestFit="1" customWidth="1"/>
    <col min="5154" max="5154" width="9.6640625" style="46" bestFit="1" customWidth="1"/>
    <col min="5155" max="5155" width="9.33203125" style="46" bestFit="1" customWidth="1"/>
    <col min="5156" max="5376" width="8.83203125" style="46"/>
    <col min="5377" max="5377" width="19.1640625" style="46" customWidth="1"/>
    <col min="5378" max="5378" width="7" style="46" bestFit="1" customWidth="1"/>
    <col min="5379" max="5379" width="12.6640625" style="46" customWidth="1"/>
    <col min="5380" max="5380" width="8.33203125" style="46" customWidth="1"/>
    <col min="5381" max="5381" width="9" style="46" customWidth="1"/>
    <col min="5382" max="5382" width="6.83203125" style="46" customWidth="1"/>
    <col min="5383" max="5383" width="9.5" style="46" customWidth="1"/>
    <col min="5384" max="5385" width="8.5" style="46" customWidth="1"/>
    <col min="5386" max="5386" width="5.33203125" style="46" customWidth="1"/>
    <col min="5387" max="5387" width="7.5" style="46" customWidth="1"/>
    <col min="5388" max="5400" width="8.83203125" style="46"/>
    <col min="5401" max="5409" width="9.33203125" style="46" bestFit="1" customWidth="1"/>
    <col min="5410" max="5410" width="9.6640625" style="46" bestFit="1" customWidth="1"/>
    <col min="5411" max="5411" width="9.33203125" style="46" bestFit="1" customWidth="1"/>
    <col min="5412" max="5632" width="8.83203125" style="46"/>
    <col min="5633" max="5633" width="19.1640625" style="46" customWidth="1"/>
    <col min="5634" max="5634" width="7" style="46" bestFit="1" customWidth="1"/>
    <col min="5635" max="5635" width="12.6640625" style="46" customWidth="1"/>
    <col min="5636" max="5636" width="8.33203125" style="46" customWidth="1"/>
    <col min="5637" max="5637" width="9" style="46" customWidth="1"/>
    <col min="5638" max="5638" width="6.83203125" style="46" customWidth="1"/>
    <col min="5639" max="5639" width="9.5" style="46" customWidth="1"/>
    <col min="5640" max="5641" width="8.5" style="46" customWidth="1"/>
    <col min="5642" max="5642" width="5.33203125" style="46" customWidth="1"/>
    <col min="5643" max="5643" width="7.5" style="46" customWidth="1"/>
    <col min="5644" max="5656" width="8.83203125" style="46"/>
    <col min="5657" max="5665" width="9.33203125" style="46" bestFit="1" customWidth="1"/>
    <col min="5666" max="5666" width="9.6640625" style="46" bestFit="1" customWidth="1"/>
    <col min="5667" max="5667" width="9.33203125" style="46" bestFit="1" customWidth="1"/>
    <col min="5668" max="5888" width="8.83203125" style="46"/>
    <col min="5889" max="5889" width="19.1640625" style="46" customWidth="1"/>
    <col min="5890" max="5890" width="7" style="46" bestFit="1" customWidth="1"/>
    <col min="5891" max="5891" width="12.6640625" style="46" customWidth="1"/>
    <col min="5892" max="5892" width="8.33203125" style="46" customWidth="1"/>
    <col min="5893" max="5893" width="9" style="46" customWidth="1"/>
    <col min="5894" max="5894" width="6.83203125" style="46" customWidth="1"/>
    <col min="5895" max="5895" width="9.5" style="46" customWidth="1"/>
    <col min="5896" max="5897" width="8.5" style="46" customWidth="1"/>
    <col min="5898" max="5898" width="5.33203125" style="46" customWidth="1"/>
    <col min="5899" max="5899" width="7.5" style="46" customWidth="1"/>
    <col min="5900" max="5912" width="8.83203125" style="46"/>
    <col min="5913" max="5921" width="9.33203125" style="46" bestFit="1" customWidth="1"/>
    <col min="5922" max="5922" width="9.6640625" style="46" bestFit="1" customWidth="1"/>
    <col min="5923" max="5923" width="9.33203125" style="46" bestFit="1" customWidth="1"/>
    <col min="5924" max="6144" width="8.83203125" style="46"/>
    <col min="6145" max="6145" width="19.1640625" style="46" customWidth="1"/>
    <col min="6146" max="6146" width="7" style="46" bestFit="1" customWidth="1"/>
    <col min="6147" max="6147" width="12.6640625" style="46" customWidth="1"/>
    <col min="6148" max="6148" width="8.33203125" style="46" customWidth="1"/>
    <col min="6149" max="6149" width="9" style="46" customWidth="1"/>
    <col min="6150" max="6150" width="6.83203125" style="46" customWidth="1"/>
    <col min="6151" max="6151" width="9.5" style="46" customWidth="1"/>
    <col min="6152" max="6153" width="8.5" style="46" customWidth="1"/>
    <col min="6154" max="6154" width="5.33203125" style="46" customWidth="1"/>
    <col min="6155" max="6155" width="7.5" style="46" customWidth="1"/>
    <col min="6156" max="6168" width="8.83203125" style="46"/>
    <col min="6169" max="6177" width="9.33203125" style="46" bestFit="1" customWidth="1"/>
    <col min="6178" max="6178" width="9.6640625" style="46" bestFit="1" customWidth="1"/>
    <col min="6179" max="6179" width="9.33203125" style="46" bestFit="1" customWidth="1"/>
    <col min="6180" max="6400" width="8.83203125" style="46"/>
    <col min="6401" max="6401" width="19.1640625" style="46" customWidth="1"/>
    <col min="6402" max="6402" width="7" style="46" bestFit="1" customWidth="1"/>
    <col min="6403" max="6403" width="12.6640625" style="46" customWidth="1"/>
    <col min="6404" max="6404" width="8.33203125" style="46" customWidth="1"/>
    <col min="6405" max="6405" width="9" style="46" customWidth="1"/>
    <col min="6406" max="6406" width="6.83203125" style="46" customWidth="1"/>
    <col min="6407" max="6407" width="9.5" style="46" customWidth="1"/>
    <col min="6408" max="6409" width="8.5" style="46" customWidth="1"/>
    <col min="6410" max="6410" width="5.33203125" style="46" customWidth="1"/>
    <col min="6411" max="6411" width="7.5" style="46" customWidth="1"/>
    <col min="6412" max="6424" width="8.83203125" style="46"/>
    <col min="6425" max="6433" width="9.33203125" style="46" bestFit="1" customWidth="1"/>
    <col min="6434" max="6434" width="9.6640625" style="46" bestFit="1" customWidth="1"/>
    <col min="6435" max="6435" width="9.33203125" style="46" bestFit="1" customWidth="1"/>
    <col min="6436" max="6656" width="8.83203125" style="46"/>
    <col min="6657" max="6657" width="19.1640625" style="46" customWidth="1"/>
    <col min="6658" max="6658" width="7" style="46" bestFit="1" customWidth="1"/>
    <col min="6659" max="6659" width="12.6640625" style="46" customWidth="1"/>
    <col min="6660" max="6660" width="8.33203125" style="46" customWidth="1"/>
    <col min="6661" max="6661" width="9" style="46" customWidth="1"/>
    <col min="6662" max="6662" width="6.83203125" style="46" customWidth="1"/>
    <col min="6663" max="6663" width="9.5" style="46" customWidth="1"/>
    <col min="6664" max="6665" width="8.5" style="46" customWidth="1"/>
    <col min="6666" max="6666" width="5.33203125" style="46" customWidth="1"/>
    <col min="6667" max="6667" width="7.5" style="46" customWidth="1"/>
    <col min="6668" max="6680" width="8.83203125" style="46"/>
    <col min="6681" max="6689" width="9.33203125" style="46" bestFit="1" customWidth="1"/>
    <col min="6690" max="6690" width="9.6640625" style="46" bestFit="1" customWidth="1"/>
    <col min="6691" max="6691" width="9.33203125" style="46" bestFit="1" customWidth="1"/>
    <col min="6692" max="6912" width="8.83203125" style="46"/>
    <col min="6913" max="6913" width="19.1640625" style="46" customWidth="1"/>
    <col min="6914" max="6914" width="7" style="46" bestFit="1" customWidth="1"/>
    <col min="6915" max="6915" width="12.6640625" style="46" customWidth="1"/>
    <col min="6916" max="6916" width="8.33203125" style="46" customWidth="1"/>
    <col min="6917" max="6917" width="9" style="46" customWidth="1"/>
    <col min="6918" max="6918" width="6.83203125" style="46" customWidth="1"/>
    <col min="6919" max="6919" width="9.5" style="46" customWidth="1"/>
    <col min="6920" max="6921" width="8.5" style="46" customWidth="1"/>
    <col min="6922" max="6922" width="5.33203125" style="46" customWidth="1"/>
    <col min="6923" max="6923" width="7.5" style="46" customWidth="1"/>
    <col min="6924" max="6936" width="8.83203125" style="46"/>
    <col min="6937" max="6945" width="9.33203125" style="46" bestFit="1" customWidth="1"/>
    <col min="6946" max="6946" width="9.6640625" style="46" bestFit="1" customWidth="1"/>
    <col min="6947" max="6947" width="9.33203125" style="46" bestFit="1" customWidth="1"/>
    <col min="6948" max="7168" width="8.83203125" style="46"/>
    <col min="7169" max="7169" width="19.1640625" style="46" customWidth="1"/>
    <col min="7170" max="7170" width="7" style="46" bestFit="1" customWidth="1"/>
    <col min="7171" max="7171" width="12.6640625" style="46" customWidth="1"/>
    <col min="7172" max="7172" width="8.33203125" style="46" customWidth="1"/>
    <col min="7173" max="7173" width="9" style="46" customWidth="1"/>
    <col min="7174" max="7174" width="6.83203125" style="46" customWidth="1"/>
    <col min="7175" max="7175" width="9.5" style="46" customWidth="1"/>
    <col min="7176" max="7177" width="8.5" style="46" customWidth="1"/>
    <col min="7178" max="7178" width="5.33203125" style="46" customWidth="1"/>
    <col min="7179" max="7179" width="7.5" style="46" customWidth="1"/>
    <col min="7180" max="7192" width="8.83203125" style="46"/>
    <col min="7193" max="7201" width="9.33203125" style="46" bestFit="1" customWidth="1"/>
    <col min="7202" max="7202" width="9.6640625" style="46" bestFit="1" customWidth="1"/>
    <col min="7203" max="7203" width="9.33203125" style="46" bestFit="1" customWidth="1"/>
    <col min="7204" max="7424" width="8.83203125" style="46"/>
    <col min="7425" max="7425" width="19.1640625" style="46" customWidth="1"/>
    <col min="7426" max="7426" width="7" style="46" bestFit="1" customWidth="1"/>
    <col min="7427" max="7427" width="12.6640625" style="46" customWidth="1"/>
    <col min="7428" max="7428" width="8.33203125" style="46" customWidth="1"/>
    <col min="7429" max="7429" width="9" style="46" customWidth="1"/>
    <col min="7430" max="7430" width="6.83203125" style="46" customWidth="1"/>
    <col min="7431" max="7431" width="9.5" style="46" customWidth="1"/>
    <col min="7432" max="7433" width="8.5" style="46" customWidth="1"/>
    <col min="7434" max="7434" width="5.33203125" style="46" customWidth="1"/>
    <col min="7435" max="7435" width="7.5" style="46" customWidth="1"/>
    <col min="7436" max="7448" width="8.83203125" style="46"/>
    <col min="7449" max="7457" width="9.33203125" style="46" bestFit="1" customWidth="1"/>
    <col min="7458" max="7458" width="9.6640625" style="46" bestFit="1" customWidth="1"/>
    <col min="7459" max="7459" width="9.33203125" style="46" bestFit="1" customWidth="1"/>
    <col min="7460" max="7680" width="8.83203125" style="46"/>
    <col min="7681" max="7681" width="19.1640625" style="46" customWidth="1"/>
    <col min="7682" max="7682" width="7" style="46" bestFit="1" customWidth="1"/>
    <col min="7683" max="7683" width="12.6640625" style="46" customWidth="1"/>
    <col min="7684" max="7684" width="8.33203125" style="46" customWidth="1"/>
    <col min="7685" max="7685" width="9" style="46" customWidth="1"/>
    <col min="7686" max="7686" width="6.83203125" style="46" customWidth="1"/>
    <col min="7687" max="7687" width="9.5" style="46" customWidth="1"/>
    <col min="7688" max="7689" width="8.5" style="46" customWidth="1"/>
    <col min="7690" max="7690" width="5.33203125" style="46" customWidth="1"/>
    <col min="7691" max="7691" width="7.5" style="46" customWidth="1"/>
    <col min="7692" max="7704" width="8.83203125" style="46"/>
    <col min="7705" max="7713" width="9.33203125" style="46" bestFit="1" customWidth="1"/>
    <col min="7714" max="7714" width="9.6640625" style="46" bestFit="1" customWidth="1"/>
    <col min="7715" max="7715" width="9.33203125" style="46" bestFit="1" customWidth="1"/>
    <col min="7716" max="7936" width="8.83203125" style="46"/>
    <col min="7937" max="7937" width="19.1640625" style="46" customWidth="1"/>
    <col min="7938" max="7938" width="7" style="46" bestFit="1" customWidth="1"/>
    <col min="7939" max="7939" width="12.6640625" style="46" customWidth="1"/>
    <col min="7940" max="7940" width="8.33203125" style="46" customWidth="1"/>
    <col min="7941" max="7941" width="9" style="46" customWidth="1"/>
    <col min="7942" max="7942" width="6.83203125" style="46" customWidth="1"/>
    <col min="7943" max="7943" width="9.5" style="46" customWidth="1"/>
    <col min="7944" max="7945" width="8.5" style="46" customWidth="1"/>
    <col min="7946" max="7946" width="5.33203125" style="46" customWidth="1"/>
    <col min="7947" max="7947" width="7.5" style="46" customWidth="1"/>
    <col min="7948" max="7960" width="8.83203125" style="46"/>
    <col min="7961" max="7969" width="9.33203125" style="46" bestFit="1" customWidth="1"/>
    <col min="7970" max="7970" width="9.6640625" style="46" bestFit="1" customWidth="1"/>
    <col min="7971" max="7971" width="9.33203125" style="46" bestFit="1" customWidth="1"/>
    <col min="7972" max="8192" width="8.83203125" style="46"/>
    <col min="8193" max="8193" width="19.1640625" style="46" customWidth="1"/>
    <col min="8194" max="8194" width="7" style="46" bestFit="1" customWidth="1"/>
    <col min="8195" max="8195" width="12.6640625" style="46" customWidth="1"/>
    <col min="8196" max="8196" width="8.33203125" style="46" customWidth="1"/>
    <col min="8197" max="8197" width="9" style="46" customWidth="1"/>
    <col min="8198" max="8198" width="6.83203125" style="46" customWidth="1"/>
    <col min="8199" max="8199" width="9.5" style="46" customWidth="1"/>
    <col min="8200" max="8201" width="8.5" style="46" customWidth="1"/>
    <col min="8202" max="8202" width="5.33203125" style="46" customWidth="1"/>
    <col min="8203" max="8203" width="7.5" style="46" customWidth="1"/>
    <col min="8204" max="8216" width="8.83203125" style="46"/>
    <col min="8217" max="8225" width="9.33203125" style="46" bestFit="1" customWidth="1"/>
    <col min="8226" max="8226" width="9.6640625" style="46" bestFit="1" customWidth="1"/>
    <col min="8227" max="8227" width="9.33203125" style="46" bestFit="1" customWidth="1"/>
    <col min="8228" max="8448" width="8.83203125" style="46"/>
    <col min="8449" max="8449" width="19.1640625" style="46" customWidth="1"/>
    <col min="8450" max="8450" width="7" style="46" bestFit="1" customWidth="1"/>
    <col min="8451" max="8451" width="12.6640625" style="46" customWidth="1"/>
    <col min="8452" max="8452" width="8.33203125" style="46" customWidth="1"/>
    <col min="8453" max="8453" width="9" style="46" customWidth="1"/>
    <col min="8454" max="8454" width="6.83203125" style="46" customWidth="1"/>
    <col min="8455" max="8455" width="9.5" style="46" customWidth="1"/>
    <col min="8456" max="8457" width="8.5" style="46" customWidth="1"/>
    <col min="8458" max="8458" width="5.33203125" style="46" customWidth="1"/>
    <col min="8459" max="8459" width="7.5" style="46" customWidth="1"/>
    <col min="8460" max="8472" width="8.83203125" style="46"/>
    <col min="8473" max="8481" width="9.33203125" style="46" bestFit="1" customWidth="1"/>
    <col min="8482" max="8482" width="9.6640625" style="46" bestFit="1" customWidth="1"/>
    <col min="8483" max="8483" width="9.33203125" style="46" bestFit="1" customWidth="1"/>
    <col min="8484" max="8704" width="8.83203125" style="46"/>
    <col min="8705" max="8705" width="19.1640625" style="46" customWidth="1"/>
    <col min="8706" max="8706" width="7" style="46" bestFit="1" customWidth="1"/>
    <col min="8707" max="8707" width="12.6640625" style="46" customWidth="1"/>
    <col min="8708" max="8708" width="8.33203125" style="46" customWidth="1"/>
    <col min="8709" max="8709" width="9" style="46" customWidth="1"/>
    <col min="8710" max="8710" width="6.83203125" style="46" customWidth="1"/>
    <col min="8711" max="8711" width="9.5" style="46" customWidth="1"/>
    <col min="8712" max="8713" width="8.5" style="46" customWidth="1"/>
    <col min="8714" max="8714" width="5.33203125" style="46" customWidth="1"/>
    <col min="8715" max="8715" width="7.5" style="46" customWidth="1"/>
    <col min="8716" max="8728" width="8.83203125" style="46"/>
    <col min="8729" max="8737" width="9.33203125" style="46" bestFit="1" customWidth="1"/>
    <col min="8738" max="8738" width="9.6640625" style="46" bestFit="1" customWidth="1"/>
    <col min="8739" max="8739" width="9.33203125" style="46" bestFit="1" customWidth="1"/>
    <col min="8740" max="8960" width="8.83203125" style="46"/>
    <col min="8961" max="8961" width="19.1640625" style="46" customWidth="1"/>
    <col min="8962" max="8962" width="7" style="46" bestFit="1" customWidth="1"/>
    <col min="8963" max="8963" width="12.6640625" style="46" customWidth="1"/>
    <col min="8964" max="8964" width="8.33203125" style="46" customWidth="1"/>
    <col min="8965" max="8965" width="9" style="46" customWidth="1"/>
    <col min="8966" max="8966" width="6.83203125" style="46" customWidth="1"/>
    <col min="8967" max="8967" width="9.5" style="46" customWidth="1"/>
    <col min="8968" max="8969" width="8.5" style="46" customWidth="1"/>
    <col min="8970" max="8970" width="5.33203125" style="46" customWidth="1"/>
    <col min="8971" max="8971" width="7.5" style="46" customWidth="1"/>
    <col min="8972" max="8984" width="8.83203125" style="46"/>
    <col min="8985" max="8993" width="9.33203125" style="46" bestFit="1" customWidth="1"/>
    <col min="8994" max="8994" width="9.6640625" style="46" bestFit="1" customWidth="1"/>
    <col min="8995" max="8995" width="9.33203125" style="46" bestFit="1" customWidth="1"/>
    <col min="8996" max="9216" width="8.83203125" style="46"/>
    <col min="9217" max="9217" width="19.1640625" style="46" customWidth="1"/>
    <col min="9218" max="9218" width="7" style="46" bestFit="1" customWidth="1"/>
    <col min="9219" max="9219" width="12.6640625" style="46" customWidth="1"/>
    <col min="9220" max="9220" width="8.33203125" style="46" customWidth="1"/>
    <col min="9221" max="9221" width="9" style="46" customWidth="1"/>
    <col min="9222" max="9222" width="6.83203125" style="46" customWidth="1"/>
    <col min="9223" max="9223" width="9.5" style="46" customWidth="1"/>
    <col min="9224" max="9225" width="8.5" style="46" customWidth="1"/>
    <col min="9226" max="9226" width="5.33203125" style="46" customWidth="1"/>
    <col min="9227" max="9227" width="7.5" style="46" customWidth="1"/>
    <col min="9228" max="9240" width="8.83203125" style="46"/>
    <col min="9241" max="9249" width="9.33203125" style="46" bestFit="1" customWidth="1"/>
    <col min="9250" max="9250" width="9.6640625" style="46" bestFit="1" customWidth="1"/>
    <col min="9251" max="9251" width="9.33203125" style="46" bestFit="1" customWidth="1"/>
    <col min="9252" max="9472" width="8.83203125" style="46"/>
    <col min="9473" max="9473" width="19.1640625" style="46" customWidth="1"/>
    <col min="9474" max="9474" width="7" style="46" bestFit="1" customWidth="1"/>
    <col min="9475" max="9475" width="12.6640625" style="46" customWidth="1"/>
    <col min="9476" max="9476" width="8.33203125" style="46" customWidth="1"/>
    <col min="9477" max="9477" width="9" style="46" customWidth="1"/>
    <col min="9478" max="9478" width="6.83203125" style="46" customWidth="1"/>
    <col min="9479" max="9479" width="9.5" style="46" customWidth="1"/>
    <col min="9480" max="9481" width="8.5" style="46" customWidth="1"/>
    <col min="9482" max="9482" width="5.33203125" style="46" customWidth="1"/>
    <col min="9483" max="9483" width="7.5" style="46" customWidth="1"/>
    <col min="9484" max="9496" width="8.83203125" style="46"/>
    <col min="9497" max="9505" width="9.33203125" style="46" bestFit="1" customWidth="1"/>
    <col min="9506" max="9506" width="9.6640625" style="46" bestFit="1" customWidth="1"/>
    <col min="9507" max="9507" width="9.33203125" style="46" bestFit="1" customWidth="1"/>
    <col min="9508" max="9728" width="8.83203125" style="46"/>
    <col min="9729" max="9729" width="19.1640625" style="46" customWidth="1"/>
    <col min="9730" max="9730" width="7" style="46" bestFit="1" customWidth="1"/>
    <col min="9731" max="9731" width="12.6640625" style="46" customWidth="1"/>
    <col min="9732" max="9732" width="8.33203125" style="46" customWidth="1"/>
    <col min="9733" max="9733" width="9" style="46" customWidth="1"/>
    <col min="9734" max="9734" width="6.83203125" style="46" customWidth="1"/>
    <col min="9735" max="9735" width="9.5" style="46" customWidth="1"/>
    <col min="9736" max="9737" width="8.5" style="46" customWidth="1"/>
    <col min="9738" max="9738" width="5.33203125" style="46" customWidth="1"/>
    <col min="9739" max="9739" width="7.5" style="46" customWidth="1"/>
    <col min="9740" max="9752" width="8.83203125" style="46"/>
    <col min="9753" max="9761" width="9.33203125" style="46" bestFit="1" customWidth="1"/>
    <col min="9762" max="9762" width="9.6640625" style="46" bestFit="1" customWidth="1"/>
    <col min="9763" max="9763" width="9.33203125" style="46" bestFit="1" customWidth="1"/>
    <col min="9764" max="9984" width="8.83203125" style="46"/>
    <col min="9985" max="9985" width="19.1640625" style="46" customWidth="1"/>
    <col min="9986" max="9986" width="7" style="46" bestFit="1" customWidth="1"/>
    <col min="9987" max="9987" width="12.6640625" style="46" customWidth="1"/>
    <col min="9988" max="9988" width="8.33203125" style="46" customWidth="1"/>
    <col min="9989" max="9989" width="9" style="46" customWidth="1"/>
    <col min="9990" max="9990" width="6.83203125" style="46" customWidth="1"/>
    <col min="9991" max="9991" width="9.5" style="46" customWidth="1"/>
    <col min="9992" max="9993" width="8.5" style="46" customWidth="1"/>
    <col min="9994" max="9994" width="5.33203125" style="46" customWidth="1"/>
    <col min="9995" max="9995" width="7.5" style="46" customWidth="1"/>
    <col min="9996" max="10008" width="8.83203125" style="46"/>
    <col min="10009" max="10017" width="9.33203125" style="46" bestFit="1" customWidth="1"/>
    <col min="10018" max="10018" width="9.6640625" style="46" bestFit="1" customWidth="1"/>
    <col min="10019" max="10019" width="9.33203125" style="46" bestFit="1" customWidth="1"/>
    <col min="10020" max="10240" width="8.83203125" style="46"/>
    <col min="10241" max="10241" width="19.1640625" style="46" customWidth="1"/>
    <col min="10242" max="10242" width="7" style="46" bestFit="1" customWidth="1"/>
    <col min="10243" max="10243" width="12.6640625" style="46" customWidth="1"/>
    <col min="10244" max="10244" width="8.33203125" style="46" customWidth="1"/>
    <col min="10245" max="10245" width="9" style="46" customWidth="1"/>
    <col min="10246" max="10246" width="6.83203125" style="46" customWidth="1"/>
    <col min="10247" max="10247" width="9.5" style="46" customWidth="1"/>
    <col min="10248" max="10249" width="8.5" style="46" customWidth="1"/>
    <col min="10250" max="10250" width="5.33203125" style="46" customWidth="1"/>
    <col min="10251" max="10251" width="7.5" style="46" customWidth="1"/>
    <col min="10252" max="10264" width="8.83203125" style="46"/>
    <col min="10265" max="10273" width="9.33203125" style="46" bestFit="1" customWidth="1"/>
    <col min="10274" max="10274" width="9.6640625" style="46" bestFit="1" customWidth="1"/>
    <col min="10275" max="10275" width="9.33203125" style="46" bestFit="1" customWidth="1"/>
    <col min="10276" max="10496" width="8.83203125" style="46"/>
    <col min="10497" max="10497" width="19.1640625" style="46" customWidth="1"/>
    <col min="10498" max="10498" width="7" style="46" bestFit="1" customWidth="1"/>
    <col min="10499" max="10499" width="12.6640625" style="46" customWidth="1"/>
    <col min="10500" max="10500" width="8.33203125" style="46" customWidth="1"/>
    <col min="10501" max="10501" width="9" style="46" customWidth="1"/>
    <col min="10502" max="10502" width="6.83203125" style="46" customWidth="1"/>
    <col min="10503" max="10503" width="9.5" style="46" customWidth="1"/>
    <col min="10504" max="10505" width="8.5" style="46" customWidth="1"/>
    <col min="10506" max="10506" width="5.33203125" style="46" customWidth="1"/>
    <col min="10507" max="10507" width="7.5" style="46" customWidth="1"/>
    <col min="10508" max="10520" width="8.83203125" style="46"/>
    <col min="10521" max="10529" width="9.33203125" style="46" bestFit="1" customWidth="1"/>
    <col min="10530" max="10530" width="9.6640625" style="46" bestFit="1" customWidth="1"/>
    <col min="10531" max="10531" width="9.33203125" style="46" bestFit="1" customWidth="1"/>
    <col min="10532" max="10752" width="8.83203125" style="46"/>
    <col min="10753" max="10753" width="19.1640625" style="46" customWidth="1"/>
    <col min="10754" max="10754" width="7" style="46" bestFit="1" customWidth="1"/>
    <col min="10755" max="10755" width="12.6640625" style="46" customWidth="1"/>
    <col min="10756" max="10756" width="8.33203125" style="46" customWidth="1"/>
    <col min="10757" max="10757" width="9" style="46" customWidth="1"/>
    <col min="10758" max="10758" width="6.83203125" style="46" customWidth="1"/>
    <col min="10759" max="10759" width="9.5" style="46" customWidth="1"/>
    <col min="10760" max="10761" width="8.5" style="46" customWidth="1"/>
    <col min="10762" max="10762" width="5.33203125" style="46" customWidth="1"/>
    <col min="10763" max="10763" width="7.5" style="46" customWidth="1"/>
    <col min="10764" max="10776" width="8.83203125" style="46"/>
    <col min="10777" max="10785" width="9.33203125" style="46" bestFit="1" customWidth="1"/>
    <col min="10786" max="10786" width="9.6640625" style="46" bestFit="1" customWidth="1"/>
    <col min="10787" max="10787" width="9.33203125" style="46" bestFit="1" customWidth="1"/>
    <col min="10788" max="11008" width="8.83203125" style="46"/>
    <col min="11009" max="11009" width="19.1640625" style="46" customWidth="1"/>
    <col min="11010" max="11010" width="7" style="46" bestFit="1" customWidth="1"/>
    <col min="11011" max="11011" width="12.6640625" style="46" customWidth="1"/>
    <col min="11012" max="11012" width="8.33203125" style="46" customWidth="1"/>
    <col min="11013" max="11013" width="9" style="46" customWidth="1"/>
    <col min="11014" max="11014" width="6.83203125" style="46" customWidth="1"/>
    <col min="11015" max="11015" width="9.5" style="46" customWidth="1"/>
    <col min="11016" max="11017" width="8.5" style="46" customWidth="1"/>
    <col min="11018" max="11018" width="5.33203125" style="46" customWidth="1"/>
    <col min="11019" max="11019" width="7.5" style="46" customWidth="1"/>
    <col min="11020" max="11032" width="8.83203125" style="46"/>
    <col min="11033" max="11041" width="9.33203125" style="46" bestFit="1" customWidth="1"/>
    <col min="11042" max="11042" width="9.6640625" style="46" bestFit="1" customWidth="1"/>
    <col min="11043" max="11043" width="9.33203125" style="46" bestFit="1" customWidth="1"/>
    <col min="11044" max="11264" width="8.83203125" style="46"/>
    <col min="11265" max="11265" width="19.1640625" style="46" customWidth="1"/>
    <col min="11266" max="11266" width="7" style="46" bestFit="1" customWidth="1"/>
    <col min="11267" max="11267" width="12.6640625" style="46" customWidth="1"/>
    <col min="11268" max="11268" width="8.33203125" style="46" customWidth="1"/>
    <col min="11269" max="11269" width="9" style="46" customWidth="1"/>
    <col min="11270" max="11270" width="6.83203125" style="46" customWidth="1"/>
    <col min="11271" max="11271" width="9.5" style="46" customWidth="1"/>
    <col min="11272" max="11273" width="8.5" style="46" customWidth="1"/>
    <col min="11274" max="11274" width="5.33203125" style="46" customWidth="1"/>
    <col min="11275" max="11275" width="7.5" style="46" customWidth="1"/>
    <col min="11276" max="11288" width="8.83203125" style="46"/>
    <col min="11289" max="11297" width="9.33203125" style="46" bestFit="1" customWidth="1"/>
    <col min="11298" max="11298" width="9.6640625" style="46" bestFit="1" customWidth="1"/>
    <col min="11299" max="11299" width="9.33203125" style="46" bestFit="1" customWidth="1"/>
    <col min="11300" max="11520" width="8.83203125" style="46"/>
    <col min="11521" max="11521" width="19.1640625" style="46" customWidth="1"/>
    <col min="11522" max="11522" width="7" style="46" bestFit="1" customWidth="1"/>
    <col min="11523" max="11523" width="12.6640625" style="46" customWidth="1"/>
    <col min="11524" max="11524" width="8.33203125" style="46" customWidth="1"/>
    <col min="11525" max="11525" width="9" style="46" customWidth="1"/>
    <col min="11526" max="11526" width="6.83203125" style="46" customWidth="1"/>
    <col min="11527" max="11527" width="9.5" style="46" customWidth="1"/>
    <col min="11528" max="11529" width="8.5" style="46" customWidth="1"/>
    <col min="11530" max="11530" width="5.33203125" style="46" customWidth="1"/>
    <col min="11531" max="11531" width="7.5" style="46" customWidth="1"/>
    <col min="11532" max="11544" width="8.83203125" style="46"/>
    <col min="11545" max="11553" width="9.33203125" style="46" bestFit="1" customWidth="1"/>
    <col min="11554" max="11554" width="9.6640625" style="46" bestFit="1" customWidth="1"/>
    <col min="11555" max="11555" width="9.33203125" style="46" bestFit="1" customWidth="1"/>
    <col min="11556" max="11776" width="8.83203125" style="46"/>
    <col min="11777" max="11777" width="19.1640625" style="46" customWidth="1"/>
    <col min="11778" max="11778" width="7" style="46" bestFit="1" customWidth="1"/>
    <col min="11779" max="11779" width="12.6640625" style="46" customWidth="1"/>
    <col min="11780" max="11780" width="8.33203125" style="46" customWidth="1"/>
    <col min="11781" max="11781" width="9" style="46" customWidth="1"/>
    <col min="11782" max="11782" width="6.83203125" style="46" customWidth="1"/>
    <col min="11783" max="11783" width="9.5" style="46" customWidth="1"/>
    <col min="11784" max="11785" width="8.5" style="46" customWidth="1"/>
    <col min="11786" max="11786" width="5.33203125" style="46" customWidth="1"/>
    <col min="11787" max="11787" width="7.5" style="46" customWidth="1"/>
    <col min="11788" max="11800" width="8.83203125" style="46"/>
    <col min="11801" max="11809" width="9.33203125" style="46" bestFit="1" customWidth="1"/>
    <col min="11810" max="11810" width="9.6640625" style="46" bestFit="1" customWidth="1"/>
    <col min="11811" max="11811" width="9.33203125" style="46" bestFit="1" customWidth="1"/>
    <col min="11812" max="12032" width="8.83203125" style="46"/>
    <col min="12033" max="12033" width="19.1640625" style="46" customWidth="1"/>
    <col min="12034" max="12034" width="7" style="46" bestFit="1" customWidth="1"/>
    <col min="12035" max="12035" width="12.6640625" style="46" customWidth="1"/>
    <col min="12036" max="12036" width="8.33203125" style="46" customWidth="1"/>
    <col min="12037" max="12037" width="9" style="46" customWidth="1"/>
    <col min="12038" max="12038" width="6.83203125" style="46" customWidth="1"/>
    <col min="12039" max="12039" width="9.5" style="46" customWidth="1"/>
    <col min="12040" max="12041" width="8.5" style="46" customWidth="1"/>
    <col min="12042" max="12042" width="5.33203125" style="46" customWidth="1"/>
    <col min="12043" max="12043" width="7.5" style="46" customWidth="1"/>
    <col min="12044" max="12056" width="8.83203125" style="46"/>
    <col min="12057" max="12065" width="9.33203125" style="46" bestFit="1" customWidth="1"/>
    <col min="12066" max="12066" width="9.6640625" style="46" bestFit="1" customWidth="1"/>
    <col min="12067" max="12067" width="9.33203125" style="46" bestFit="1" customWidth="1"/>
    <col min="12068" max="12288" width="8.83203125" style="46"/>
    <col min="12289" max="12289" width="19.1640625" style="46" customWidth="1"/>
    <col min="12290" max="12290" width="7" style="46" bestFit="1" customWidth="1"/>
    <col min="12291" max="12291" width="12.6640625" style="46" customWidth="1"/>
    <col min="12292" max="12292" width="8.33203125" style="46" customWidth="1"/>
    <col min="12293" max="12293" width="9" style="46" customWidth="1"/>
    <col min="12294" max="12294" width="6.83203125" style="46" customWidth="1"/>
    <col min="12295" max="12295" width="9.5" style="46" customWidth="1"/>
    <col min="12296" max="12297" width="8.5" style="46" customWidth="1"/>
    <col min="12298" max="12298" width="5.33203125" style="46" customWidth="1"/>
    <col min="12299" max="12299" width="7.5" style="46" customWidth="1"/>
    <col min="12300" max="12312" width="8.83203125" style="46"/>
    <col min="12313" max="12321" width="9.33203125" style="46" bestFit="1" customWidth="1"/>
    <col min="12322" max="12322" width="9.6640625" style="46" bestFit="1" customWidth="1"/>
    <col min="12323" max="12323" width="9.33203125" style="46" bestFit="1" customWidth="1"/>
    <col min="12324" max="12544" width="8.83203125" style="46"/>
    <col min="12545" max="12545" width="19.1640625" style="46" customWidth="1"/>
    <col min="12546" max="12546" width="7" style="46" bestFit="1" customWidth="1"/>
    <col min="12547" max="12547" width="12.6640625" style="46" customWidth="1"/>
    <col min="12548" max="12548" width="8.33203125" style="46" customWidth="1"/>
    <col min="12549" max="12549" width="9" style="46" customWidth="1"/>
    <col min="12550" max="12550" width="6.83203125" style="46" customWidth="1"/>
    <col min="12551" max="12551" width="9.5" style="46" customWidth="1"/>
    <col min="12552" max="12553" width="8.5" style="46" customWidth="1"/>
    <col min="12554" max="12554" width="5.33203125" style="46" customWidth="1"/>
    <col min="12555" max="12555" width="7.5" style="46" customWidth="1"/>
    <col min="12556" max="12568" width="8.83203125" style="46"/>
    <col min="12569" max="12577" width="9.33203125" style="46" bestFit="1" customWidth="1"/>
    <col min="12578" max="12578" width="9.6640625" style="46" bestFit="1" customWidth="1"/>
    <col min="12579" max="12579" width="9.33203125" style="46" bestFit="1" customWidth="1"/>
    <col min="12580" max="12800" width="8.83203125" style="46"/>
    <col min="12801" max="12801" width="19.1640625" style="46" customWidth="1"/>
    <col min="12802" max="12802" width="7" style="46" bestFit="1" customWidth="1"/>
    <col min="12803" max="12803" width="12.6640625" style="46" customWidth="1"/>
    <col min="12804" max="12804" width="8.33203125" style="46" customWidth="1"/>
    <col min="12805" max="12805" width="9" style="46" customWidth="1"/>
    <col min="12806" max="12806" width="6.83203125" style="46" customWidth="1"/>
    <col min="12807" max="12807" width="9.5" style="46" customWidth="1"/>
    <col min="12808" max="12809" width="8.5" style="46" customWidth="1"/>
    <col min="12810" max="12810" width="5.33203125" style="46" customWidth="1"/>
    <col min="12811" max="12811" width="7.5" style="46" customWidth="1"/>
    <col min="12812" max="12824" width="8.83203125" style="46"/>
    <col min="12825" max="12833" width="9.33203125" style="46" bestFit="1" customWidth="1"/>
    <col min="12834" max="12834" width="9.6640625" style="46" bestFit="1" customWidth="1"/>
    <col min="12835" max="12835" width="9.33203125" style="46" bestFit="1" customWidth="1"/>
    <col min="12836" max="13056" width="8.83203125" style="46"/>
    <col min="13057" max="13057" width="19.1640625" style="46" customWidth="1"/>
    <col min="13058" max="13058" width="7" style="46" bestFit="1" customWidth="1"/>
    <col min="13059" max="13059" width="12.6640625" style="46" customWidth="1"/>
    <col min="13060" max="13060" width="8.33203125" style="46" customWidth="1"/>
    <col min="13061" max="13061" width="9" style="46" customWidth="1"/>
    <col min="13062" max="13062" width="6.83203125" style="46" customWidth="1"/>
    <col min="13063" max="13063" width="9.5" style="46" customWidth="1"/>
    <col min="13064" max="13065" width="8.5" style="46" customWidth="1"/>
    <col min="13066" max="13066" width="5.33203125" style="46" customWidth="1"/>
    <col min="13067" max="13067" width="7.5" style="46" customWidth="1"/>
    <col min="13068" max="13080" width="8.83203125" style="46"/>
    <col min="13081" max="13089" width="9.33203125" style="46" bestFit="1" customWidth="1"/>
    <col min="13090" max="13090" width="9.6640625" style="46" bestFit="1" customWidth="1"/>
    <col min="13091" max="13091" width="9.33203125" style="46" bestFit="1" customWidth="1"/>
    <col min="13092" max="13312" width="8.83203125" style="46"/>
    <col min="13313" max="13313" width="19.1640625" style="46" customWidth="1"/>
    <col min="13314" max="13314" width="7" style="46" bestFit="1" customWidth="1"/>
    <col min="13315" max="13315" width="12.6640625" style="46" customWidth="1"/>
    <col min="13316" max="13316" width="8.33203125" style="46" customWidth="1"/>
    <col min="13317" max="13317" width="9" style="46" customWidth="1"/>
    <col min="13318" max="13318" width="6.83203125" style="46" customWidth="1"/>
    <col min="13319" max="13319" width="9.5" style="46" customWidth="1"/>
    <col min="13320" max="13321" width="8.5" style="46" customWidth="1"/>
    <col min="13322" max="13322" width="5.33203125" style="46" customWidth="1"/>
    <col min="13323" max="13323" width="7.5" style="46" customWidth="1"/>
    <col min="13324" max="13336" width="8.83203125" style="46"/>
    <col min="13337" max="13345" width="9.33203125" style="46" bestFit="1" customWidth="1"/>
    <col min="13346" max="13346" width="9.6640625" style="46" bestFit="1" customWidth="1"/>
    <col min="13347" max="13347" width="9.33203125" style="46" bestFit="1" customWidth="1"/>
    <col min="13348" max="13568" width="8.83203125" style="46"/>
    <col min="13569" max="13569" width="19.1640625" style="46" customWidth="1"/>
    <col min="13570" max="13570" width="7" style="46" bestFit="1" customWidth="1"/>
    <col min="13571" max="13571" width="12.6640625" style="46" customWidth="1"/>
    <col min="13572" max="13572" width="8.33203125" style="46" customWidth="1"/>
    <col min="13573" max="13573" width="9" style="46" customWidth="1"/>
    <col min="13574" max="13574" width="6.83203125" style="46" customWidth="1"/>
    <col min="13575" max="13575" width="9.5" style="46" customWidth="1"/>
    <col min="13576" max="13577" width="8.5" style="46" customWidth="1"/>
    <col min="13578" max="13578" width="5.33203125" style="46" customWidth="1"/>
    <col min="13579" max="13579" width="7.5" style="46" customWidth="1"/>
    <col min="13580" max="13592" width="8.83203125" style="46"/>
    <col min="13593" max="13601" width="9.33203125" style="46" bestFit="1" customWidth="1"/>
    <col min="13602" max="13602" width="9.6640625" style="46" bestFit="1" customWidth="1"/>
    <col min="13603" max="13603" width="9.33203125" style="46" bestFit="1" customWidth="1"/>
    <col min="13604" max="13824" width="8.83203125" style="46"/>
    <col min="13825" max="13825" width="19.1640625" style="46" customWidth="1"/>
    <col min="13826" max="13826" width="7" style="46" bestFit="1" customWidth="1"/>
    <col min="13827" max="13827" width="12.6640625" style="46" customWidth="1"/>
    <col min="13828" max="13828" width="8.33203125" style="46" customWidth="1"/>
    <col min="13829" max="13829" width="9" style="46" customWidth="1"/>
    <col min="13830" max="13830" width="6.83203125" style="46" customWidth="1"/>
    <col min="13831" max="13831" width="9.5" style="46" customWidth="1"/>
    <col min="13832" max="13833" width="8.5" style="46" customWidth="1"/>
    <col min="13834" max="13834" width="5.33203125" style="46" customWidth="1"/>
    <col min="13835" max="13835" width="7.5" style="46" customWidth="1"/>
    <col min="13836" max="13848" width="8.83203125" style="46"/>
    <col min="13849" max="13857" width="9.33203125" style="46" bestFit="1" customWidth="1"/>
    <col min="13858" max="13858" width="9.6640625" style="46" bestFit="1" customWidth="1"/>
    <col min="13859" max="13859" width="9.33203125" style="46" bestFit="1" customWidth="1"/>
    <col min="13860" max="14080" width="8.83203125" style="46"/>
    <col min="14081" max="14081" width="19.1640625" style="46" customWidth="1"/>
    <col min="14082" max="14082" width="7" style="46" bestFit="1" customWidth="1"/>
    <col min="14083" max="14083" width="12.6640625" style="46" customWidth="1"/>
    <col min="14084" max="14084" width="8.33203125" style="46" customWidth="1"/>
    <col min="14085" max="14085" width="9" style="46" customWidth="1"/>
    <col min="14086" max="14086" width="6.83203125" style="46" customWidth="1"/>
    <col min="14087" max="14087" width="9.5" style="46" customWidth="1"/>
    <col min="14088" max="14089" width="8.5" style="46" customWidth="1"/>
    <col min="14090" max="14090" width="5.33203125" style="46" customWidth="1"/>
    <col min="14091" max="14091" width="7.5" style="46" customWidth="1"/>
    <col min="14092" max="14104" width="8.83203125" style="46"/>
    <col min="14105" max="14113" width="9.33203125" style="46" bestFit="1" customWidth="1"/>
    <col min="14114" max="14114" width="9.6640625" style="46" bestFit="1" customWidth="1"/>
    <col min="14115" max="14115" width="9.33203125" style="46" bestFit="1" customWidth="1"/>
    <col min="14116" max="14336" width="8.83203125" style="46"/>
    <col min="14337" max="14337" width="19.1640625" style="46" customWidth="1"/>
    <col min="14338" max="14338" width="7" style="46" bestFit="1" customWidth="1"/>
    <col min="14339" max="14339" width="12.6640625" style="46" customWidth="1"/>
    <col min="14340" max="14340" width="8.33203125" style="46" customWidth="1"/>
    <col min="14341" max="14341" width="9" style="46" customWidth="1"/>
    <col min="14342" max="14342" width="6.83203125" style="46" customWidth="1"/>
    <col min="14343" max="14343" width="9.5" style="46" customWidth="1"/>
    <col min="14344" max="14345" width="8.5" style="46" customWidth="1"/>
    <col min="14346" max="14346" width="5.33203125" style="46" customWidth="1"/>
    <col min="14347" max="14347" width="7.5" style="46" customWidth="1"/>
    <col min="14348" max="14360" width="8.83203125" style="46"/>
    <col min="14361" max="14369" width="9.33203125" style="46" bestFit="1" customWidth="1"/>
    <col min="14370" max="14370" width="9.6640625" style="46" bestFit="1" customWidth="1"/>
    <col min="14371" max="14371" width="9.33203125" style="46" bestFit="1" customWidth="1"/>
    <col min="14372" max="14592" width="8.83203125" style="46"/>
    <col min="14593" max="14593" width="19.1640625" style="46" customWidth="1"/>
    <col min="14594" max="14594" width="7" style="46" bestFit="1" customWidth="1"/>
    <col min="14595" max="14595" width="12.6640625" style="46" customWidth="1"/>
    <col min="14596" max="14596" width="8.33203125" style="46" customWidth="1"/>
    <col min="14597" max="14597" width="9" style="46" customWidth="1"/>
    <col min="14598" max="14598" width="6.83203125" style="46" customWidth="1"/>
    <col min="14599" max="14599" width="9.5" style="46" customWidth="1"/>
    <col min="14600" max="14601" width="8.5" style="46" customWidth="1"/>
    <col min="14602" max="14602" width="5.33203125" style="46" customWidth="1"/>
    <col min="14603" max="14603" width="7.5" style="46" customWidth="1"/>
    <col min="14604" max="14616" width="8.83203125" style="46"/>
    <col min="14617" max="14625" width="9.33203125" style="46" bestFit="1" customWidth="1"/>
    <col min="14626" max="14626" width="9.6640625" style="46" bestFit="1" customWidth="1"/>
    <col min="14627" max="14627" width="9.33203125" style="46" bestFit="1" customWidth="1"/>
    <col min="14628" max="14848" width="8.83203125" style="46"/>
    <col min="14849" max="14849" width="19.1640625" style="46" customWidth="1"/>
    <col min="14850" max="14850" width="7" style="46" bestFit="1" customWidth="1"/>
    <col min="14851" max="14851" width="12.6640625" style="46" customWidth="1"/>
    <col min="14852" max="14852" width="8.33203125" style="46" customWidth="1"/>
    <col min="14853" max="14853" width="9" style="46" customWidth="1"/>
    <col min="14854" max="14854" width="6.83203125" style="46" customWidth="1"/>
    <col min="14855" max="14855" width="9.5" style="46" customWidth="1"/>
    <col min="14856" max="14857" width="8.5" style="46" customWidth="1"/>
    <col min="14858" max="14858" width="5.33203125" style="46" customWidth="1"/>
    <col min="14859" max="14859" width="7.5" style="46" customWidth="1"/>
    <col min="14860" max="14872" width="8.83203125" style="46"/>
    <col min="14873" max="14881" width="9.33203125" style="46" bestFit="1" customWidth="1"/>
    <col min="14882" max="14882" width="9.6640625" style="46" bestFit="1" customWidth="1"/>
    <col min="14883" max="14883" width="9.33203125" style="46" bestFit="1" customWidth="1"/>
    <col min="14884" max="15104" width="8.83203125" style="46"/>
    <col min="15105" max="15105" width="19.1640625" style="46" customWidth="1"/>
    <col min="15106" max="15106" width="7" style="46" bestFit="1" customWidth="1"/>
    <col min="15107" max="15107" width="12.6640625" style="46" customWidth="1"/>
    <col min="15108" max="15108" width="8.33203125" style="46" customWidth="1"/>
    <col min="15109" max="15109" width="9" style="46" customWidth="1"/>
    <col min="15110" max="15110" width="6.83203125" style="46" customWidth="1"/>
    <col min="15111" max="15111" width="9.5" style="46" customWidth="1"/>
    <col min="15112" max="15113" width="8.5" style="46" customWidth="1"/>
    <col min="15114" max="15114" width="5.33203125" style="46" customWidth="1"/>
    <col min="15115" max="15115" width="7.5" style="46" customWidth="1"/>
    <col min="15116" max="15128" width="8.83203125" style="46"/>
    <col min="15129" max="15137" width="9.33203125" style="46" bestFit="1" customWidth="1"/>
    <col min="15138" max="15138" width="9.6640625" style="46" bestFit="1" customWidth="1"/>
    <col min="15139" max="15139" width="9.33203125" style="46" bestFit="1" customWidth="1"/>
    <col min="15140" max="15360" width="8.83203125" style="46"/>
    <col min="15361" max="15361" width="19.1640625" style="46" customWidth="1"/>
    <col min="15362" max="15362" width="7" style="46" bestFit="1" customWidth="1"/>
    <col min="15363" max="15363" width="12.6640625" style="46" customWidth="1"/>
    <col min="15364" max="15364" width="8.33203125" style="46" customWidth="1"/>
    <col min="15365" max="15365" width="9" style="46" customWidth="1"/>
    <col min="15366" max="15366" width="6.83203125" style="46" customWidth="1"/>
    <col min="15367" max="15367" width="9.5" style="46" customWidth="1"/>
    <col min="15368" max="15369" width="8.5" style="46" customWidth="1"/>
    <col min="15370" max="15370" width="5.33203125" style="46" customWidth="1"/>
    <col min="15371" max="15371" width="7.5" style="46" customWidth="1"/>
    <col min="15372" max="15384" width="8.83203125" style="46"/>
    <col min="15385" max="15393" width="9.33203125" style="46" bestFit="1" customWidth="1"/>
    <col min="15394" max="15394" width="9.6640625" style="46" bestFit="1" customWidth="1"/>
    <col min="15395" max="15395" width="9.33203125" style="46" bestFit="1" customWidth="1"/>
    <col min="15396" max="15616" width="8.83203125" style="46"/>
    <col min="15617" max="15617" width="19.1640625" style="46" customWidth="1"/>
    <col min="15618" max="15618" width="7" style="46" bestFit="1" customWidth="1"/>
    <col min="15619" max="15619" width="12.6640625" style="46" customWidth="1"/>
    <col min="15620" max="15620" width="8.33203125" style="46" customWidth="1"/>
    <col min="15621" max="15621" width="9" style="46" customWidth="1"/>
    <col min="15622" max="15622" width="6.83203125" style="46" customWidth="1"/>
    <col min="15623" max="15623" width="9.5" style="46" customWidth="1"/>
    <col min="15624" max="15625" width="8.5" style="46" customWidth="1"/>
    <col min="15626" max="15626" width="5.33203125" style="46" customWidth="1"/>
    <col min="15627" max="15627" width="7.5" style="46" customWidth="1"/>
    <col min="15628" max="15640" width="8.83203125" style="46"/>
    <col min="15641" max="15649" width="9.33203125" style="46" bestFit="1" customWidth="1"/>
    <col min="15650" max="15650" width="9.6640625" style="46" bestFit="1" customWidth="1"/>
    <col min="15651" max="15651" width="9.33203125" style="46" bestFit="1" customWidth="1"/>
    <col min="15652" max="15872" width="8.83203125" style="46"/>
    <col min="15873" max="15873" width="19.1640625" style="46" customWidth="1"/>
    <col min="15874" max="15874" width="7" style="46" bestFit="1" customWidth="1"/>
    <col min="15875" max="15875" width="12.6640625" style="46" customWidth="1"/>
    <col min="15876" max="15876" width="8.33203125" style="46" customWidth="1"/>
    <col min="15877" max="15877" width="9" style="46" customWidth="1"/>
    <col min="15878" max="15878" width="6.83203125" style="46" customWidth="1"/>
    <col min="15879" max="15879" width="9.5" style="46" customWidth="1"/>
    <col min="15880" max="15881" width="8.5" style="46" customWidth="1"/>
    <col min="15882" max="15882" width="5.33203125" style="46" customWidth="1"/>
    <col min="15883" max="15883" width="7.5" style="46" customWidth="1"/>
    <col min="15884" max="15896" width="8.83203125" style="46"/>
    <col min="15897" max="15905" width="9.33203125" style="46" bestFit="1" customWidth="1"/>
    <col min="15906" max="15906" width="9.6640625" style="46" bestFit="1" customWidth="1"/>
    <col min="15907" max="15907" width="9.33203125" style="46" bestFit="1" customWidth="1"/>
    <col min="15908" max="16128" width="8.83203125" style="46"/>
    <col min="16129" max="16129" width="19.1640625" style="46" customWidth="1"/>
    <col min="16130" max="16130" width="7" style="46" bestFit="1" customWidth="1"/>
    <col min="16131" max="16131" width="12.6640625" style="46" customWidth="1"/>
    <col min="16132" max="16132" width="8.33203125" style="46" customWidth="1"/>
    <col min="16133" max="16133" width="9" style="46" customWidth="1"/>
    <col min="16134" max="16134" width="6.83203125" style="46" customWidth="1"/>
    <col min="16135" max="16135" width="9.5" style="46" customWidth="1"/>
    <col min="16136" max="16137" width="8.5" style="46" customWidth="1"/>
    <col min="16138" max="16138" width="5.33203125" style="46" customWidth="1"/>
    <col min="16139" max="16139" width="7.5" style="46" customWidth="1"/>
    <col min="16140" max="16152" width="8.83203125" style="46"/>
    <col min="16153" max="16161" width="9.33203125" style="46" bestFit="1" customWidth="1"/>
    <col min="16162" max="16162" width="9.6640625" style="46" bestFit="1" customWidth="1"/>
    <col min="16163" max="16163" width="9.33203125" style="46" bestFit="1" customWidth="1"/>
    <col min="16164" max="16384" width="8.83203125" style="46"/>
  </cols>
  <sheetData>
    <row r="1" spans="1:35" s="39" customFormat="1" ht="21.75" customHeight="1">
      <c r="A1" s="36" t="s">
        <v>124</v>
      </c>
      <c r="B1" s="37"/>
      <c r="C1" s="37"/>
      <c r="D1" s="37"/>
      <c r="E1" s="37"/>
      <c r="F1" s="37"/>
      <c r="G1" s="37"/>
      <c r="H1" s="38"/>
      <c r="J1" s="40"/>
    </row>
    <row r="2" spans="1:35" ht="15.75" customHeight="1" thickBot="1">
      <c r="A2" s="41"/>
      <c r="B2" s="41"/>
      <c r="C2" s="41"/>
      <c r="D2" s="41"/>
      <c r="E2" s="41"/>
      <c r="F2" s="41"/>
      <c r="G2" s="42"/>
      <c r="H2" s="43"/>
      <c r="I2" s="44"/>
      <c r="J2" s="44"/>
      <c r="K2" s="45" t="s">
        <v>125</v>
      </c>
    </row>
    <row r="3" spans="1:35" s="50" customFormat="1" ht="33.75" customHeight="1" thickTop="1">
      <c r="A3" s="47"/>
      <c r="B3" s="48" t="s">
        <v>126</v>
      </c>
      <c r="C3" s="49" t="s">
        <v>127</v>
      </c>
      <c r="D3" s="48" t="s">
        <v>128</v>
      </c>
      <c r="E3" s="48" t="s">
        <v>129</v>
      </c>
      <c r="F3" s="49" t="s">
        <v>130</v>
      </c>
      <c r="G3" s="49" t="s">
        <v>131</v>
      </c>
      <c r="H3" s="48" t="s">
        <v>132</v>
      </c>
      <c r="I3" s="48" t="s">
        <v>5</v>
      </c>
      <c r="J3" s="48" t="s">
        <v>16</v>
      </c>
      <c r="K3" s="48" t="s">
        <v>133</v>
      </c>
    </row>
    <row r="4" spans="1:35" s="54" customFormat="1" ht="10.5" customHeight="1">
      <c r="A4" s="51" t="s">
        <v>134</v>
      </c>
      <c r="B4" s="52"/>
      <c r="C4" s="53"/>
      <c r="D4" s="53"/>
      <c r="E4" s="53"/>
      <c r="F4" s="53"/>
      <c r="G4" s="53"/>
      <c r="H4" s="53"/>
      <c r="I4" s="53"/>
      <c r="J4" s="53"/>
      <c r="K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5"/>
      <c r="AB4" s="53"/>
      <c r="AC4" s="53"/>
      <c r="AD4" s="53"/>
      <c r="AE4" s="53"/>
      <c r="AF4" s="53"/>
      <c r="AG4" s="53"/>
      <c r="AH4" s="53"/>
      <c r="AI4" s="55"/>
    </row>
    <row r="5" spans="1:35" s="54" customFormat="1" ht="10.5" customHeight="1">
      <c r="A5" s="41" t="s">
        <v>135</v>
      </c>
      <c r="B5" s="56">
        <v>10696.083047160781</v>
      </c>
      <c r="C5" s="52">
        <v>0</v>
      </c>
      <c r="D5" s="56">
        <v>83911.539840911268</v>
      </c>
      <c r="E5" s="52">
        <v>0</v>
      </c>
      <c r="F5" s="52">
        <v>72124.616785399121</v>
      </c>
      <c r="G5" s="56">
        <v>4356.7008211972789</v>
      </c>
      <c r="H5" s="53">
        <v>14928.085856213287</v>
      </c>
      <c r="I5" s="52">
        <v>0</v>
      </c>
      <c r="J5" s="52">
        <v>0</v>
      </c>
      <c r="K5" s="56">
        <v>186017.02635088173</v>
      </c>
      <c r="L5" s="52"/>
      <c r="M5" s="53"/>
      <c r="N5" s="53"/>
      <c r="O5" s="53"/>
      <c r="P5" s="53"/>
      <c r="Q5" s="53"/>
      <c r="R5" s="53"/>
      <c r="S5" s="53"/>
      <c r="T5" s="53"/>
      <c r="U5" s="53"/>
      <c r="V5" s="53"/>
      <c r="W5" s="55"/>
      <c r="AB5" s="53"/>
      <c r="AC5" s="53"/>
      <c r="AD5" s="53"/>
      <c r="AE5" s="53"/>
      <c r="AF5" s="53"/>
      <c r="AG5" s="53"/>
      <c r="AH5" s="53"/>
      <c r="AI5" s="55"/>
    </row>
    <row r="6" spans="1:35" s="54" customFormat="1" ht="10.5" customHeight="1">
      <c r="A6" s="41" t="s">
        <v>4</v>
      </c>
      <c r="B6" s="56">
        <v>28197.303077449134</v>
      </c>
      <c r="C6" s="56">
        <v>732.70241770266057</v>
      </c>
      <c r="D6" s="56">
        <v>62610.668562862113</v>
      </c>
      <c r="E6" s="56">
        <v>27500.819475971544</v>
      </c>
      <c r="F6" s="52">
        <v>29065.04276575569</v>
      </c>
      <c r="G6" s="52">
        <v>378.1990757892263</v>
      </c>
      <c r="H6" s="52">
        <v>0</v>
      </c>
      <c r="I6" s="52">
        <v>740.57489251934669</v>
      </c>
      <c r="J6" s="52">
        <v>0</v>
      </c>
      <c r="K6" s="56">
        <v>149225.31026804971</v>
      </c>
      <c r="L6" s="52"/>
      <c r="M6" s="53"/>
      <c r="N6" s="53"/>
      <c r="O6" s="53"/>
      <c r="P6" s="53"/>
      <c r="Q6" s="53"/>
      <c r="R6" s="53"/>
      <c r="S6" s="53"/>
      <c r="T6" s="53"/>
      <c r="U6" s="53"/>
      <c r="V6" s="53"/>
      <c r="W6" s="55"/>
      <c r="AB6" s="53"/>
      <c r="AC6" s="53"/>
      <c r="AD6" s="53"/>
      <c r="AE6" s="53"/>
      <c r="AF6" s="53"/>
      <c r="AG6" s="53"/>
      <c r="AH6" s="53"/>
      <c r="AI6" s="55"/>
    </row>
    <row r="7" spans="1:35" s="54" customFormat="1" ht="10.5" customHeight="1">
      <c r="A7" s="41" t="s">
        <v>136</v>
      </c>
      <c r="B7" s="56">
        <v>-418.85810329210875</v>
      </c>
      <c r="C7" s="56">
        <v>-170.41374128212479</v>
      </c>
      <c r="D7" s="52">
        <v>-55753.92076361864</v>
      </c>
      <c r="E7" s="56">
        <v>-32709.85248511305</v>
      </c>
      <c r="F7" s="52">
        <v>-10589.664168786079</v>
      </c>
      <c r="G7" s="56">
        <v>-33.830762525597763</v>
      </c>
      <c r="H7" s="52">
        <v>0</v>
      </c>
      <c r="I7" s="52">
        <v>-292.20651332760116</v>
      </c>
      <c r="J7" s="52">
        <v>0</v>
      </c>
      <c r="K7" s="56">
        <v>-99968.746537945219</v>
      </c>
      <c r="L7" s="52"/>
      <c r="M7" s="53"/>
      <c r="N7" s="53"/>
      <c r="O7" s="53"/>
      <c r="P7" s="53"/>
      <c r="Q7" s="53"/>
      <c r="R7" s="53"/>
      <c r="S7" s="53"/>
      <c r="T7" s="53"/>
      <c r="U7" s="53"/>
      <c r="V7" s="53"/>
      <c r="W7" s="55"/>
      <c r="AB7" s="53"/>
      <c r="AC7" s="53"/>
      <c r="AD7" s="53"/>
      <c r="AE7" s="53"/>
      <c r="AF7" s="53"/>
      <c r="AG7" s="53"/>
      <c r="AH7" s="53"/>
      <c r="AI7" s="55"/>
    </row>
    <row r="8" spans="1:35" s="54" customFormat="1" ht="10.5" customHeight="1">
      <c r="A8" s="41" t="s">
        <v>137</v>
      </c>
      <c r="B8" s="52">
        <v>0</v>
      </c>
      <c r="C8" s="52">
        <v>0</v>
      </c>
      <c r="D8" s="52">
        <v>0</v>
      </c>
      <c r="E8" s="52">
        <v>-2512.6647831668879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-2512.6647831668879</v>
      </c>
      <c r="L8" s="52"/>
      <c r="M8" s="53"/>
      <c r="N8" s="53"/>
      <c r="O8" s="53"/>
      <c r="P8" s="53"/>
      <c r="Q8" s="53"/>
      <c r="R8" s="53"/>
      <c r="S8" s="53"/>
      <c r="T8" s="53"/>
      <c r="U8" s="53"/>
      <c r="V8" s="53"/>
      <c r="W8" s="55"/>
      <c r="AB8" s="53"/>
      <c r="AC8" s="53"/>
      <c r="AD8" s="53"/>
      <c r="AE8" s="53"/>
      <c r="AF8" s="53"/>
      <c r="AG8" s="53"/>
      <c r="AH8" s="53"/>
      <c r="AI8" s="55"/>
    </row>
    <row r="9" spans="1:35" s="54" customFormat="1" ht="10.5" customHeight="1">
      <c r="A9" s="57" t="s">
        <v>138</v>
      </c>
      <c r="B9" s="56">
        <v>1862.112589495056</v>
      </c>
      <c r="C9" s="52">
        <v>-21.699939703353486</v>
      </c>
      <c r="D9" s="52">
        <v>856.21824163238955</v>
      </c>
      <c r="E9" s="56">
        <v>1090.1022239432027</v>
      </c>
      <c r="F9" s="52">
        <v>471.19518486672553</v>
      </c>
      <c r="G9" s="52">
        <v>0</v>
      </c>
      <c r="H9" s="52">
        <v>0</v>
      </c>
      <c r="I9" s="52">
        <v>0</v>
      </c>
      <c r="J9" s="52">
        <v>0</v>
      </c>
      <c r="K9" s="56">
        <v>4257.9283002340208</v>
      </c>
      <c r="L9" s="52"/>
      <c r="M9" s="53"/>
      <c r="N9" s="53"/>
      <c r="O9" s="53"/>
      <c r="P9" s="53"/>
      <c r="Q9" s="53"/>
      <c r="R9" s="53"/>
      <c r="S9" s="53"/>
      <c r="T9" s="53"/>
      <c r="U9" s="53"/>
      <c r="V9" s="53"/>
      <c r="W9" s="55"/>
      <c r="AB9" s="53"/>
      <c r="AC9" s="53"/>
      <c r="AD9" s="53"/>
      <c r="AE9" s="53"/>
      <c r="AF9" s="53"/>
      <c r="AG9" s="53"/>
      <c r="AH9" s="53"/>
      <c r="AI9" s="55"/>
    </row>
    <row r="10" spans="1:35" s="61" customFormat="1" ht="10.5" customHeight="1">
      <c r="A10" s="58" t="s">
        <v>139</v>
      </c>
      <c r="B10" s="59">
        <v>40336.640610812858</v>
      </c>
      <c r="C10" s="59">
        <v>540.58873671718231</v>
      </c>
      <c r="D10" s="60">
        <v>91624.505881787132</v>
      </c>
      <c r="E10" s="59">
        <v>-6631.59556836519</v>
      </c>
      <c r="F10" s="60">
        <v>91071.190567235448</v>
      </c>
      <c r="G10" s="59">
        <v>4701.0691344609077</v>
      </c>
      <c r="H10" s="60">
        <v>14928.085856213287</v>
      </c>
      <c r="I10" s="60">
        <v>448.36837919174553</v>
      </c>
      <c r="J10" s="60">
        <v>0</v>
      </c>
      <c r="K10" s="59">
        <v>237018.85359805339</v>
      </c>
      <c r="L10" s="52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5"/>
      <c r="AB10" s="53"/>
      <c r="AC10" s="53"/>
      <c r="AD10" s="53"/>
      <c r="AE10" s="53"/>
      <c r="AF10" s="53"/>
      <c r="AG10" s="53"/>
      <c r="AH10" s="53"/>
      <c r="AI10" s="55"/>
    </row>
    <row r="11" spans="1:35" s="61" customFormat="1" ht="11.25" customHeight="1">
      <c r="A11" s="58" t="s">
        <v>140</v>
      </c>
      <c r="B11" s="62">
        <v>36.847441528429044</v>
      </c>
      <c r="C11" s="62">
        <v>-13.404097824114501</v>
      </c>
      <c r="D11" s="63">
        <v>-116.55915158498101</v>
      </c>
      <c r="E11" s="62">
        <v>-79.177700019243275</v>
      </c>
      <c r="F11" s="62">
        <v>81.233600401916192</v>
      </c>
      <c r="G11" s="63">
        <v>0</v>
      </c>
      <c r="H11" s="63">
        <v>0</v>
      </c>
      <c r="I11" s="62">
        <v>84.598169826650462</v>
      </c>
      <c r="J11" s="63">
        <v>0</v>
      </c>
      <c r="K11" s="62">
        <v>-6.7460036423353245</v>
      </c>
      <c r="L11" s="52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5"/>
      <c r="AB11" s="53"/>
      <c r="AC11" s="53"/>
      <c r="AD11" s="53"/>
      <c r="AE11" s="53"/>
      <c r="AF11" s="53"/>
      <c r="AG11" s="53"/>
      <c r="AH11" s="53"/>
      <c r="AI11" s="55"/>
    </row>
    <row r="12" spans="1:35" s="61" customFormat="1" ht="10.5" customHeight="1">
      <c r="A12" s="58" t="s">
        <v>141</v>
      </c>
      <c r="B12" s="59">
        <v>40299.793169284429</v>
      </c>
      <c r="C12" s="59">
        <v>553.99283454129682</v>
      </c>
      <c r="D12" s="60">
        <v>91741.065033372113</v>
      </c>
      <c r="E12" s="59">
        <v>-6552.4178683459468</v>
      </c>
      <c r="F12" s="59">
        <v>90989.956966833532</v>
      </c>
      <c r="G12" s="59">
        <v>4701.0725849609071</v>
      </c>
      <c r="H12" s="60">
        <v>14928.085856213287</v>
      </c>
      <c r="I12" s="59">
        <v>363.77020936509507</v>
      </c>
      <c r="J12" s="60">
        <v>0</v>
      </c>
      <c r="K12" s="59">
        <v>237025.59960169569</v>
      </c>
      <c r="L12" s="52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5"/>
      <c r="AB12" s="53"/>
      <c r="AC12" s="53"/>
      <c r="AD12" s="53"/>
      <c r="AE12" s="53"/>
      <c r="AF12" s="53"/>
      <c r="AG12" s="53"/>
      <c r="AH12" s="53"/>
      <c r="AI12" s="55"/>
    </row>
    <row r="13" spans="1:35" s="54" customFormat="1" ht="4.5" customHeight="1">
      <c r="A13" s="41"/>
      <c r="B13" s="52"/>
      <c r="C13" s="52"/>
      <c r="D13" s="52"/>
      <c r="E13" s="52"/>
      <c r="F13" s="52"/>
      <c r="G13" s="52"/>
      <c r="H13" s="52"/>
      <c r="I13" s="52"/>
      <c r="J13" s="52"/>
      <c r="K13" s="64"/>
      <c r="L13" s="52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5"/>
      <c r="AB13" s="53"/>
      <c r="AC13" s="53"/>
      <c r="AD13" s="53"/>
      <c r="AE13" s="53"/>
      <c r="AF13" s="53"/>
      <c r="AG13" s="53"/>
      <c r="AH13" s="53"/>
      <c r="AI13" s="55"/>
    </row>
    <row r="14" spans="1:35" s="54" customFormat="1" ht="10.5" customHeight="1">
      <c r="A14" s="41" t="s">
        <v>142</v>
      </c>
      <c r="B14" s="63">
        <v>0</v>
      </c>
      <c r="C14" s="63">
        <v>-126.41460315085507</v>
      </c>
      <c r="D14" s="63">
        <v>-3211.4964193979745</v>
      </c>
      <c r="E14" s="62">
        <v>3234.5246809327177</v>
      </c>
      <c r="F14" s="63">
        <v>-6.6868108168529661</v>
      </c>
      <c r="G14" s="63">
        <v>0</v>
      </c>
      <c r="H14" s="63">
        <v>-892.19826526225268</v>
      </c>
      <c r="I14" s="63">
        <v>892.19826526225268</v>
      </c>
      <c r="J14" s="63">
        <v>0</v>
      </c>
      <c r="K14" s="63">
        <v>-110.07315243296455</v>
      </c>
      <c r="L14" s="52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5"/>
      <c r="AB14" s="53"/>
      <c r="AC14" s="53"/>
      <c r="AD14" s="53"/>
      <c r="AE14" s="53"/>
      <c r="AF14" s="53"/>
      <c r="AG14" s="53"/>
      <c r="AH14" s="53"/>
      <c r="AI14" s="55"/>
    </row>
    <row r="15" spans="1:35" s="54" customFormat="1" ht="10.5" customHeight="1">
      <c r="A15" s="51" t="s">
        <v>143</v>
      </c>
      <c r="B15" s="65">
        <v>-38554.557209522733</v>
      </c>
      <c r="C15" s="66">
        <v>1724.6129556237615</v>
      </c>
      <c r="D15" s="66">
        <v>-88529.568613974145</v>
      </c>
      <c r="E15" s="65">
        <v>87861.506742448197</v>
      </c>
      <c r="F15" s="65">
        <v>-32213.749562274745</v>
      </c>
      <c r="G15" s="65">
        <v>-3480.7278322865568</v>
      </c>
      <c r="H15" s="66">
        <v>-14035.887590951035</v>
      </c>
      <c r="I15" s="65">
        <v>32915.569469839887</v>
      </c>
      <c r="J15" s="65">
        <v>1195.5378034599423</v>
      </c>
      <c r="K15" s="65">
        <v>-53117.544653108438</v>
      </c>
      <c r="L15" s="52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5"/>
      <c r="AB15" s="53"/>
      <c r="AC15" s="53"/>
      <c r="AD15" s="53"/>
      <c r="AE15" s="53"/>
      <c r="AF15" s="53"/>
      <c r="AG15" s="53"/>
      <c r="AH15" s="53"/>
      <c r="AI15" s="55"/>
    </row>
    <row r="16" spans="1:35" s="54" customFormat="1" ht="10.5" customHeight="1">
      <c r="A16" s="41" t="s">
        <v>144</v>
      </c>
      <c r="B16" s="56">
        <v>-32873.331920050019</v>
      </c>
      <c r="C16" s="52">
        <v>-937.09389509888206</v>
      </c>
      <c r="D16" s="52">
        <v>0</v>
      </c>
      <c r="E16" s="52">
        <v>-677.15088152328644</v>
      </c>
      <c r="F16" s="56">
        <v>-30329.943797488933</v>
      </c>
      <c r="G16" s="56">
        <v>-3480.7278322865568</v>
      </c>
      <c r="H16" s="52">
        <v>-14035.887590951035</v>
      </c>
      <c r="I16" s="56">
        <v>32915.569469839887</v>
      </c>
      <c r="J16" s="52">
        <v>0</v>
      </c>
      <c r="K16" s="56">
        <v>-49418.566447558842</v>
      </c>
      <c r="L16" s="52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5"/>
      <c r="AB16" s="53"/>
      <c r="AC16" s="53"/>
      <c r="AD16" s="53"/>
      <c r="AE16" s="53"/>
      <c r="AF16" s="53"/>
      <c r="AG16" s="53"/>
      <c r="AH16" s="53"/>
      <c r="AI16" s="55"/>
    </row>
    <row r="17" spans="1:35" s="54" customFormat="1" ht="10.5" customHeight="1">
      <c r="A17" s="41" t="s">
        <v>145</v>
      </c>
      <c r="B17" s="56">
        <v>-31974.974477193351</v>
      </c>
      <c r="C17" s="52">
        <v>0</v>
      </c>
      <c r="D17" s="52">
        <v>0</v>
      </c>
      <c r="E17" s="52">
        <v>-210.99978836147974</v>
      </c>
      <c r="F17" s="56">
        <v>-27501.979051143277</v>
      </c>
      <c r="G17" s="56">
        <v>-625.21439095550647</v>
      </c>
      <c r="H17" s="52">
        <v>-14035.887590951035</v>
      </c>
      <c r="I17" s="56">
        <v>30080.684253072908</v>
      </c>
      <c r="J17" s="52">
        <v>0</v>
      </c>
      <c r="K17" s="56">
        <v>-44268.371045531749</v>
      </c>
      <c r="L17" s="52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5"/>
      <c r="AB17" s="53"/>
      <c r="AC17" s="53"/>
      <c r="AD17" s="53"/>
      <c r="AE17" s="53"/>
      <c r="AF17" s="53"/>
      <c r="AG17" s="53"/>
      <c r="AH17" s="53"/>
      <c r="AI17" s="55"/>
    </row>
    <row r="18" spans="1:35" s="54" customFormat="1" ht="10.5" customHeight="1">
      <c r="A18" s="41" t="s">
        <v>115</v>
      </c>
      <c r="B18" s="56">
        <v>-898.35744285666703</v>
      </c>
      <c r="C18" s="52">
        <v>-937.09389509888206</v>
      </c>
      <c r="D18" s="52">
        <v>0</v>
      </c>
      <c r="E18" s="52">
        <v>-466.15109316180667</v>
      </c>
      <c r="F18" s="56">
        <v>-2827.9647463456577</v>
      </c>
      <c r="G18" s="56">
        <v>-2855.5134413310502</v>
      </c>
      <c r="H18" s="52">
        <v>0</v>
      </c>
      <c r="I18" s="56">
        <v>2834.8852167669825</v>
      </c>
      <c r="J18" s="52">
        <v>0</v>
      </c>
      <c r="K18" s="56">
        <v>-5150.1954020270805</v>
      </c>
      <c r="L18" s="52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5"/>
      <c r="AB18" s="53"/>
      <c r="AC18" s="53"/>
      <c r="AD18" s="53"/>
      <c r="AE18" s="53"/>
      <c r="AF18" s="53"/>
      <c r="AG18" s="53"/>
      <c r="AH18" s="53"/>
      <c r="AI18" s="55"/>
    </row>
    <row r="19" spans="1:35" s="67" customFormat="1" ht="10.5" customHeight="1">
      <c r="A19" s="41" t="s">
        <v>146</v>
      </c>
      <c r="B19" s="52">
        <v>-286.07079043843385</v>
      </c>
      <c r="C19" s="52">
        <v>-51.380051590713663</v>
      </c>
      <c r="D19" s="52">
        <v>0</v>
      </c>
      <c r="E19" s="52">
        <v>-59.952651222606548</v>
      </c>
      <c r="F19" s="56">
        <v>-1883.8057647858118</v>
      </c>
      <c r="G19" s="52">
        <v>0</v>
      </c>
      <c r="H19" s="52">
        <v>0</v>
      </c>
      <c r="I19" s="52"/>
      <c r="J19" s="56">
        <v>1195.5378034599423</v>
      </c>
      <c r="K19" s="56">
        <v>-1085.9522700486116</v>
      </c>
      <c r="L19" s="52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5"/>
      <c r="AB19" s="53"/>
      <c r="AC19" s="53"/>
      <c r="AD19" s="53"/>
      <c r="AE19" s="53"/>
      <c r="AF19" s="53"/>
      <c r="AG19" s="53"/>
      <c r="AH19" s="53"/>
      <c r="AI19" s="55"/>
    </row>
    <row r="20" spans="1:35" s="54" customFormat="1" ht="10.5" customHeight="1">
      <c r="A20" s="41" t="s">
        <v>147</v>
      </c>
      <c r="B20" s="63">
        <v>0</v>
      </c>
      <c r="C20" s="63">
        <v>0</v>
      </c>
      <c r="D20" s="52">
        <v>-88529.568613974145</v>
      </c>
      <c r="E20" s="56">
        <v>88808.264036450899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6">
        <v>278.69542247675417</v>
      </c>
      <c r="L20" s="52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5"/>
      <c r="AB20" s="53"/>
      <c r="AC20" s="53"/>
      <c r="AD20" s="53"/>
      <c r="AE20" s="53"/>
      <c r="AF20" s="53"/>
      <c r="AG20" s="53"/>
      <c r="AH20" s="53"/>
      <c r="AI20" s="55"/>
    </row>
    <row r="21" spans="1:35" s="54" customFormat="1" ht="10.5" customHeight="1">
      <c r="A21" s="41" t="s">
        <v>148</v>
      </c>
      <c r="B21" s="52">
        <v>-4319.0008832812655</v>
      </c>
      <c r="C21" s="56">
        <v>4169.4215397819735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6">
        <v>-149.57934349929201</v>
      </c>
      <c r="L21" s="52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5"/>
      <c r="AB21" s="53"/>
      <c r="AC21" s="53"/>
      <c r="AD21" s="53"/>
      <c r="AE21" s="53"/>
      <c r="AF21" s="53"/>
      <c r="AG21" s="53"/>
      <c r="AH21" s="53"/>
      <c r="AI21" s="55"/>
    </row>
    <row r="22" spans="1:35" s="54" customFormat="1" ht="10.5" customHeight="1">
      <c r="A22" s="41" t="s">
        <v>116</v>
      </c>
      <c r="B22" s="52">
        <v>-904.44038775362071</v>
      </c>
      <c r="C22" s="52">
        <v>-1632.6849250390758</v>
      </c>
      <c r="D22" s="52">
        <v>0</v>
      </c>
      <c r="E22" s="52">
        <v>-209.65376125681584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-2746.7790740495125</v>
      </c>
      <c r="L22" s="5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5"/>
      <c r="AB22" s="53"/>
      <c r="AC22" s="53"/>
      <c r="AD22" s="53"/>
      <c r="AE22" s="53"/>
      <c r="AF22" s="53"/>
      <c r="AG22" s="53"/>
      <c r="AH22" s="53"/>
      <c r="AI22" s="55"/>
    </row>
    <row r="23" spans="1:35" s="54" customFormat="1" ht="10.5" customHeight="1">
      <c r="A23" s="41" t="s">
        <v>149</v>
      </c>
      <c r="B23" s="52">
        <v>-171.71322799939193</v>
      </c>
      <c r="C23" s="52">
        <v>176.35028757045953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4.6370595710675957</v>
      </c>
      <c r="L23" s="52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5"/>
      <c r="AB23" s="53"/>
      <c r="AC23" s="53"/>
      <c r="AD23" s="53"/>
      <c r="AE23" s="53"/>
      <c r="AF23" s="53"/>
      <c r="AG23" s="53"/>
      <c r="AH23" s="53"/>
      <c r="AI23" s="55"/>
    </row>
    <row r="24" spans="1:35" s="54" customFormat="1" ht="10.5" customHeight="1">
      <c r="A24" s="68" t="s">
        <v>114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52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5"/>
      <c r="AB24" s="53"/>
      <c r="AC24" s="53"/>
      <c r="AD24" s="53"/>
      <c r="AE24" s="53"/>
      <c r="AF24" s="53"/>
      <c r="AG24" s="53"/>
      <c r="AH24" s="53"/>
      <c r="AI24" s="55"/>
    </row>
    <row r="25" spans="1:35" s="54" customFormat="1" ht="10.5" customHeight="1">
      <c r="A25" s="70" t="s">
        <v>150</v>
      </c>
      <c r="B25" s="66">
        <v>3.8428609674794316</v>
      </c>
      <c r="C25" s="65">
        <v>881.47682251004414</v>
      </c>
      <c r="D25" s="66">
        <v>0</v>
      </c>
      <c r="E25" s="65">
        <v>4718.7701610732329</v>
      </c>
      <c r="F25" s="65">
        <v>6299.2256223459626</v>
      </c>
      <c r="G25" s="66">
        <v>0</v>
      </c>
      <c r="H25" s="66">
        <v>0</v>
      </c>
      <c r="I25" s="65">
        <v>2543.5577240986504</v>
      </c>
      <c r="J25" s="65">
        <v>67.606119023141133</v>
      </c>
      <c r="K25" s="65">
        <v>14514.479310018509</v>
      </c>
      <c r="L25" s="52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5"/>
      <c r="AB25" s="53"/>
      <c r="AC25" s="53"/>
      <c r="AD25" s="53"/>
      <c r="AE25" s="53"/>
      <c r="AF25" s="53"/>
      <c r="AG25" s="53"/>
      <c r="AH25" s="53"/>
      <c r="AI25" s="55"/>
    </row>
    <row r="26" spans="1:35" s="54" customFormat="1" ht="10.5" customHeight="1">
      <c r="A26" s="41" t="s">
        <v>144</v>
      </c>
      <c r="B26" s="63">
        <v>0</v>
      </c>
      <c r="C26" s="63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56">
        <v>1521.8145950184091</v>
      </c>
      <c r="J26" s="52">
        <v>0</v>
      </c>
      <c r="K26" s="56">
        <v>1521.8145950184091</v>
      </c>
      <c r="L26" s="52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5"/>
      <c r="AB26" s="53"/>
      <c r="AC26" s="53"/>
      <c r="AD26" s="53"/>
      <c r="AE26" s="53"/>
      <c r="AF26" s="53"/>
      <c r="AG26" s="53"/>
      <c r="AH26" s="53"/>
      <c r="AI26" s="55"/>
    </row>
    <row r="27" spans="1:35" s="54" customFormat="1" ht="10.5" customHeight="1">
      <c r="A27" s="41" t="s">
        <v>151</v>
      </c>
      <c r="B27" s="63">
        <v>0</v>
      </c>
      <c r="C27" s="63">
        <v>0</v>
      </c>
      <c r="D27" s="66">
        <v>0</v>
      </c>
      <c r="E27" s="66">
        <v>0</v>
      </c>
      <c r="F27" s="52">
        <v>5522.7680375910086</v>
      </c>
      <c r="G27" s="66">
        <v>0</v>
      </c>
      <c r="H27" s="66">
        <v>0</v>
      </c>
      <c r="I27" s="52">
        <v>48.18436493896882</v>
      </c>
      <c r="J27" s="52">
        <v>0</v>
      </c>
      <c r="K27" s="52">
        <v>5570.952402529977</v>
      </c>
      <c r="L27" s="52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5"/>
      <c r="AB27" s="53"/>
      <c r="AC27" s="53"/>
      <c r="AD27" s="53"/>
      <c r="AE27" s="53"/>
      <c r="AF27" s="53"/>
      <c r="AG27" s="53"/>
      <c r="AH27" s="53"/>
      <c r="AI27" s="55"/>
    </row>
    <row r="28" spans="1:35" s="54" customFormat="1" ht="10.5" customHeight="1">
      <c r="A28" s="41" t="s">
        <v>147</v>
      </c>
      <c r="B28" s="63">
        <v>0</v>
      </c>
      <c r="C28" s="63">
        <v>0</v>
      </c>
      <c r="D28" s="66">
        <v>0</v>
      </c>
      <c r="E28" s="52">
        <v>4718.7375265188602</v>
      </c>
      <c r="F28" s="56">
        <v>209.92072940392129</v>
      </c>
      <c r="G28" s="66">
        <v>0</v>
      </c>
      <c r="H28" s="66">
        <v>0</v>
      </c>
      <c r="I28" s="56">
        <v>575.709506035652</v>
      </c>
      <c r="J28" s="56">
        <v>67.606119023141133</v>
      </c>
      <c r="K28" s="56">
        <v>5571.9738809815753</v>
      </c>
      <c r="L28" s="52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5"/>
      <c r="AB28" s="53"/>
      <c r="AC28" s="53"/>
      <c r="AD28" s="53"/>
      <c r="AE28" s="53"/>
      <c r="AF28" s="53"/>
      <c r="AG28" s="53"/>
      <c r="AH28" s="53"/>
      <c r="AI28" s="55"/>
    </row>
    <row r="29" spans="1:35" s="54" customFormat="1" ht="10.5" customHeight="1">
      <c r="A29" s="41" t="s">
        <v>152</v>
      </c>
      <c r="B29" s="52">
        <v>3.8428609674794316</v>
      </c>
      <c r="C29" s="63">
        <v>0</v>
      </c>
      <c r="D29" s="66">
        <v>0</v>
      </c>
      <c r="E29" s="66">
        <v>0</v>
      </c>
      <c r="F29" s="52">
        <v>7.8245915735167664</v>
      </c>
      <c r="G29" s="66">
        <v>0</v>
      </c>
      <c r="H29" s="66">
        <v>0</v>
      </c>
      <c r="I29" s="52">
        <v>84.52519815677114</v>
      </c>
      <c r="J29" s="66">
        <v>0</v>
      </c>
      <c r="K29" s="52">
        <v>96.192650697767334</v>
      </c>
      <c r="L29" s="52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5"/>
      <c r="AB29" s="53"/>
      <c r="AC29" s="53"/>
      <c r="AD29" s="53"/>
      <c r="AE29" s="53"/>
      <c r="AF29" s="53"/>
      <c r="AG29" s="53"/>
      <c r="AH29" s="53"/>
      <c r="AI29" s="55"/>
    </row>
    <row r="30" spans="1:35" s="54" customFormat="1" ht="11.25" customHeight="1">
      <c r="A30" s="41" t="s">
        <v>148</v>
      </c>
      <c r="B30" s="63">
        <v>0</v>
      </c>
      <c r="C30" s="52">
        <v>423.9398886304225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52">
        <v>7.7140557991952763</v>
      </c>
      <c r="J30" s="66">
        <v>0</v>
      </c>
      <c r="K30" s="56">
        <v>431.91851614586881</v>
      </c>
      <c r="L30" s="52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5"/>
      <c r="AB30" s="53"/>
      <c r="AC30" s="53"/>
      <c r="AD30" s="53"/>
      <c r="AE30" s="53"/>
      <c r="AF30" s="53"/>
      <c r="AG30" s="53"/>
      <c r="AH30" s="53"/>
      <c r="AI30" s="55"/>
    </row>
    <row r="31" spans="1:35" s="54" customFormat="1" ht="10.5" customHeight="1">
      <c r="A31" s="41" t="s">
        <v>116</v>
      </c>
      <c r="B31" s="63">
        <v>0</v>
      </c>
      <c r="C31" s="52">
        <v>457.53693387962164</v>
      </c>
      <c r="D31" s="66">
        <v>0</v>
      </c>
      <c r="E31" s="66">
        <v>0</v>
      </c>
      <c r="F31" s="52">
        <v>61.82336646603612</v>
      </c>
      <c r="G31" s="66">
        <v>0</v>
      </c>
      <c r="H31" s="66">
        <v>0</v>
      </c>
      <c r="I31" s="52">
        <v>41.168132812308137</v>
      </c>
      <c r="J31" s="66">
        <v>0</v>
      </c>
      <c r="K31" s="52">
        <v>560.56106771233885</v>
      </c>
      <c r="L31" s="52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5"/>
      <c r="AB31" s="53"/>
      <c r="AC31" s="53"/>
      <c r="AD31" s="53"/>
      <c r="AE31" s="53"/>
      <c r="AF31" s="53"/>
      <c r="AG31" s="53"/>
      <c r="AH31" s="53"/>
      <c r="AI31" s="55"/>
    </row>
    <row r="32" spans="1:35" s="54" customFormat="1" ht="11.25" customHeight="1">
      <c r="A32" s="41" t="s">
        <v>149</v>
      </c>
      <c r="B32" s="63">
        <v>0</v>
      </c>
      <c r="C32" s="52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52">
        <v>0</v>
      </c>
      <c r="L32" s="52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5"/>
      <c r="AB32" s="53"/>
      <c r="AC32" s="53"/>
      <c r="AD32" s="53"/>
      <c r="AE32" s="53"/>
      <c r="AF32" s="53"/>
      <c r="AG32" s="53"/>
      <c r="AH32" s="53"/>
      <c r="AI32" s="55"/>
    </row>
    <row r="33" spans="1:35" s="54" customFormat="1" ht="10.5" customHeight="1">
      <c r="A33" s="41" t="s">
        <v>153</v>
      </c>
      <c r="B33" s="63">
        <v>0</v>
      </c>
      <c r="C33" s="52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52">
        <v>104.2166654342218</v>
      </c>
      <c r="J33" s="66">
        <v>0</v>
      </c>
      <c r="K33" s="52">
        <v>104.2166654342218</v>
      </c>
      <c r="L33" s="52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5"/>
      <c r="AB33" s="53"/>
      <c r="AC33" s="53"/>
      <c r="AD33" s="53"/>
      <c r="AE33" s="53"/>
      <c r="AF33" s="53"/>
      <c r="AG33" s="53"/>
      <c r="AH33" s="53"/>
      <c r="AI33" s="55"/>
    </row>
    <row r="34" spans="1:35" s="54" customFormat="1" ht="10.5" customHeight="1">
      <c r="A34" s="41" t="s">
        <v>114</v>
      </c>
      <c r="B34" s="63">
        <v>0</v>
      </c>
      <c r="C34" s="52">
        <v>0</v>
      </c>
      <c r="D34" s="66">
        <v>0</v>
      </c>
      <c r="E34" s="66">
        <v>0</v>
      </c>
      <c r="F34" s="52">
        <v>496.62432559522813</v>
      </c>
      <c r="G34" s="66">
        <v>0</v>
      </c>
      <c r="H34" s="66">
        <v>0</v>
      </c>
      <c r="I34" s="56">
        <v>160.22520590312376</v>
      </c>
      <c r="J34" s="66">
        <v>0</v>
      </c>
      <c r="K34" s="56">
        <v>656.84953149835189</v>
      </c>
      <c r="L34" s="52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5"/>
      <c r="AB34" s="53"/>
      <c r="AC34" s="53"/>
      <c r="AD34" s="53"/>
      <c r="AE34" s="53"/>
      <c r="AF34" s="53"/>
      <c r="AG34" s="53"/>
      <c r="AH34" s="53"/>
      <c r="AI34" s="55"/>
    </row>
    <row r="35" spans="1:35" s="54" customFormat="1" ht="10.5" customHeight="1">
      <c r="A35" s="71" t="s">
        <v>52</v>
      </c>
      <c r="B35" s="66">
        <v>0</v>
      </c>
      <c r="C35" s="66">
        <v>216.34202534995705</v>
      </c>
      <c r="D35" s="66">
        <v>0</v>
      </c>
      <c r="E35" s="66">
        <v>0</v>
      </c>
      <c r="F35" s="66">
        <v>1037.6687767050994</v>
      </c>
      <c r="G35" s="66">
        <v>0</v>
      </c>
      <c r="H35" s="66">
        <v>0</v>
      </c>
      <c r="I35" s="65">
        <v>2275.9493123434181</v>
      </c>
      <c r="J35" s="66">
        <v>0</v>
      </c>
      <c r="K35" s="65">
        <v>3529.9601143984746</v>
      </c>
      <c r="L35" s="52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5"/>
      <c r="AB35" s="53"/>
      <c r="AC35" s="53"/>
      <c r="AD35" s="53"/>
      <c r="AE35" s="53"/>
      <c r="AF35" s="53"/>
      <c r="AG35" s="53"/>
      <c r="AH35" s="53"/>
      <c r="AI35" s="55"/>
    </row>
    <row r="36" spans="1:35" s="54" customFormat="1" ht="10.5" customHeight="1">
      <c r="A36" s="72" t="s">
        <v>154</v>
      </c>
      <c r="B36" s="73">
        <v>1741.393098794214</v>
      </c>
      <c r="C36" s="73">
        <v>1054.3723391542021</v>
      </c>
      <c r="D36" s="74">
        <v>0</v>
      </c>
      <c r="E36" s="73">
        <v>79824.843393961739</v>
      </c>
      <c r="F36" s="73">
        <v>51432.626194690871</v>
      </c>
      <c r="G36" s="73">
        <v>1220.3447526743503</v>
      </c>
      <c r="H36" s="74">
        <v>0</v>
      </c>
      <c r="I36" s="73">
        <v>29352.030908025168</v>
      </c>
      <c r="J36" s="73">
        <v>1127.9316844368013</v>
      </c>
      <c r="K36" s="73">
        <v>165753.54237173733</v>
      </c>
      <c r="L36" s="52"/>
      <c r="M36" s="53"/>
      <c r="N36" s="53"/>
      <c r="O36" s="53"/>
      <c r="P36" s="53"/>
      <c r="Q36" s="55"/>
      <c r="R36" s="53"/>
      <c r="V36" s="53"/>
      <c r="W36" s="53"/>
      <c r="AB36" s="53"/>
      <c r="AC36" s="53"/>
      <c r="AD36" s="53"/>
      <c r="AE36" s="53"/>
      <c r="AF36" s="53"/>
      <c r="AG36" s="53"/>
      <c r="AH36" s="53"/>
      <c r="AI36" s="55"/>
    </row>
    <row r="37" spans="1:35" s="54" customFormat="1" ht="10.5" customHeight="1">
      <c r="A37" s="51" t="s">
        <v>39</v>
      </c>
      <c r="B37" s="65">
        <v>1240.4875496309458</v>
      </c>
      <c r="C37" s="66">
        <v>861.34517357351172</v>
      </c>
      <c r="D37" s="66">
        <v>0</v>
      </c>
      <c r="E37" s="66">
        <v>6826.8147628055231</v>
      </c>
      <c r="F37" s="65">
        <v>11630.301010071018</v>
      </c>
      <c r="G37" s="65">
        <v>276.33064723402265</v>
      </c>
      <c r="H37" s="66">
        <v>0</v>
      </c>
      <c r="I37" s="65">
        <v>10060.801902903399</v>
      </c>
      <c r="J37" s="65">
        <v>690.26303439380911</v>
      </c>
      <c r="K37" s="65">
        <v>31586.344080612234</v>
      </c>
      <c r="L37" s="52"/>
      <c r="M37" s="53"/>
      <c r="N37" s="53"/>
      <c r="O37" s="53"/>
      <c r="P37" s="53"/>
      <c r="Q37" s="55"/>
      <c r="R37" s="53"/>
      <c r="V37" s="53"/>
      <c r="W37" s="53"/>
      <c r="AB37" s="53"/>
      <c r="AC37" s="53"/>
      <c r="AD37" s="53"/>
      <c r="AE37" s="53"/>
      <c r="AF37" s="53"/>
      <c r="AG37" s="53"/>
      <c r="AH37" s="53"/>
      <c r="AI37" s="55"/>
    </row>
    <row r="38" spans="1:35" s="54" customFormat="1" ht="10.5" customHeight="1">
      <c r="A38" s="41" t="s">
        <v>155</v>
      </c>
      <c r="B38" s="52">
        <v>0</v>
      </c>
      <c r="C38" s="52">
        <v>237.32264460895635</v>
      </c>
      <c r="D38" s="66">
        <v>0</v>
      </c>
      <c r="E38" s="52">
        <v>2640.2587526636494</v>
      </c>
      <c r="F38" s="52">
        <v>3.4393809114359413</v>
      </c>
      <c r="G38" s="56">
        <v>276.33064723402265</v>
      </c>
      <c r="H38" s="52">
        <v>0</v>
      </c>
      <c r="I38" s="52">
        <v>0</v>
      </c>
      <c r="J38" s="52">
        <v>0</v>
      </c>
      <c r="K38" s="56">
        <v>3157.3514254180641</v>
      </c>
      <c r="L38" s="52"/>
      <c r="M38" s="53"/>
      <c r="N38" s="53"/>
      <c r="O38" s="53"/>
      <c r="P38" s="53"/>
      <c r="Q38" s="55"/>
      <c r="R38" s="53"/>
      <c r="V38" s="53"/>
      <c r="W38" s="53"/>
      <c r="AB38" s="53"/>
      <c r="AC38" s="53"/>
      <c r="AD38" s="53"/>
      <c r="AE38" s="53"/>
      <c r="AF38" s="53"/>
      <c r="AG38" s="53"/>
      <c r="AH38" s="53"/>
      <c r="AI38" s="55"/>
    </row>
    <row r="39" spans="1:35" s="54" customFormat="1" ht="11.25" customHeight="1">
      <c r="A39" s="41" t="s">
        <v>156</v>
      </c>
      <c r="B39" s="52">
        <v>0.72609152574758762</v>
      </c>
      <c r="C39" s="52">
        <v>624.02252896455536</v>
      </c>
      <c r="D39" s="66">
        <v>0</v>
      </c>
      <c r="E39" s="52">
        <v>19.900492553787309</v>
      </c>
      <c r="F39" s="56">
        <v>628.62156585540276</v>
      </c>
      <c r="G39" s="52">
        <v>0</v>
      </c>
      <c r="H39" s="52">
        <v>0</v>
      </c>
      <c r="I39" s="52">
        <v>423.35971716674726</v>
      </c>
      <c r="J39" s="52">
        <v>0</v>
      </c>
      <c r="K39" s="56">
        <v>1696.6303960662403</v>
      </c>
      <c r="L39" s="52"/>
      <c r="M39" s="53"/>
      <c r="N39" s="53"/>
      <c r="O39" s="53"/>
      <c r="P39" s="53"/>
      <c r="Q39" s="55"/>
      <c r="R39" s="53"/>
      <c r="V39" s="53"/>
      <c r="W39" s="53"/>
      <c r="AB39" s="53"/>
      <c r="AC39" s="53"/>
      <c r="AD39" s="53"/>
      <c r="AE39" s="53"/>
      <c r="AF39" s="53"/>
      <c r="AG39" s="53"/>
      <c r="AH39" s="53"/>
      <c r="AI39" s="55"/>
    </row>
    <row r="40" spans="1:35" s="54" customFormat="1" ht="11.25" customHeight="1">
      <c r="A40" s="41" t="s">
        <v>157</v>
      </c>
      <c r="B40" s="52">
        <v>21.884482632167458</v>
      </c>
      <c r="C40" s="52">
        <v>0</v>
      </c>
      <c r="D40" s="66">
        <v>0</v>
      </c>
      <c r="E40" s="52">
        <v>48.364440689883232</v>
      </c>
      <c r="F40" s="52">
        <v>291.62889836699475</v>
      </c>
      <c r="G40" s="52">
        <v>0</v>
      </c>
      <c r="H40" s="52">
        <v>0</v>
      </c>
      <c r="I40" s="56">
        <v>630.31673484735825</v>
      </c>
      <c r="J40" s="52">
        <v>0</v>
      </c>
      <c r="K40" s="56">
        <v>992.19455653640375</v>
      </c>
      <c r="L40" s="52"/>
      <c r="M40" s="53"/>
      <c r="N40" s="53"/>
      <c r="O40" s="53"/>
      <c r="P40" s="53"/>
      <c r="Q40" s="55"/>
      <c r="R40" s="53"/>
      <c r="V40" s="53"/>
      <c r="W40" s="53"/>
      <c r="AB40" s="53"/>
      <c r="AC40" s="53"/>
      <c r="AD40" s="53"/>
      <c r="AE40" s="53"/>
      <c r="AF40" s="53"/>
      <c r="AG40" s="53"/>
      <c r="AH40" s="53"/>
      <c r="AI40" s="55"/>
    </row>
    <row r="41" spans="1:35" s="54" customFormat="1" ht="10.5" customHeight="1">
      <c r="A41" s="41" t="s">
        <v>158</v>
      </c>
      <c r="B41" s="56">
        <v>759.22852775389333</v>
      </c>
      <c r="C41" s="52">
        <v>0</v>
      </c>
      <c r="D41" s="66">
        <v>0</v>
      </c>
      <c r="E41" s="52">
        <v>197.08748361030496</v>
      </c>
      <c r="F41" s="52">
        <v>964.40095726298898</v>
      </c>
      <c r="G41" s="52">
        <v>0</v>
      </c>
      <c r="H41" s="52">
        <v>0</v>
      </c>
      <c r="I41" s="56">
        <v>675.78834137154035</v>
      </c>
      <c r="J41" s="52">
        <v>0</v>
      </c>
      <c r="K41" s="56">
        <v>2596.5053099987276</v>
      </c>
      <c r="L41" s="52"/>
      <c r="M41" s="53"/>
      <c r="N41" s="53"/>
      <c r="O41" s="53"/>
      <c r="P41" s="53"/>
      <c r="Q41" s="55"/>
      <c r="R41" s="53"/>
      <c r="V41" s="53"/>
      <c r="W41" s="53"/>
      <c r="AB41" s="53"/>
      <c r="AC41" s="53"/>
      <c r="AD41" s="53"/>
      <c r="AE41" s="53"/>
      <c r="AF41" s="53"/>
      <c r="AG41" s="53"/>
      <c r="AH41" s="53"/>
      <c r="AI41" s="55"/>
    </row>
    <row r="42" spans="1:35" s="54" customFormat="1" ht="10.5" customHeight="1">
      <c r="A42" s="41" t="s">
        <v>159</v>
      </c>
      <c r="B42" s="52">
        <v>91.415627854253842</v>
      </c>
      <c r="C42" s="52">
        <v>0</v>
      </c>
      <c r="D42" s="66">
        <v>0</v>
      </c>
      <c r="E42" s="52">
        <v>192.48558232174452</v>
      </c>
      <c r="F42" s="56">
        <v>3161.4027801091688</v>
      </c>
      <c r="G42" s="52">
        <v>0</v>
      </c>
      <c r="H42" s="52">
        <v>0</v>
      </c>
      <c r="I42" s="56">
        <v>1908.8138953501298</v>
      </c>
      <c r="J42" s="56">
        <v>276.5900318142734</v>
      </c>
      <c r="K42" s="56">
        <v>5630.7079174495693</v>
      </c>
      <c r="L42" s="52"/>
      <c r="M42" s="53"/>
      <c r="N42" s="53"/>
      <c r="O42" s="53"/>
      <c r="P42" s="53"/>
      <c r="Q42" s="55"/>
      <c r="R42" s="53"/>
      <c r="V42" s="53"/>
      <c r="W42" s="53"/>
      <c r="AB42" s="53"/>
      <c r="AC42" s="53"/>
      <c r="AD42" s="53"/>
      <c r="AE42" s="53"/>
      <c r="AF42" s="53"/>
      <c r="AG42" s="53"/>
      <c r="AH42" s="53"/>
      <c r="AI42" s="55"/>
    </row>
    <row r="43" spans="1:35" s="54" customFormat="1" ht="10.5" customHeight="1">
      <c r="A43" s="41" t="s">
        <v>160</v>
      </c>
      <c r="B43" s="52">
        <v>6.8576236036661511</v>
      </c>
      <c r="C43" s="52">
        <v>0</v>
      </c>
      <c r="D43" s="66">
        <v>0</v>
      </c>
      <c r="E43" s="52">
        <v>107.40562780627575</v>
      </c>
      <c r="F43" s="56">
        <v>672.11810362537369</v>
      </c>
      <c r="G43" s="52">
        <v>0</v>
      </c>
      <c r="H43" s="52">
        <v>0</v>
      </c>
      <c r="I43" s="56">
        <v>732.42177145015921</v>
      </c>
      <c r="J43" s="56">
        <v>0</v>
      </c>
      <c r="K43" s="56">
        <v>1518.8031264854749</v>
      </c>
      <c r="L43" s="52"/>
      <c r="M43" s="53"/>
      <c r="N43" s="53"/>
      <c r="O43" s="53"/>
      <c r="P43" s="53"/>
      <c r="Q43" s="55"/>
      <c r="R43" s="53"/>
      <c r="V43" s="53"/>
      <c r="W43" s="53"/>
      <c r="AB43" s="53"/>
      <c r="AC43" s="53"/>
      <c r="AD43" s="53"/>
      <c r="AE43" s="53"/>
      <c r="AF43" s="53"/>
      <c r="AG43" s="53"/>
      <c r="AH43" s="53"/>
      <c r="AI43" s="55"/>
    </row>
    <row r="44" spans="1:35" s="54" customFormat="1" ht="10.5" customHeight="1">
      <c r="A44" s="41" t="s">
        <v>161</v>
      </c>
      <c r="B44" s="52">
        <v>3.9284638587304435</v>
      </c>
      <c r="C44" s="52">
        <v>0</v>
      </c>
      <c r="D44" s="66">
        <v>0</v>
      </c>
      <c r="E44" s="52">
        <v>35.550087867351941</v>
      </c>
      <c r="F44" s="56">
        <v>338.7842483754726</v>
      </c>
      <c r="G44" s="52">
        <v>0</v>
      </c>
      <c r="H44" s="52">
        <v>0</v>
      </c>
      <c r="I44" s="56">
        <v>626.77839440929563</v>
      </c>
      <c r="J44" s="52">
        <v>0</v>
      </c>
      <c r="K44" s="56">
        <v>1005.0411945108506</v>
      </c>
      <c r="L44" s="52"/>
      <c r="M44" s="53"/>
      <c r="N44" s="53"/>
      <c r="O44" s="53"/>
      <c r="P44" s="53"/>
      <c r="Q44" s="55"/>
      <c r="R44" s="53"/>
      <c r="V44" s="53"/>
      <c r="W44" s="53"/>
      <c r="AB44" s="53"/>
      <c r="AC44" s="53"/>
      <c r="AD44" s="53"/>
      <c r="AE44" s="53"/>
      <c r="AF44" s="53"/>
      <c r="AG44" s="53"/>
      <c r="AH44" s="53"/>
      <c r="AI44" s="55"/>
    </row>
    <row r="45" spans="1:35" s="54" customFormat="1" ht="10.5" customHeight="1">
      <c r="A45" s="41" t="s">
        <v>162</v>
      </c>
      <c r="B45" s="52">
        <v>34.696747610971791</v>
      </c>
      <c r="C45" s="52">
        <v>0</v>
      </c>
      <c r="D45" s="66">
        <v>0</v>
      </c>
      <c r="E45" s="52">
        <v>122.79265925065245</v>
      </c>
      <c r="F45" s="56">
        <v>760.16149156706035</v>
      </c>
      <c r="G45" s="52">
        <v>0</v>
      </c>
      <c r="H45" s="52">
        <v>0</v>
      </c>
      <c r="I45" s="56">
        <v>492.77976343551956</v>
      </c>
      <c r="J45" s="52">
        <v>0</v>
      </c>
      <c r="K45" s="56">
        <v>1410.4306618642042</v>
      </c>
      <c r="L45" s="52"/>
      <c r="M45" s="53"/>
      <c r="N45" s="53"/>
      <c r="O45" s="53"/>
      <c r="P45" s="53"/>
      <c r="Q45" s="55"/>
      <c r="R45" s="53"/>
      <c r="V45" s="53"/>
      <c r="W45" s="53"/>
      <c r="AB45" s="53"/>
      <c r="AC45" s="53"/>
      <c r="AD45" s="53"/>
      <c r="AE45" s="53"/>
      <c r="AF45" s="53"/>
      <c r="AG45" s="53"/>
      <c r="AH45" s="53"/>
      <c r="AI45" s="55"/>
    </row>
    <row r="46" spans="1:35" s="54" customFormat="1" ht="10.5" customHeight="1">
      <c r="A46" s="41" t="s">
        <v>163</v>
      </c>
      <c r="B46" s="56">
        <v>29.449642318359071</v>
      </c>
      <c r="C46" s="52">
        <v>0</v>
      </c>
      <c r="D46" s="66">
        <v>0</v>
      </c>
      <c r="E46" s="52">
        <v>267.62756105858762</v>
      </c>
      <c r="F46" s="56">
        <v>2250.3734032613634</v>
      </c>
      <c r="G46" s="52">
        <v>0</v>
      </c>
      <c r="H46" s="52">
        <v>0</v>
      </c>
      <c r="I46" s="56">
        <v>1056.1831551668772</v>
      </c>
      <c r="J46" s="56">
        <v>1.8537420464316423</v>
      </c>
      <c r="K46" s="56">
        <v>3605.4875038516193</v>
      </c>
      <c r="L46" s="52"/>
      <c r="M46" s="53"/>
      <c r="N46" s="53"/>
      <c r="O46" s="53"/>
      <c r="P46" s="53"/>
      <c r="Q46" s="55"/>
      <c r="R46" s="53"/>
      <c r="V46" s="53"/>
      <c r="W46" s="53"/>
      <c r="AB46" s="53"/>
      <c r="AC46" s="53"/>
      <c r="AD46" s="53"/>
      <c r="AE46" s="53"/>
      <c r="AF46" s="53"/>
      <c r="AG46" s="53"/>
      <c r="AH46" s="53"/>
      <c r="AI46" s="55"/>
    </row>
    <row r="47" spans="1:35" s="54" customFormat="1" ht="10.5" customHeight="1">
      <c r="A47" s="41" t="s">
        <v>164</v>
      </c>
      <c r="B47" s="52">
        <v>52.394962261044078</v>
      </c>
      <c r="C47" s="52">
        <v>0</v>
      </c>
      <c r="D47" s="66">
        <v>0</v>
      </c>
      <c r="E47" s="52">
        <v>119.08852815103786</v>
      </c>
      <c r="F47" s="52">
        <v>548.54967223060169</v>
      </c>
      <c r="G47" s="52">
        <v>0</v>
      </c>
      <c r="H47" s="52">
        <v>0</v>
      </c>
      <c r="I47" s="52">
        <v>287.99730125593561</v>
      </c>
      <c r="J47" s="52">
        <v>0</v>
      </c>
      <c r="K47" s="52">
        <v>1008.0304638986192</v>
      </c>
      <c r="L47" s="52"/>
      <c r="M47" s="53"/>
      <c r="N47" s="53"/>
      <c r="O47" s="53"/>
      <c r="P47" s="53"/>
      <c r="Q47" s="55"/>
      <c r="R47" s="53"/>
      <c r="V47" s="53"/>
      <c r="W47" s="53"/>
      <c r="AB47" s="53"/>
      <c r="AC47" s="53"/>
      <c r="AD47" s="53"/>
      <c r="AE47" s="53"/>
      <c r="AF47" s="53"/>
      <c r="AG47" s="53"/>
      <c r="AH47" s="53"/>
      <c r="AI47" s="55"/>
    </row>
    <row r="48" spans="1:35" s="54" customFormat="1" ht="10.5" customHeight="1">
      <c r="A48" s="41" t="s">
        <v>165</v>
      </c>
      <c r="B48" s="52">
        <v>101.07267246935464</v>
      </c>
      <c r="C48" s="52">
        <v>0</v>
      </c>
      <c r="D48" s="66">
        <v>0</v>
      </c>
      <c r="E48" s="52">
        <v>64.793519163184271</v>
      </c>
      <c r="F48" s="56">
        <v>930.49100984541735</v>
      </c>
      <c r="G48" s="52">
        <v>0</v>
      </c>
      <c r="H48" s="52">
        <v>0</v>
      </c>
      <c r="I48" s="56">
        <v>1148.4158702814241</v>
      </c>
      <c r="J48" s="52">
        <v>1.2411865864144453</v>
      </c>
      <c r="K48" s="56">
        <v>2246.014258345795</v>
      </c>
      <c r="L48" s="52"/>
      <c r="M48" s="53"/>
      <c r="N48" s="53"/>
      <c r="O48" s="53"/>
      <c r="P48" s="53"/>
      <c r="Q48" s="55"/>
      <c r="R48" s="53"/>
      <c r="V48" s="53"/>
      <c r="W48" s="53"/>
      <c r="AB48" s="53"/>
      <c r="AC48" s="53"/>
      <c r="AD48" s="53"/>
      <c r="AE48" s="53"/>
      <c r="AF48" s="53"/>
      <c r="AG48" s="53"/>
      <c r="AH48" s="53"/>
      <c r="AI48" s="55"/>
    </row>
    <row r="49" spans="1:35" s="54" customFormat="1" ht="11.25" customHeight="1">
      <c r="A49" s="41" t="s">
        <v>166</v>
      </c>
      <c r="B49" s="56">
        <v>138.83270774275735</v>
      </c>
      <c r="C49" s="52">
        <v>0</v>
      </c>
      <c r="D49" s="66">
        <v>0</v>
      </c>
      <c r="E49" s="52">
        <v>2842.5744712221363</v>
      </c>
      <c r="F49" s="56">
        <v>849.59817536314358</v>
      </c>
      <c r="G49" s="52">
        <v>0</v>
      </c>
      <c r="H49" s="52">
        <v>0</v>
      </c>
      <c r="I49" s="56">
        <v>1940.4999441703956</v>
      </c>
      <c r="J49" s="52">
        <v>410.57807394668959</v>
      </c>
      <c r="K49" s="56">
        <v>6182.0833724451231</v>
      </c>
      <c r="L49" s="52"/>
      <c r="M49" s="53"/>
      <c r="N49" s="53"/>
      <c r="O49" s="53"/>
      <c r="P49" s="53"/>
      <c r="Q49" s="55"/>
      <c r="R49" s="53"/>
      <c r="V49" s="53"/>
      <c r="W49" s="53"/>
      <c r="AB49" s="53"/>
      <c r="AC49" s="53"/>
      <c r="AD49" s="53"/>
      <c r="AE49" s="53"/>
      <c r="AF49" s="53"/>
      <c r="AG49" s="53"/>
      <c r="AH49" s="53"/>
      <c r="AI49" s="55"/>
    </row>
    <row r="50" spans="1:35" s="54" customFormat="1" ht="11.25" customHeight="1">
      <c r="A50" s="41" t="s">
        <v>167</v>
      </c>
      <c r="B50" s="52">
        <v>0</v>
      </c>
      <c r="C50" s="52">
        <v>0</v>
      </c>
      <c r="D50" s="66">
        <v>0</v>
      </c>
      <c r="E50" s="52">
        <v>168.88555644692795</v>
      </c>
      <c r="F50" s="52">
        <v>230.73132329659407</v>
      </c>
      <c r="G50" s="52">
        <v>0</v>
      </c>
      <c r="H50" s="52">
        <v>0</v>
      </c>
      <c r="I50" s="52">
        <v>137.44701399801724</v>
      </c>
      <c r="J50" s="66">
        <v>0</v>
      </c>
      <c r="K50" s="52">
        <v>537.06389374153923</v>
      </c>
      <c r="L50" s="52"/>
      <c r="M50" s="53"/>
      <c r="N50" s="53"/>
      <c r="O50" s="53"/>
      <c r="P50" s="53"/>
      <c r="Q50" s="55"/>
      <c r="R50" s="53"/>
      <c r="V50" s="53"/>
      <c r="W50" s="53"/>
      <c r="AB50" s="53"/>
      <c r="AC50" s="53"/>
      <c r="AD50" s="53"/>
      <c r="AE50" s="53"/>
      <c r="AF50" s="53"/>
      <c r="AG50" s="53"/>
      <c r="AH50" s="53"/>
      <c r="AI50" s="55"/>
    </row>
    <row r="51" spans="1:35" s="54" customFormat="1" ht="10.5" customHeight="1">
      <c r="A51" s="51" t="s">
        <v>168</v>
      </c>
      <c r="B51" s="66">
        <v>0</v>
      </c>
      <c r="C51" s="66">
        <v>0</v>
      </c>
      <c r="D51" s="66">
        <v>0</v>
      </c>
      <c r="E51" s="65">
        <v>59070.638824150628</v>
      </c>
      <c r="F51" s="66">
        <v>0</v>
      </c>
      <c r="G51" s="65">
        <v>361.69050647440218</v>
      </c>
      <c r="H51" s="66">
        <v>0</v>
      </c>
      <c r="I51" s="65">
        <v>696.49866033915998</v>
      </c>
      <c r="J51" s="66">
        <v>0</v>
      </c>
      <c r="K51" s="65">
        <v>60128.827990964193</v>
      </c>
      <c r="L51" s="52"/>
      <c r="M51" s="53"/>
      <c r="N51" s="53"/>
      <c r="O51" s="53"/>
      <c r="P51" s="53"/>
      <c r="Q51" s="55"/>
      <c r="R51" s="53"/>
      <c r="V51" s="53"/>
      <c r="W51" s="53"/>
      <c r="AB51" s="53"/>
      <c r="AC51" s="53"/>
      <c r="AD51" s="53"/>
      <c r="AE51" s="53"/>
      <c r="AF51" s="53"/>
      <c r="AG51" s="53"/>
      <c r="AH51" s="53"/>
      <c r="AI51" s="55"/>
    </row>
    <row r="52" spans="1:35" s="54" customFormat="1" ht="10.5" customHeight="1">
      <c r="A52" s="41" t="s">
        <v>169</v>
      </c>
      <c r="B52" s="66">
        <v>0</v>
      </c>
      <c r="C52" s="66">
        <v>0</v>
      </c>
      <c r="D52" s="66">
        <v>0</v>
      </c>
      <c r="E52" s="56">
        <v>13905.964685498053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56">
        <v>13905.964685498053</v>
      </c>
      <c r="L52" s="52"/>
      <c r="M52" s="53"/>
      <c r="N52" s="53"/>
      <c r="O52" s="53"/>
      <c r="P52" s="53"/>
      <c r="Q52" s="55"/>
      <c r="R52" s="53"/>
      <c r="V52" s="53"/>
      <c r="W52" s="53"/>
      <c r="AB52" s="53"/>
      <c r="AC52" s="53"/>
      <c r="AD52" s="53"/>
      <c r="AE52" s="53"/>
      <c r="AF52" s="53"/>
      <c r="AG52" s="53"/>
      <c r="AH52" s="53"/>
      <c r="AI52" s="55"/>
    </row>
    <row r="53" spans="1:35" s="54" customFormat="1" ht="10.5" customHeight="1">
      <c r="A53" s="41" t="s">
        <v>24</v>
      </c>
      <c r="B53" s="66">
        <v>0</v>
      </c>
      <c r="C53" s="66">
        <v>0</v>
      </c>
      <c r="D53" s="66">
        <v>0</v>
      </c>
      <c r="E53" s="52">
        <v>700.49172370520387</v>
      </c>
      <c r="F53" s="66">
        <v>0</v>
      </c>
      <c r="G53" s="66">
        <v>0</v>
      </c>
      <c r="H53" s="66">
        <v>0</v>
      </c>
      <c r="I53" s="56">
        <v>696.49866033915998</v>
      </c>
      <c r="J53" s="66">
        <v>0</v>
      </c>
      <c r="K53" s="56">
        <v>1396.990384044364</v>
      </c>
      <c r="L53" s="52"/>
      <c r="M53" s="53"/>
      <c r="N53" s="53"/>
      <c r="O53" s="53"/>
      <c r="P53" s="53"/>
      <c r="Q53" s="55"/>
      <c r="R53" s="53"/>
      <c r="V53" s="53"/>
      <c r="W53" s="53"/>
      <c r="AB53" s="53"/>
      <c r="AC53" s="53"/>
      <c r="AD53" s="53"/>
      <c r="AE53" s="53"/>
      <c r="AF53" s="53"/>
      <c r="AG53" s="53"/>
      <c r="AH53" s="53"/>
      <c r="AI53" s="55"/>
    </row>
    <row r="54" spans="1:35" s="54" customFormat="1" ht="10.5" customHeight="1">
      <c r="A54" s="41" t="s">
        <v>23</v>
      </c>
      <c r="B54" s="66">
        <v>0</v>
      </c>
      <c r="C54" s="66">
        <v>0</v>
      </c>
      <c r="D54" s="66">
        <v>0</v>
      </c>
      <c r="E54" s="56">
        <v>42846.007659541894</v>
      </c>
      <c r="F54" s="66">
        <v>0</v>
      </c>
      <c r="G54" s="56">
        <v>361.69050647440218</v>
      </c>
      <c r="H54" s="66">
        <v>0</v>
      </c>
      <c r="I54" s="66">
        <v>0</v>
      </c>
      <c r="J54" s="66">
        <v>0</v>
      </c>
      <c r="K54" s="56">
        <v>43207.698166016293</v>
      </c>
      <c r="L54" s="52"/>
      <c r="M54" s="53"/>
      <c r="N54" s="53"/>
      <c r="O54" s="53"/>
      <c r="P54" s="53"/>
      <c r="Q54" s="55"/>
      <c r="R54" s="53"/>
      <c r="V54" s="53"/>
      <c r="W54" s="53"/>
      <c r="AB54" s="53"/>
      <c r="AC54" s="53"/>
      <c r="AD54" s="53"/>
      <c r="AE54" s="53"/>
      <c r="AF54" s="53"/>
      <c r="AG54" s="53"/>
      <c r="AH54" s="53"/>
      <c r="AI54" s="55"/>
    </row>
    <row r="55" spans="1:35" s="54" customFormat="1" ht="10.5" customHeight="1">
      <c r="A55" s="41" t="s">
        <v>170</v>
      </c>
      <c r="B55" s="66">
        <v>0</v>
      </c>
      <c r="C55" s="66">
        <v>0</v>
      </c>
      <c r="D55" s="66">
        <v>0</v>
      </c>
      <c r="E55" s="52">
        <v>1618.174755405485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52">
        <v>1618.174755405485</v>
      </c>
      <c r="L55" s="52"/>
      <c r="M55" s="53"/>
      <c r="N55" s="53"/>
      <c r="O55" s="53"/>
      <c r="P55" s="53"/>
      <c r="Q55" s="55"/>
      <c r="R55" s="53"/>
      <c r="V55" s="53"/>
      <c r="W55" s="53"/>
      <c r="AB55" s="53"/>
      <c r="AC55" s="53"/>
      <c r="AD55" s="53"/>
      <c r="AE55" s="53"/>
      <c r="AF55" s="53"/>
      <c r="AG55" s="53"/>
      <c r="AH55" s="53"/>
      <c r="AI55" s="55"/>
    </row>
    <row r="56" spans="1:35" s="54" customFormat="1" ht="10.5" customHeight="1">
      <c r="A56" s="41" t="s">
        <v>171</v>
      </c>
      <c r="B56" s="66">
        <v>0</v>
      </c>
      <c r="C56" s="66">
        <v>0</v>
      </c>
      <c r="D56" s="66">
        <v>0</v>
      </c>
      <c r="E56" s="52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52">
        <v>0</v>
      </c>
      <c r="L56" s="52"/>
      <c r="M56" s="53"/>
      <c r="N56" s="53"/>
      <c r="O56" s="53"/>
      <c r="P56" s="53"/>
      <c r="Q56" s="55"/>
      <c r="R56" s="53"/>
      <c r="V56" s="53"/>
      <c r="W56" s="53"/>
      <c r="AB56" s="53"/>
      <c r="AC56" s="53"/>
      <c r="AD56" s="53"/>
      <c r="AE56" s="53"/>
      <c r="AF56" s="53"/>
      <c r="AG56" s="53"/>
      <c r="AH56" s="53"/>
      <c r="AI56" s="55"/>
    </row>
    <row r="57" spans="1:35" s="54" customFormat="1" ht="10.5" customHeight="1">
      <c r="A57" s="51" t="s">
        <v>114</v>
      </c>
      <c r="B57" s="66">
        <v>500.90554916326829</v>
      </c>
      <c r="C57" s="65">
        <v>193.02716558069034</v>
      </c>
      <c r="D57" s="66">
        <v>0</v>
      </c>
      <c r="E57" s="66">
        <v>4377.360603702904</v>
      </c>
      <c r="F57" s="65">
        <v>38922.863189778924</v>
      </c>
      <c r="G57" s="65">
        <v>582.3235989659255</v>
      </c>
      <c r="H57" s="66">
        <v>0</v>
      </c>
      <c r="I57" s="65">
        <v>18594.730344782609</v>
      </c>
      <c r="J57" s="65">
        <v>437.66865004299228</v>
      </c>
      <c r="K57" s="65">
        <v>63608.624445095564</v>
      </c>
      <c r="L57" s="52"/>
      <c r="M57" s="53"/>
      <c r="N57" s="53"/>
      <c r="O57" s="53"/>
      <c r="P57" s="53"/>
      <c r="Q57" s="55"/>
      <c r="R57" s="53"/>
      <c r="V57" s="53"/>
      <c r="W57" s="53"/>
      <c r="AB57" s="53"/>
      <c r="AC57" s="53"/>
      <c r="AD57" s="53"/>
      <c r="AE57" s="53"/>
      <c r="AF57" s="53"/>
      <c r="AG57" s="53"/>
      <c r="AH57" s="53"/>
      <c r="AI57" s="55"/>
    </row>
    <row r="58" spans="1:35" s="54" customFormat="1" ht="10.5" customHeight="1">
      <c r="A58" s="41" t="s">
        <v>38</v>
      </c>
      <c r="B58" s="52">
        <v>486.96862452451853</v>
      </c>
      <c r="C58" s="56">
        <v>193.02716558069034</v>
      </c>
      <c r="D58" s="66">
        <v>0</v>
      </c>
      <c r="E58" s="52">
        <v>2876.5544716071427</v>
      </c>
      <c r="F58" s="56">
        <v>30347.596000306152</v>
      </c>
      <c r="G58" s="56">
        <v>399.72912132656188</v>
      </c>
      <c r="H58" s="66">
        <v>0</v>
      </c>
      <c r="I58" s="52">
        <v>9892.5696315601908</v>
      </c>
      <c r="J58" s="52">
        <v>51.934651762682712</v>
      </c>
      <c r="K58" s="56">
        <v>44248.379666667941</v>
      </c>
      <c r="L58" s="52"/>
      <c r="M58" s="53"/>
      <c r="N58" s="53"/>
      <c r="O58" s="53"/>
      <c r="P58" s="53"/>
      <c r="Q58" s="55"/>
      <c r="R58" s="53"/>
      <c r="V58" s="53"/>
      <c r="W58" s="53"/>
      <c r="AB58" s="53"/>
      <c r="AC58" s="53"/>
      <c r="AD58" s="53"/>
      <c r="AE58" s="53"/>
      <c r="AF58" s="53"/>
      <c r="AG58" s="53"/>
      <c r="AH58" s="53"/>
      <c r="AI58" s="55"/>
    </row>
    <row r="59" spans="1:35" s="54" customFormat="1" ht="10.5" customHeight="1">
      <c r="A59" s="41" t="s">
        <v>172</v>
      </c>
      <c r="B59" s="56">
        <v>5.5990507192131513</v>
      </c>
      <c r="C59" s="52">
        <v>0</v>
      </c>
      <c r="D59" s="66">
        <v>0</v>
      </c>
      <c r="E59" s="52">
        <v>487.49356628005404</v>
      </c>
      <c r="F59" s="56">
        <v>3825.0752565601806</v>
      </c>
      <c r="G59" s="56">
        <v>89.031229430691653</v>
      </c>
      <c r="H59" s="66">
        <v>0</v>
      </c>
      <c r="I59" s="56">
        <v>1921.4708964229239</v>
      </c>
      <c r="J59" s="52">
        <v>376.22828976784172</v>
      </c>
      <c r="K59" s="56">
        <v>6704.8982891809046</v>
      </c>
      <c r="L59" s="52"/>
      <c r="M59" s="53"/>
      <c r="N59" s="53"/>
      <c r="O59" s="53"/>
      <c r="P59" s="53"/>
      <c r="Q59" s="55"/>
      <c r="R59" s="53"/>
      <c r="V59" s="53"/>
      <c r="W59" s="53"/>
      <c r="AB59" s="53"/>
      <c r="AC59" s="53"/>
      <c r="AD59" s="53"/>
      <c r="AE59" s="53"/>
      <c r="AF59" s="53"/>
      <c r="AG59" s="53"/>
      <c r="AH59" s="53"/>
      <c r="AI59" s="55"/>
    </row>
    <row r="60" spans="1:35" s="54" customFormat="1" ht="10.5" customHeight="1">
      <c r="A60" s="41" t="s">
        <v>47</v>
      </c>
      <c r="B60" s="52">
        <v>4.1936311113122446</v>
      </c>
      <c r="C60" s="52">
        <v>0</v>
      </c>
      <c r="D60" s="66">
        <v>0</v>
      </c>
      <c r="E60" s="52">
        <v>408.57956181445161</v>
      </c>
      <c r="F60" s="52">
        <v>3090.5764029765669</v>
      </c>
      <c r="G60" s="56">
        <v>19.277650340423136</v>
      </c>
      <c r="H60" s="66">
        <v>0</v>
      </c>
      <c r="I60" s="56">
        <v>6426.0158214275434</v>
      </c>
      <c r="J60" s="52">
        <v>9.2510515907136721</v>
      </c>
      <c r="K60" s="56">
        <v>9957.8941192610109</v>
      </c>
      <c r="L60" s="52"/>
      <c r="M60" s="53"/>
      <c r="N60" s="53"/>
      <c r="O60" s="53"/>
      <c r="P60" s="53"/>
      <c r="Q60" s="55"/>
      <c r="R60" s="53"/>
      <c r="V60" s="53"/>
      <c r="W60" s="53"/>
      <c r="AB60" s="53"/>
      <c r="AC60" s="53"/>
      <c r="AD60" s="53"/>
      <c r="AE60" s="53"/>
      <c r="AF60" s="53"/>
      <c r="AG60" s="53"/>
      <c r="AH60" s="53"/>
      <c r="AI60" s="55"/>
    </row>
    <row r="61" spans="1:35" s="54" customFormat="1" ht="11.25" customHeight="1">
      <c r="A61" s="41" t="s">
        <v>173</v>
      </c>
      <c r="B61" s="52">
        <v>2.6750740422279544</v>
      </c>
      <c r="C61" s="52">
        <v>0</v>
      </c>
      <c r="D61" s="66">
        <v>0</v>
      </c>
      <c r="E61" s="52">
        <v>294.37351313668415</v>
      </c>
      <c r="F61" s="52">
        <v>171.87620514677769</v>
      </c>
      <c r="G61" s="52">
        <v>73.871322138248786</v>
      </c>
      <c r="H61" s="66">
        <v>0</v>
      </c>
      <c r="I61" s="56">
        <v>354.67399537195223</v>
      </c>
      <c r="J61" s="52">
        <v>0</v>
      </c>
      <c r="K61" s="56">
        <v>897.47010983589075</v>
      </c>
      <c r="L61" s="52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5"/>
      <c r="AB61" s="53"/>
      <c r="AC61" s="53"/>
      <c r="AD61" s="53"/>
      <c r="AE61" s="53"/>
      <c r="AF61" s="53"/>
      <c r="AG61" s="53"/>
      <c r="AH61" s="53"/>
      <c r="AI61" s="55"/>
    </row>
    <row r="62" spans="1:35" s="54" customFormat="1" ht="10.5" customHeight="1">
      <c r="A62" s="68" t="s">
        <v>174</v>
      </c>
      <c r="B62" s="69">
        <v>1.4691687659963895</v>
      </c>
      <c r="C62" s="52">
        <v>0</v>
      </c>
      <c r="D62" s="52">
        <v>0</v>
      </c>
      <c r="E62" s="52">
        <v>310.35949086457185</v>
      </c>
      <c r="F62" s="56">
        <v>1487.7393247892408</v>
      </c>
      <c r="G62" s="56">
        <v>0</v>
      </c>
      <c r="H62" s="52">
        <v>0</v>
      </c>
      <c r="I62" s="52">
        <v>0</v>
      </c>
      <c r="J62" s="52">
        <v>0</v>
      </c>
      <c r="K62" s="56">
        <v>1799.982260149809</v>
      </c>
      <c r="L62" s="52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5"/>
      <c r="AB62" s="53"/>
      <c r="AC62" s="53"/>
      <c r="AD62" s="53"/>
      <c r="AE62" s="53"/>
      <c r="AF62" s="53"/>
      <c r="AG62" s="53"/>
      <c r="AH62" s="53"/>
      <c r="AI62" s="55"/>
    </row>
    <row r="63" spans="1:35" s="61" customFormat="1" ht="10.5" customHeight="1" thickBot="1">
      <c r="A63" s="75" t="s">
        <v>175</v>
      </c>
      <c r="B63" s="76">
        <v>0</v>
      </c>
      <c r="C63" s="76">
        <v>0</v>
      </c>
      <c r="D63" s="76">
        <v>0</v>
      </c>
      <c r="E63" s="77">
        <v>9550.0292033026835</v>
      </c>
      <c r="F63" s="77">
        <v>879.46199484092858</v>
      </c>
      <c r="G63" s="76">
        <v>0</v>
      </c>
      <c r="H63" s="76">
        <v>0</v>
      </c>
      <c r="I63" s="76">
        <v>0</v>
      </c>
      <c r="J63" s="76">
        <v>0</v>
      </c>
      <c r="K63" s="77">
        <v>10429.491198143613</v>
      </c>
      <c r="L63" s="52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5"/>
      <c r="AB63" s="53"/>
      <c r="AC63" s="53"/>
      <c r="AD63" s="53"/>
      <c r="AE63" s="53"/>
      <c r="AF63" s="53"/>
      <c r="AG63" s="53"/>
      <c r="AH63" s="53"/>
      <c r="AI63" s="55"/>
    </row>
    <row r="64" spans="1:35" ht="12" customHeight="1" thickTop="1">
      <c r="A64" s="78" t="s">
        <v>176</v>
      </c>
      <c r="B64" s="78"/>
      <c r="C64" s="78"/>
      <c r="D64" s="78"/>
      <c r="E64" s="78"/>
      <c r="F64" s="78"/>
      <c r="G64" s="78"/>
      <c r="H64" s="41"/>
      <c r="I64" s="41"/>
      <c r="J64" s="41"/>
      <c r="K64" s="41"/>
      <c r="P64" s="53"/>
      <c r="R64" s="53"/>
    </row>
    <row r="65" spans="1:18" ht="10" customHeight="1">
      <c r="A65" s="78" t="s">
        <v>177</v>
      </c>
      <c r="B65" s="78"/>
      <c r="C65" s="78"/>
      <c r="D65" s="78"/>
      <c r="E65" s="78"/>
      <c r="F65" s="78"/>
      <c r="G65" s="78"/>
      <c r="H65" s="41"/>
      <c r="I65" s="41"/>
      <c r="J65" s="41"/>
      <c r="K65" s="41"/>
      <c r="P65" s="53"/>
      <c r="R65" s="53"/>
    </row>
    <row r="66" spans="1:18" ht="10" customHeight="1">
      <c r="A66" s="78" t="s">
        <v>178</v>
      </c>
      <c r="B66" s="78"/>
      <c r="C66" s="78"/>
      <c r="D66" s="78"/>
      <c r="E66" s="78"/>
      <c r="F66" s="78"/>
      <c r="G66" s="78"/>
      <c r="H66" s="41"/>
      <c r="I66" s="41"/>
      <c r="J66" s="41"/>
      <c r="K66" s="41"/>
      <c r="P66" s="53"/>
      <c r="R66" s="53"/>
    </row>
    <row r="67" spans="1:18" ht="10" customHeight="1">
      <c r="A67" s="78" t="s">
        <v>179</v>
      </c>
      <c r="B67" s="78"/>
      <c r="C67" s="78"/>
      <c r="D67" s="78"/>
      <c r="E67" s="78"/>
      <c r="F67" s="78"/>
      <c r="G67" s="78"/>
      <c r="H67" s="41"/>
      <c r="I67" s="41"/>
      <c r="J67" s="41"/>
      <c r="K67" s="41"/>
      <c r="P67" s="53"/>
      <c r="R67" s="53"/>
    </row>
    <row r="68" spans="1:18" ht="10" customHeight="1">
      <c r="A68" s="78" t="s">
        <v>180</v>
      </c>
      <c r="B68" s="78"/>
      <c r="C68" s="78"/>
      <c r="D68" s="78"/>
      <c r="E68" s="78"/>
      <c r="F68" s="78"/>
      <c r="G68" s="78"/>
      <c r="H68" s="41"/>
      <c r="I68" s="41"/>
      <c r="J68" s="41"/>
      <c r="K68" s="41"/>
      <c r="P68" s="53"/>
      <c r="R68" s="53"/>
    </row>
    <row r="69" spans="1:18" ht="9.75" customHeight="1">
      <c r="A69" s="78" t="s">
        <v>181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P69" s="53"/>
      <c r="R69" s="53"/>
    </row>
    <row r="70" spans="1:18">
      <c r="P70" s="53"/>
      <c r="R70" s="53"/>
    </row>
    <row r="71" spans="1:18">
      <c r="P71" s="53"/>
      <c r="R71" s="53"/>
    </row>
    <row r="72" spans="1:18">
      <c r="B72" s="80"/>
      <c r="C72" s="80"/>
      <c r="D72" s="80"/>
      <c r="E72" s="80"/>
      <c r="F72" s="80"/>
      <c r="G72" s="80"/>
      <c r="H72" s="80"/>
      <c r="I72" s="80"/>
      <c r="J72" s="80"/>
      <c r="K72" s="80"/>
      <c r="P72" s="53"/>
      <c r="R72" s="53"/>
    </row>
    <row r="73" spans="1:18">
      <c r="P73" s="53"/>
      <c r="R73" s="53"/>
    </row>
    <row r="74" spans="1:18">
      <c r="P74" s="53"/>
      <c r="R74" s="53"/>
    </row>
    <row r="75" spans="1:18">
      <c r="P75" s="53"/>
      <c r="R75" s="53"/>
    </row>
    <row r="76" spans="1:18">
      <c r="P76" s="53"/>
      <c r="R76" s="53"/>
    </row>
    <row r="77" spans="1:18">
      <c r="P77" s="53"/>
      <c r="R77" s="53"/>
    </row>
    <row r="78" spans="1:18">
      <c r="P78" s="53"/>
      <c r="R78" s="53"/>
    </row>
    <row r="79" spans="1:18">
      <c r="P79" s="53"/>
      <c r="R79" s="53"/>
    </row>
    <row r="80" spans="1:18">
      <c r="P80" s="53"/>
      <c r="R80" s="53"/>
    </row>
    <row r="81" spans="16:18">
      <c r="P81" s="53"/>
      <c r="R81" s="53"/>
    </row>
    <row r="82" spans="16:18">
      <c r="P82" s="53"/>
      <c r="R82" s="53"/>
    </row>
    <row r="83" spans="16:18">
      <c r="R83" s="53"/>
    </row>
    <row r="84" spans="16:18">
      <c r="R84" s="53"/>
    </row>
    <row r="85" spans="16:18">
      <c r="R85" s="53"/>
    </row>
    <row r="86" spans="16:18">
      <c r="R86" s="53"/>
    </row>
    <row r="87" spans="16:18">
      <c r="R87" s="53"/>
    </row>
    <row r="88" spans="16:18">
      <c r="R88" s="53"/>
    </row>
    <row r="89" spans="16:18">
      <c r="R89" s="53"/>
    </row>
    <row r="90" spans="16:18">
      <c r="R90" s="53"/>
    </row>
    <row r="91" spans="16:18">
      <c r="R91" s="53"/>
    </row>
    <row r="92" spans="16:18">
      <c r="R92" s="53"/>
    </row>
    <row r="93" spans="16:18">
      <c r="R93" s="53"/>
    </row>
    <row r="94" spans="16:18">
      <c r="R94" s="53"/>
    </row>
    <row r="95" spans="16:18">
      <c r="R95" s="53"/>
    </row>
    <row r="96" spans="16:18">
      <c r="R96" s="53"/>
    </row>
    <row r="97" spans="18:18">
      <c r="R97" s="53"/>
    </row>
    <row r="98" spans="18:18">
      <c r="R98" s="53"/>
    </row>
    <row r="99" spans="18:18">
      <c r="R99" s="53"/>
    </row>
    <row r="100" spans="18:18">
      <c r="R100" s="53"/>
    </row>
    <row r="101" spans="18:18">
      <c r="R101" s="53"/>
    </row>
    <row r="102" spans="18:18">
      <c r="R102" s="53"/>
    </row>
    <row r="103" spans="18:18">
      <c r="R103" s="53"/>
    </row>
    <row r="104" spans="18:18">
      <c r="R104" s="53"/>
    </row>
    <row r="105" spans="18:18">
      <c r="R105" s="53"/>
    </row>
    <row r="106" spans="18:18">
      <c r="R106" s="53"/>
    </row>
    <row r="107" spans="18:18">
      <c r="R107" s="53"/>
    </row>
    <row r="108" spans="18:18">
      <c r="R108" s="53"/>
    </row>
    <row r="109" spans="18:18">
      <c r="R109" s="53"/>
    </row>
  </sheetData>
  <pageMargins left="0.51181102362204722" right="0.51181102362204722" top="0.51181102362204722" bottom="0.51181102362204722" header="0.27559055118110237" footer="0.27559055118110237"/>
  <pageSetup paperSize="9" scale="29" orientation="portrait"/>
  <headerFooter alignWithMargins="0">
    <oddFooter>&amp;C28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 enableFormatConditionsCalculation="0"/>
  <dimension ref="A1:IV129"/>
  <sheetViews>
    <sheetView workbookViewId="0"/>
  </sheetViews>
  <sheetFormatPr baseColWidth="10" defaultColWidth="8.83203125" defaultRowHeight="12" x14ac:dyDescent="0"/>
  <cols>
    <col min="1" max="1" width="44.5" style="807" customWidth="1"/>
    <col min="2" max="2" width="8.5" style="807" hidden="1" customWidth="1"/>
    <col min="3" max="3" width="10.6640625" style="807" hidden="1" customWidth="1"/>
    <col min="4" max="6" width="9.83203125" style="807" hidden="1" customWidth="1"/>
    <col min="7" max="9" width="9.83203125" style="883" hidden="1" customWidth="1"/>
    <col min="10" max="10" width="9.83203125" style="883" customWidth="1"/>
    <col min="11" max="12" width="9.83203125" style="807" customWidth="1"/>
    <col min="13" max="256" width="8.83203125" style="807"/>
    <col min="257" max="257" width="44.5" style="807" customWidth="1"/>
    <col min="258" max="265" width="0" style="807" hidden="1" customWidth="1"/>
    <col min="266" max="268" width="9.83203125" style="807" customWidth="1"/>
    <col min="269" max="512" width="8.83203125" style="807"/>
    <col min="513" max="513" width="44.5" style="807" customWidth="1"/>
    <col min="514" max="521" width="0" style="807" hidden="1" customWidth="1"/>
    <col min="522" max="524" width="9.83203125" style="807" customWidth="1"/>
    <col min="525" max="768" width="8.83203125" style="807"/>
    <col min="769" max="769" width="44.5" style="807" customWidth="1"/>
    <col min="770" max="777" width="0" style="807" hidden="1" customWidth="1"/>
    <col min="778" max="780" width="9.83203125" style="807" customWidth="1"/>
    <col min="781" max="1024" width="8.83203125" style="807"/>
    <col min="1025" max="1025" width="44.5" style="807" customWidth="1"/>
    <col min="1026" max="1033" width="0" style="807" hidden="1" customWidth="1"/>
    <col min="1034" max="1036" width="9.83203125" style="807" customWidth="1"/>
    <col min="1037" max="1280" width="8.83203125" style="807"/>
    <col min="1281" max="1281" width="44.5" style="807" customWidth="1"/>
    <col min="1282" max="1289" width="0" style="807" hidden="1" customWidth="1"/>
    <col min="1290" max="1292" width="9.83203125" style="807" customWidth="1"/>
    <col min="1293" max="1536" width="8.83203125" style="807"/>
    <col min="1537" max="1537" width="44.5" style="807" customWidth="1"/>
    <col min="1538" max="1545" width="0" style="807" hidden="1" customWidth="1"/>
    <col min="1546" max="1548" width="9.83203125" style="807" customWidth="1"/>
    <col min="1549" max="1792" width="8.83203125" style="807"/>
    <col min="1793" max="1793" width="44.5" style="807" customWidth="1"/>
    <col min="1794" max="1801" width="0" style="807" hidden="1" customWidth="1"/>
    <col min="1802" max="1804" width="9.83203125" style="807" customWidth="1"/>
    <col min="1805" max="2048" width="8.83203125" style="807"/>
    <col min="2049" max="2049" width="44.5" style="807" customWidth="1"/>
    <col min="2050" max="2057" width="0" style="807" hidden="1" customWidth="1"/>
    <col min="2058" max="2060" width="9.83203125" style="807" customWidth="1"/>
    <col min="2061" max="2304" width="8.83203125" style="807"/>
    <col min="2305" max="2305" width="44.5" style="807" customWidth="1"/>
    <col min="2306" max="2313" width="0" style="807" hidden="1" customWidth="1"/>
    <col min="2314" max="2316" width="9.83203125" style="807" customWidth="1"/>
    <col min="2317" max="2560" width="8.83203125" style="807"/>
    <col min="2561" max="2561" width="44.5" style="807" customWidth="1"/>
    <col min="2562" max="2569" width="0" style="807" hidden="1" customWidth="1"/>
    <col min="2570" max="2572" width="9.83203125" style="807" customWidth="1"/>
    <col min="2573" max="2816" width="8.83203125" style="807"/>
    <col min="2817" max="2817" width="44.5" style="807" customWidth="1"/>
    <col min="2818" max="2825" width="0" style="807" hidden="1" customWidth="1"/>
    <col min="2826" max="2828" width="9.83203125" style="807" customWidth="1"/>
    <col min="2829" max="3072" width="8.83203125" style="807"/>
    <col min="3073" max="3073" width="44.5" style="807" customWidth="1"/>
    <col min="3074" max="3081" width="0" style="807" hidden="1" customWidth="1"/>
    <col min="3082" max="3084" width="9.83203125" style="807" customWidth="1"/>
    <col min="3085" max="3328" width="8.83203125" style="807"/>
    <col min="3329" max="3329" width="44.5" style="807" customWidth="1"/>
    <col min="3330" max="3337" width="0" style="807" hidden="1" customWidth="1"/>
    <col min="3338" max="3340" width="9.83203125" style="807" customWidth="1"/>
    <col min="3341" max="3584" width="8.83203125" style="807"/>
    <col min="3585" max="3585" width="44.5" style="807" customWidth="1"/>
    <col min="3586" max="3593" width="0" style="807" hidden="1" customWidth="1"/>
    <col min="3594" max="3596" width="9.83203125" style="807" customWidth="1"/>
    <col min="3597" max="3840" width="8.83203125" style="807"/>
    <col min="3841" max="3841" width="44.5" style="807" customWidth="1"/>
    <col min="3842" max="3849" width="0" style="807" hidden="1" customWidth="1"/>
    <col min="3850" max="3852" width="9.83203125" style="807" customWidth="1"/>
    <col min="3853" max="4096" width="8.83203125" style="807"/>
    <col min="4097" max="4097" width="44.5" style="807" customWidth="1"/>
    <col min="4098" max="4105" width="0" style="807" hidden="1" customWidth="1"/>
    <col min="4106" max="4108" width="9.83203125" style="807" customWidth="1"/>
    <col min="4109" max="4352" width="8.83203125" style="807"/>
    <col min="4353" max="4353" width="44.5" style="807" customWidth="1"/>
    <col min="4354" max="4361" width="0" style="807" hidden="1" customWidth="1"/>
    <col min="4362" max="4364" width="9.83203125" style="807" customWidth="1"/>
    <col min="4365" max="4608" width="8.83203125" style="807"/>
    <col min="4609" max="4609" width="44.5" style="807" customWidth="1"/>
    <col min="4610" max="4617" width="0" style="807" hidden="1" customWidth="1"/>
    <col min="4618" max="4620" width="9.83203125" style="807" customWidth="1"/>
    <col min="4621" max="4864" width="8.83203125" style="807"/>
    <col min="4865" max="4865" width="44.5" style="807" customWidth="1"/>
    <col min="4866" max="4873" width="0" style="807" hidden="1" customWidth="1"/>
    <col min="4874" max="4876" width="9.83203125" style="807" customWidth="1"/>
    <col min="4877" max="5120" width="8.83203125" style="807"/>
    <col min="5121" max="5121" width="44.5" style="807" customWidth="1"/>
    <col min="5122" max="5129" width="0" style="807" hidden="1" customWidth="1"/>
    <col min="5130" max="5132" width="9.83203125" style="807" customWidth="1"/>
    <col min="5133" max="5376" width="8.83203125" style="807"/>
    <col min="5377" max="5377" width="44.5" style="807" customWidth="1"/>
    <col min="5378" max="5385" width="0" style="807" hidden="1" customWidth="1"/>
    <col min="5386" max="5388" width="9.83203125" style="807" customWidth="1"/>
    <col min="5389" max="5632" width="8.83203125" style="807"/>
    <col min="5633" max="5633" width="44.5" style="807" customWidth="1"/>
    <col min="5634" max="5641" width="0" style="807" hidden="1" customWidth="1"/>
    <col min="5642" max="5644" width="9.83203125" style="807" customWidth="1"/>
    <col min="5645" max="5888" width="8.83203125" style="807"/>
    <col min="5889" max="5889" width="44.5" style="807" customWidth="1"/>
    <col min="5890" max="5897" width="0" style="807" hidden="1" customWidth="1"/>
    <col min="5898" max="5900" width="9.83203125" style="807" customWidth="1"/>
    <col min="5901" max="6144" width="8.83203125" style="807"/>
    <col min="6145" max="6145" width="44.5" style="807" customWidth="1"/>
    <col min="6146" max="6153" width="0" style="807" hidden="1" customWidth="1"/>
    <col min="6154" max="6156" width="9.83203125" style="807" customWidth="1"/>
    <col min="6157" max="6400" width="8.83203125" style="807"/>
    <col min="6401" max="6401" width="44.5" style="807" customWidth="1"/>
    <col min="6402" max="6409" width="0" style="807" hidden="1" customWidth="1"/>
    <col min="6410" max="6412" width="9.83203125" style="807" customWidth="1"/>
    <col min="6413" max="6656" width="8.83203125" style="807"/>
    <col min="6657" max="6657" width="44.5" style="807" customWidth="1"/>
    <col min="6658" max="6665" width="0" style="807" hidden="1" customWidth="1"/>
    <col min="6666" max="6668" width="9.83203125" style="807" customWidth="1"/>
    <col min="6669" max="6912" width="8.83203125" style="807"/>
    <col min="6913" max="6913" width="44.5" style="807" customWidth="1"/>
    <col min="6914" max="6921" width="0" style="807" hidden="1" customWidth="1"/>
    <col min="6922" max="6924" width="9.83203125" style="807" customWidth="1"/>
    <col min="6925" max="7168" width="8.83203125" style="807"/>
    <col min="7169" max="7169" width="44.5" style="807" customWidth="1"/>
    <col min="7170" max="7177" width="0" style="807" hidden="1" customWidth="1"/>
    <col min="7178" max="7180" width="9.83203125" style="807" customWidth="1"/>
    <col min="7181" max="7424" width="8.83203125" style="807"/>
    <col min="7425" max="7425" width="44.5" style="807" customWidth="1"/>
    <col min="7426" max="7433" width="0" style="807" hidden="1" customWidth="1"/>
    <col min="7434" max="7436" width="9.83203125" style="807" customWidth="1"/>
    <col min="7437" max="7680" width="8.83203125" style="807"/>
    <col min="7681" max="7681" width="44.5" style="807" customWidth="1"/>
    <col min="7682" max="7689" width="0" style="807" hidden="1" customWidth="1"/>
    <col min="7690" max="7692" width="9.83203125" style="807" customWidth="1"/>
    <col min="7693" max="7936" width="8.83203125" style="807"/>
    <col min="7937" max="7937" width="44.5" style="807" customWidth="1"/>
    <col min="7938" max="7945" width="0" style="807" hidden="1" customWidth="1"/>
    <col min="7946" max="7948" width="9.83203125" style="807" customWidth="1"/>
    <col min="7949" max="8192" width="8.83203125" style="807"/>
    <col min="8193" max="8193" width="44.5" style="807" customWidth="1"/>
    <col min="8194" max="8201" width="0" style="807" hidden="1" customWidth="1"/>
    <col min="8202" max="8204" width="9.83203125" style="807" customWidth="1"/>
    <col min="8205" max="8448" width="8.83203125" style="807"/>
    <col min="8449" max="8449" width="44.5" style="807" customWidth="1"/>
    <col min="8450" max="8457" width="0" style="807" hidden="1" customWidth="1"/>
    <col min="8458" max="8460" width="9.83203125" style="807" customWidth="1"/>
    <col min="8461" max="8704" width="8.83203125" style="807"/>
    <col min="8705" max="8705" width="44.5" style="807" customWidth="1"/>
    <col min="8706" max="8713" width="0" style="807" hidden="1" customWidth="1"/>
    <col min="8714" max="8716" width="9.83203125" style="807" customWidth="1"/>
    <col min="8717" max="8960" width="8.83203125" style="807"/>
    <col min="8961" max="8961" width="44.5" style="807" customWidth="1"/>
    <col min="8962" max="8969" width="0" style="807" hidden="1" customWidth="1"/>
    <col min="8970" max="8972" width="9.83203125" style="807" customWidth="1"/>
    <col min="8973" max="9216" width="8.83203125" style="807"/>
    <col min="9217" max="9217" width="44.5" style="807" customWidth="1"/>
    <col min="9218" max="9225" width="0" style="807" hidden="1" customWidth="1"/>
    <col min="9226" max="9228" width="9.83203125" style="807" customWidth="1"/>
    <col min="9229" max="9472" width="8.83203125" style="807"/>
    <col min="9473" max="9473" width="44.5" style="807" customWidth="1"/>
    <col min="9474" max="9481" width="0" style="807" hidden="1" customWidth="1"/>
    <col min="9482" max="9484" width="9.83203125" style="807" customWidth="1"/>
    <col min="9485" max="9728" width="8.83203125" style="807"/>
    <col min="9729" max="9729" width="44.5" style="807" customWidth="1"/>
    <col min="9730" max="9737" width="0" style="807" hidden="1" customWidth="1"/>
    <col min="9738" max="9740" width="9.83203125" style="807" customWidth="1"/>
    <col min="9741" max="9984" width="8.83203125" style="807"/>
    <col min="9985" max="9985" width="44.5" style="807" customWidth="1"/>
    <col min="9986" max="9993" width="0" style="807" hidden="1" customWidth="1"/>
    <col min="9994" max="9996" width="9.83203125" style="807" customWidth="1"/>
    <col min="9997" max="10240" width="8.83203125" style="807"/>
    <col min="10241" max="10241" width="44.5" style="807" customWidth="1"/>
    <col min="10242" max="10249" width="0" style="807" hidden="1" customWidth="1"/>
    <col min="10250" max="10252" width="9.83203125" style="807" customWidth="1"/>
    <col min="10253" max="10496" width="8.83203125" style="807"/>
    <col min="10497" max="10497" width="44.5" style="807" customWidth="1"/>
    <col min="10498" max="10505" width="0" style="807" hidden="1" customWidth="1"/>
    <col min="10506" max="10508" width="9.83203125" style="807" customWidth="1"/>
    <col min="10509" max="10752" width="8.83203125" style="807"/>
    <col min="10753" max="10753" width="44.5" style="807" customWidth="1"/>
    <col min="10754" max="10761" width="0" style="807" hidden="1" customWidth="1"/>
    <col min="10762" max="10764" width="9.83203125" style="807" customWidth="1"/>
    <col min="10765" max="11008" width="8.83203125" style="807"/>
    <col min="11009" max="11009" width="44.5" style="807" customWidth="1"/>
    <col min="11010" max="11017" width="0" style="807" hidden="1" customWidth="1"/>
    <col min="11018" max="11020" width="9.83203125" style="807" customWidth="1"/>
    <col min="11021" max="11264" width="8.83203125" style="807"/>
    <col min="11265" max="11265" width="44.5" style="807" customWidth="1"/>
    <col min="11266" max="11273" width="0" style="807" hidden="1" customWidth="1"/>
    <col min="11274" max="11276" width="9.83203125" style="807" customWidth="1"/>
    <col min="11277" max="11520" width="8.83203125" style="807"/>
    <col min="11521" max="11521" width="44.5" style="807" customWidth="1"/>
    <col min="11522" max="11529" width="0" style="807" hidden="1" customWidth="1"/>
    <col min="11530" max="11532" width="9.83203125" style="807" customWidth="1"/>
    <col min="11533" max="11776" width="8.83203125" style="807"/>
    <col min="11777" max="11777" width="44.5" style="807" customWidth="1"/>
    <col min="11778" max="11785" width="0" style="807" hidden="1" customWidth="1"/>
    <col min="11786" max="11788" width="9.83203125" style="807" customWidth="1"/>
    <col min="11789" max="12032" width="8.83203125" style="807"/>
    <col min="12033" max="12033" width="44.5" style="807" customWidth="1"/>
    <col min="12034" max="12041" width="0" style="807" hidden="1" customWidth="1"/>
    <col min="12042" max="12044" width="9.83203125" style="807" customWidth="1"/>
    <col min="12045" max="12288" width="8.83203125" style="807"/>
    <col min="12289" max="12289" width="44.5" style="807" customWidth="1"/>
    <col min="12290" max="12297" width="0" style="807" hidden="1" customWidth="1"/>
    <col min="12298" max="12300" width="9.83203125" style="807" customWidth="1"/>
    <col min="12301" max="12544" width="8.83203125" style="807"/>
    <col min="12545" max="12545" width="44.5" style="807" customWidth="1"/>
    <col min="12546" max="12553" width="0" style="807" hidden="1" customWidth="1"/>
    <col min="12554" max="12556" width="9.83203125" style="807" customWidth="1"/>
    <col min="12557" max="12800" width="8.83203125" style="807"/>
    <col min="12801" max="12801" width="44.5" style="807" customWidth="1"/>
    <col min="12802" max="12809" width="0" style="807" hidden="1" customWidth="1"/>
    <col min="12810" max="12812" width="9.83203125" style="807" customWidth="1"/>
    <col min="12813" max="13056" width="8.83203125" style="807"/>
    <col min="13057" max="13057" width="44.5" style="807" customWidth="1"/>
    <col min="13058" max="13065" width="0" style="807" hidden="1" customWidth="1"/>
    <col min="13066" max="13068" width="9.83203125" style="807" customWidth="1"/>
    <col min="13069" max="13312" width="8.83203125" style="807"/>
    <col min="13313" max="13313" width="44.5" style="807" customWidth="1"/>
    <col min="13314" max="13321" width="0" style="807" hidden="1" customWidth="1"/>
    <col min="13322" max="13324" width="9.83203125" style="807" customWidth="1"/>
    <col min="13325" max="13568" width="8.83203125" style="807"/>
    <col min="13569" max="13569" width="44.5" style="807" customWidth="1"/>
    <col min="13570" max="13577" width="0" style="807" hidden="1" customWidth="1"/>
    <col min="13578" max="13580" width="9.83203125" style="807" customWidth="1"/>
    <col min="13581" max="13824" width="8.83203125" style="807"/>
    <col min="13825" max="13825" width="44.5" style="807" customWidth="1"/>
    <col min="13826" max="13833" width="0" style="807" hidden="1" customWidth="1"/>
    <col min="13834" max="13836" width="9.83203125" style="807" customWidth="1"/>
    <col min="13837" max="14080" width="8.83203125" style="807"/>
    <col min="14081" max="14081" width="44.5" style="807" customWidth="1"/>
    <col min="14082" max="14089" width="0" style="807" hidden="1" customWidth="1"/>
    <col min="14090" max="14092" width="9.83203125" style="807" customWidth="1"/>
    <col min="14093" max="14336" width="8.83203125" style="807"/>
    <col min="14337" max="14337" width="44.5" style="807" customWidth="1"/>
    <col min="14338" max="14345" width="0" style="807" hidden="1" customWidth="1"/>
    <col min="14346" max="14348" width="9.83203125" style="807" customWidth="1"/>
    <col min="14349" max="14592" width="8.83203125" style="807"/>
    <col min="14593" max="14593" width="44.5" style="807" customWidth="1"/>
    <col min="14594" max="14601" width="0" style="807" hidden="1" customWidth="1"/>
    <col min="14602" max="14604" width="9.83203125" style="807" customWidth="1"/>
    <col min="14605" max="14848" width="8.83203125" style="807"/>
    <col min="14849" max="14849" width="44.5" style="807" customWidth="1"/>
    <col min="14850" max="14857" width="0" style="807" hidden="1" customWidth="1"/>
    <col min="14858" max="14860" width="9.83203125" style="807" customWidth="1"/>
    <col min="14861" max="15104" width="8.83203125" style="807"/>
    <col min="15105" max="15105" width="44.5" style="807" customWidth="1"/>
    <col min="15106" max="15113" width="0" style="807" hidden="1" customWidth="1"/>
    <col min="15114" max="15116" width="9.83203125" style="807" customWidth="1"/>
    <col min="15117" max="15360" width="8.83203125" style="807"/>
    <col min="15361" max="15361" width="44.5" style="807" customWidth="1"/>
    <col min="15362" max="15369" width="0" style="807" hidden="1" customWidth="1"/>
    <col min="15370" max="15372" width="9.83203125" style="807" customWidth="1"/>
    <col min="15373" max="15616" width="8.83203125" style="807"/>
    <col min="15617" max="15617" width="44.5" style="807" customWidth="1"/>
    <col min="15618" max="15625" width="0" style="807" hidden="1" customWidth="1"/>
    <col min="15626" max="15628" width="9.83203125" style="807" customWidth="1"/>
    <col min="15629" max="15872" width="8.83203125" style="807"/>
    <col min="15873" max="15873" width="44.5" style="807" customWidth="1"/>
    <col min="15874" max="15881" width="0" style="807" hidden="1" customWidth="1"/>
    <col min="15882" max="15884" width="9.83203125" style="807" customWidth="1"/>
    <col min="15885" max="16128" width="8.83203125" style="807"/>
    <col min="16129" max="16129" width="44.5" style="807" customWidth="1"/>
    <col min="16130" max="16137" width="0" style="807" hidden="1" customWidth="1"/>
    <col min="16138" max="16140" width="9.83203125" style="807" customWidth="1"/>
    <col min="16141" max="16384" width="8.83203125" style="807"/>
  </cols>
  <sheetData>
    <row r="1" spans="1:256" s="794" customFormat="1" ht="26">
      <c r="A1" s="793" t="s">
        <v>813</v>
      </c>
      <c r="G1" s="795"/>
      <c r="H1" s="795"/>
      <c r="I1" s="796"/>
      <c r="J1" s="797"/>
      <c r="K1" s="798"/>
      <c r="L1" s="798"/>
      <c r="M1" s="798"/>
      <c r="N1" s="798"/>
      <c r="O1" s="799"/>
      <c r="P1" s="799"/>
      <c r="Q1" s="799"/>
      <c r="R1" s="799"/>
      <c r="S1" s="799"/>
      <c r="T1" s="799"/>
      <c r="U1" s="799"/>
      <c r="V1" s="799"/>
      <c r="W1" s="799"/>
      <c r="X1" s="799"/>
      <c r="Y1" s="799"/>
      <c r="Z1" s="799"/>
      <c r="AA1" s="799"/>
      <c r="AB1" s="799"/>
      <c r="AC1" s="799"/>
      <c r="AD1" s="799"/>
      <c r="AE1" s="799"/>
      <c r="AF1" s="799"/>
      <c r="AG1" s="799"/>
      <c r="AH1" s="799"/>
      <c r="AI1" s="799"/>
      <c r="AJ1" s="799"/>
      <c r="AK1" s="799"/>
      <c r="AL1" s="799"/>
      <c r="AM1" s="799"/>
      <c r="AN1" s="799"/>
      <c r="AO1" s="799"/>
      <c r="AP1" s="799"/>
      <c r="AQ1" s="799"/>
      <c r="AR1" s="799"/>
      <c r="AS1" s="799"/>
      <c r="AT1" s="799"/>
      <c r="AU1" s="799"/>
      <c r="AV1" s="799"/>
      <c r="AW1" s="799"/>
      <c r="AX1" s="799"/>
      <c r="AY1" s="799"/>
      <c r="AZ1" s="799"/>
      <c r="BA1" s="799"/>
      <c r="BB1" s="799"/>
      <c r="BC1" s="799"/>
      <c r="BD1" s="799"/>
      <c r="BE1" s="799"/>
      <c r="BF1" s="799"/>
      <c r="BG1" s="799"/>
      <c r="BH1" s="799"/>
      <c r="BI1" s="799"/>
      <c r="BJ1" s="799"/>
      <c r="BK1" s="799"/>
      <c r="BL1" s="799"/>
      <c r="BM1" s="799"/>
      <c r="BN1" s="799"/>
      <c r="BO1" s="799"/>
      <c r="BP1" s="799"/>
      <c r="BQ1" s="799"/>
      <c r="BR1" s="799"/>
      <c r="BS1" s="799"/>
      <c r="BT1" s="799"/>
      <c r="BU1" s="799"/>
      <c r="BV1" s="799"/>
      <c r="BW1" s="799"/>
      <c r="BX1" s="799"/>
      <c r="BY1" s="799"/>
      <c r="BZ1" s="799"/>
      <c r="CA1" s="799"/>
      <c r="CB1" s="799"/>
      <c r="CC1" s="799"/>
      <c r="CD1" s="799"/>
      <c r="CE1" s="799"/>
      <c r="CF1" s="799"/>
      <c r="CG1" s="799"/>
      <c r="CH1" s="799"/>
      <c r="CI1" s="799"/>
      <c r="CJ1" s="799"/>
      <c r="CK1" s="799"/>
      <c r="CL1" s="799"/>
      <c r="CM1" s="799"/>
      <c r="CN1" s="799"/>
      <c r="CO1" s="799"/>
      <c r="CP1" s="799"/>
      <c r="CQ1" s="799"/>
      <c r="CR1" s="799"/>
      <c r="CS1" s="799"/>
      <c r="CT1" s="799"/>
      <c r="CU1" s="799"/>
      <c r="CV1" s="799"/>
      <c r="CW1" s="799"/>
      <c r="CX1" s="799"/>
      <c r="CY1" s="799"/>
      <c r="CZ1" s="799"/>
      <c r="DA1" s="799"/>
      <c r="DB1" s="799"/>
      <c r="DC1" s="799"/>
      <c r="DD1" s="799"/>
      <c r="DE1" s="799"/>
      <c r="DF1" s="799"/>
      <c r="DG1" s="799"/>
      <c r="DH1" s="799"/>
      <c r="DI1" s="799"/>
      <c r="DJ1" s="799"/>
      <c r="DK1" s="799"/>
      <c r="DL1" s="799"/>
      <c r="DM1" s="799"/>
      <c r="DN1" s="799"/>
      <c r="DO1" s="799"/>
      <c r="DP1" s="799"/>
      <c r="DQ1" s="799"/>
      <c r="DR1" s="799"/>
      <c r="DS1" s="799"/>
      <c r="DT1" s="799"/>
      <c r="DU1" s="799"/>
      <c r="DV1" s="799"/>
      <c r="DW1" s="799"/>
      <c r="DX1" s="799"/>
      <c r="DY1" s="799"/>
      <c r="DZ1" s="799"/>
      <c r="EA1" s="799"/>
      <c r="EB1" s="799"/>
      <c r="EC1" s="799"/>
      <c r="ED1" s="799"/>
      <c r="EE1" s="799"/>
      <c r="EF1" s="799"/>
      <c r="EG1" s="799"/>
      <c r="EH1" s="799"/>
      <c r="EI1" s="799"/>
      <c r="EJ1" s="799"/>
      <c r="EK1" s="799"/>
      <c r="EL1" s="799"/>
      <c r="EM1" s="799"/>
      <c r="EN1" s="799"/>
      <c r="EO1" s="799"/>
      <c r="EP1" s="799"/>
      <c r="EQ1" s="799"/>
      <c r="ER1" s="799"/>
      <c r="ES1" s="799"/>
      <c r="ET1" s="799"/>
      <c r="EU1" s="799"/>
      <c r="EV1" s="799"/>
      <c r="EW1" s="799"/>
      <c r="EX1" s="799"/>
      <c r="EY1" s="799"/>
      <c r="EZ1" s="799"/>
      <c r="FA1" s="799"/>
      <c r="FB1" s="799"/>
      <c r="FC1" s="799"/>
      <c r="FD1" s="799"/>
      <c r="FE1" s="799"/>
      <c r="FF1" s="799"/>
      <c r="FG1" s="799"/>
      <c r="FH1" s="799"/>
      <c r="FI1" s="799"/>
      <c r="FJ1" s="799"/>
      <c r="FK1" s="799"/>
      <c r="FL1" s="799"/>
      <c r="FM1" s="799"/>
      <c r="FN1" s="799"/>
      <c r="FO1" s="799"/>
      <c r="FP1" s="799"/>
      <c r="FQ1" s="799"/>
      <c r="FR1" s="799"/>
      <c r="FS1" s="799"/>
      <c r="FT1" s="799"/>
      <c r="FU1" s="799"/>
      <c r="FV1" s="799"/>
      <c r="FW1" s="799"/>
      <c r="FX1" s="799"/>
      <c r="FY1" s="799"/>
      <c r="FZ1" s="799"/>
      <c r="GA1" s="799"/>
      <c r="GB1" s="799"/>
      <c r="GC1" s="799"/>
      <c r="GD1" s="799"/>
      <c r="GE1" s="799"/>
      <c r="GF1" s="799"/>
      <c r="GG1" s="799"/>
      <c r="GH1" s="799"/>
      <c r="GI1" s="799"/>
      <c r="GJ1" s="799"/>
      <c r="GK1" s="799"/>
      <c r="GL1" s="799"/>
      <c r="GM1" s="799"/>
      <c r="GN1" s="799"/>
      <c r="GO1" s="799"/>
      <c r="GP1" s="799"/>
      <c r="GQ1" s="799"/>
      <c r="GR1" s="799"/>
      <c r="GS1" s="799"/>
      <c r="GT1" s="799"/>
      <c r="GU1" s="799"/>
      <c r="GV1" s="799"/>
      <c r="GW1" s="799"/>
      <c r="GX1" s="799"/>
      <c r="GY1" s="799"/>
      <c r="GZ1" s="799"/>
      <c r="HA1" s="799"/>
      <c r="HB1" s="799"/>
      <c r="HC1" s="799"/>
      <c r="HD1" s="799"/>
      <c r="HE1" s="799"/>
      <c r="HF1" s="799"/>
      <c r="HG1" s="799"/>
      <c r="HH1" s="799"/>
      <c r="HI1" s="799"/>
      <c r="HJ1" s="799"/>
      <c r="HK1" s="799"/>
      <c r="HL1" s="799"/>
      <c r="HM1" s="799"/>
      <c r="HN1" s="799"/>
      <c r="HO1" s="799"/>
      <c r="HP1" s="799"/>
      <c r="HQ1" s="799"/>
      <c r="HR1" s="799"/>
      <c r="HS1" s="799"/>
      <c r="HT1" s="799"/>
      <c r="HU1" s="799"/>
      <c r="HV1" s="799"/>
      <c r="HW1" s="799"/>
      <c r="HX1" s="799"/>
      <c r="HY1" s="799"/>
      <c r="HZ1" s="799"/>
      <c r="IA1" s="799"/>
      <c r="IB1" s="799"/>
      <c r="IC1" s="799"/>
      <c r="ID1" s="799"/>
      <c r="IE1" s="799"/>
      <c r="IF1" s="799"/>
      <c r="IG1" s="799"/>
      <c r="IH1" s="799"/>
      <c r="II1" s="799"/>
      <c r="IJ1" s="799"/>
      <c r="IK1" s="799"/>
      <c r="IL1" s="799"/>
      <c r="IM1" s="799"/>
      <c r="IN1" s="799"/>
      <c r="IO1" s="799"/>
      <c r="IP1" s="799"/>
      <c r="IQ1" s="799"/>
      <c r="IR1" s="799"/>
      <c r="IS1" s="799"/>
      <c r="IT1" s="799"/>
      <c r="IU1" s="799"/>
      <c r="IV1" s="799"/>
    </row>
    <row r="2" spans="1:256" s="800" customFormat="1" ht="26">
      <c r="A2" s="793" t="s">
        <v>814</v>
      </c>
      <c r="G2" s="801"/>
      <c r="H2" s="801"/>
      <c r="I2" s="801"/>
      <c r="J2" s="801"/>
      <c r="K2" s="798"/>
      <c r="L2" s="798"/>
      <c r="M2" s="798"/>
      <c r="N2" s="798"/>
      <c r="O2" s="802"/>
      <c r="P2" s="802"/>
      <c r="Q2" s="802"/>
      <c r="R2" s="802"/>
      <c r="S2" s="802"/>
      <c r="T2" s="802"/>
      <c r="U2" s="802"/>
      <c r="V2" s="802"/>
      <c r="W2" s="802"/>
      <c r="X2" s="802"/>
      <c r="Y2" s="802"/>
      <c r="Z2" s="802"/>
      <c r="AA2" s="802"/>
      <c r="AB2" s="802"/>
      <c r="AC2" s="802"/>
      <c r="AD2" s="802"/>
      <c r="AE2" s="802"/>
      <c r="AF2" s="802"/>
      <c r="AG2" s="802"/>
      <c r="AH2" s="802"/>
      <c r="AI2" s="802"/>
      <c r="AJ2" s="802"/>
      <c r="AK2" s="802"/>
      <c r="AL2" s="802"/>
      <c r="AM2" s="802"/>
      <c r="AN2" s="802"/>
      <c r="AO2" s="802"/>
      <c r="AP2" s="802"/>
      <c r="AQ2" s="802"/>
      <c r="AR2" s="802"/>
      <c r="AS2" s="802"/>
      <c r="AT2" s="802"/>
      <c r="AU2" s="802"/>
      <c r="AV2" s="802"/>
      <c r="AW2" s="802"/>
      <c r="AX2" s="802"/>
      <c r="AY2" s="802"/>
      <c r="AZ2" s="802"/>
      <c r="BA2" s="802"/>
      <c r="BB2" s="802"/>
      <c r="BC2" s="802"/>
      <c r="BD2" s="802"/>
      <c r="BE2" s="802"/>
      <c r="BF2" s="802"/>
      <c r="BG2" s="802"/>
      <c r="BH2" s="802"/>
      <c r="BI2" s="802"/>
      <c r="BJ2" s="802"/>
      <c r="BK2" s="802"/>
      <c r="BL2" s="802"/>
      <c r="BM2" s="802"/>
      <c r="BN2" s="802"/>
      <c r="BO2" s="802"/>
      <c r="BP2" s="802"/>
      <c r="BQ2" s="802"/>
      <c r="BR2" s="802"/>
      <c r="BS2" s="802"/>
      <c r="BT2" s="802"/>
      <c r="BU2" s="802"/>
      <c r="BV2" s="802"/>
      <c r="BW2" s="802"/>
      <c r="BX2" s="802"/>
      <c r="BY2" s="802"/>
      <c r="BZ2" s="802"/>
      <c r="CA2" s="802"/>
      <c r="CB2" s="802"/>
      <c r="CC2" s="802"/>
      <c r="CD2" s="802"/>
      <c r="CE2" s="802"/>
      <c r="CF2" s="802"/>
      <c r="CG2" s="802"/>
      <c r="CH2" s="802"/>
      <c r="CI2" s="802"/>
      <c r="CJ2" s="802"/>
      <c r="CK2" s="802"/>
      <c r="CL2" s="802"/>
      <c r="CM2" s="802"/>
      <c r="CN2" s="802"/>
      <c r="CO2" s="802"/>
      <c r="CP2" s="802"/>
      <c r="CQ2" s="802"/>
      <c r="CR2" s="802"/>
      <c r="CS2" s="802"/>
      <c r="CT2" s="802"/>
      <c r="CU2" s="802"/>
      <c r="CV2" s="802"/>
      <c r="CW2" s="802"/>
      <c r="CX2" s="802"/>
      <c r="CY2" s="802"/>
      <c r="CZ2" s="802"/>
      <c r="DA2" s="802"/>
      <c r="DB2" s="802"/>
      <c r="DC2" s="802"/>
      <c r="DD2" s="802"/>
      <c r="DE2" s="802"/>
      <c r="DF2" s="802"/>
      <c r="DG2" s="802"/>
      <c r="DH2" s="802"/>
      <c r="DI2" s="802"/>
      <c r="DJ2" s="802"/>
      <c r="DK2" s="802"/>
      <c r="DL2" s="802"/>
      <c r="DM2" s="802"/>
      <c r="DN2" s="802"/>
      <c r="DO2" s="802"/>
      <c r="DP2" s="802"/>
      <c r="DQ2" s="802"/>
      <c r="DR2" s="802"/>
      <c r="DS2" s="802"/>
      <c r="DT2" s="802"/>
      <c r="DU2" s="802"/>
      <c r="DV2" s="802"/>
      <c r="DW2" s="802"/>
      <c r="DX2" s="802"/>
      <c r="DY2" s="802"/>
      <c r="DZ2" s="802"/>
      <c r="EA2" s="802"/>
      <c r="EB2" s="802"/>
      <c r="EC2" s="802"/>
      <c r="ED2" s="802"/>
      <c r="EE2" s="802"/>
      <c r="EF2" s="802"/>
      <c r="EG2" s="802"/>
      <c r="EH2" s="802"/>
      <c r="EI2" s="802"/>
      <c r="EJ2" s="802"/>
      <c r="EK2" s="802"/>
      <c r="EL2" s="802"/>
      <c r="EM2" s="802"/>
      <c r="EN2" s="802"/>
      <c r="EO2" s="802"/>
      <c r="EP2" s="802"/>
      <c r="EQ2" s="802"/>
      <c r="ER2" s="802"/>
      <c r="ES2" s="802"/>
      <c r="ET2" s="802"/>
      <c r="EU2" s="802"/>
      <c r="EV2" s="802"/>
      <c r="EW2" s="802"/>
      <c r="EX2" s="802"/>
      <c r="EY2" s="802"/>
      <c r="EZ2" s="802"/>
      <c r="FA2" s="802"/>
      <c r="FB2" s="802"/>
      <c r="FC2" s="802"/>
      <c r="FD2" s="802"/>
      <c r="FE2" s="802"/>
      <c r="FF2" s="802"/>
      <c r="FG2" s="802"/>
      <c r="FH2" s="802"/>
      <c r="FI2" s="802"/>
      <c r="FJ2" s="802"/>
      <c r="FK2" s="802"/>
      <c r="FL2" s="802"/>
      <c r="FM2" s="802"/>
      <c r="FN2" s="802"/>
      <c r="FO2" s="802"/>
      <c r="FP2" s="802"/>
      <c r="FQ2" s="802"/>
      <c r="FR2" s="802"/>
      <c r="FS2" s="802"/>
      <c r="FT2" s="802"/>
      <c r="FU2" s="802"/>
      <c r="FV2" s="802"/>
      <c r="FW2" s="802"/>
      <c r="FX2" s="802"/>
      <c r="FY2" s="802"/>
      <c r="FZ2" s="802"/>
      <c r="GA2" s="802"/>
      <c r="GB2" s="802"/>
      <c r="GC2" s="802"/>
      <c r="GD2" s="802"/>
      <c r="GE2" s="802"/>
      <c r="GF2" s="802"/>
      <c r="GG2" s="802"/>
      <c r="GH2" s="802"/>
      <c r="GI2" s="802"/>
      <c r="GJ2" s="802"/>
      <c r="GK2" s="802"/>
      <c r="GL2" s="802"/>
      <c r="GM2" s="802"/>
      <c r="GN2" s="802"/>
      <c r="GO2" s="802"/>
      <c r="GP2" s="802"/>
      <c r="GQ2" s="802"/>
      <c r="GR2" s="802"/>
      <c r="GS2" s="802"/>
      <c r="GT2" s="802"/>
      <c r="GU2" s="802"/>
      <c r="GV2" s="802"/>
      <c r="GW2" s="802"/>
      <c r="GX2" s="802"/>
      <c r="GY2" s="802"/>
      <c r="GZ2" s="802"/>
      <c r="HA2" s="802"/>
      <c r="HB2" s="802"/>
      <c r="HC2" s="802"/>
      <c r="HD2" s="802"/>
      <c r="HE2" s="802"/>
      <c r="HF2" s="802"/>
      <c r="HG2" s="802"/>
      <c r="HH2" s="802"/>
      <c r="HI2" s="802"/>
      <c r="HJ2" s="802"/>
      <c r="HK2" s="802"/>
      <c r="HL2" s="802"/>
      <c r="HM2" s="802"/>
      <c r="HN2" s="802"/>
      <c r="HO2" s="802"/>
      <c r="HP2" s="802"/>
      <c r="HQ2" s="802"/>
      <c r="HR2" s="802"/>
      <c r="HS2" s="802"/>
      <c r="HT2" s="802"/>
      <c r="HU2" s="802"/>
      <c r="HV2" s="802"/>
      <c r="HW2" s="802"/>
      <c r="HX2" s="802"/>
      <c r="HY2" s="802"/>
      <c r="HZ2" s="802"/>
      <c r="IA2" s="802"/>
      <c r="IB2" s="802"/>
      <c r="IC2" s="802"/>
      <c r="ID2" s="802"/>
      <c r="IE2" s="802"/>
      <c r="IF2" s="802"/>
      <c r="IG2" s="802"/>
      <c r="IH2" s="802"/>
      <c r="II2" s="802"/>
      <c r="IJ2" s="802"/>
      <c r="IK2" s="802"/>
      <c r="IL2" s="802"/>
      <c r="IM2" s="802"/>
      <c r="IN2" s="802"/>
      <c r="IO2" s="802"/>
      <c r="IP2" s="802"/>
      <c r="IQ2" s="802"/>
      <c r="IR2" s="802"/>
      <c r="IS2" s="802"/>
      <c r="IT2" s="802"/>
      <c r="IU2" s="802"/>
      <c r="IV2" s="802"/>
    </row>
    <row r="3" spans="1:256" s="803" customFormat="1">
      <c r="D3" s="804"/>
      <c r="E3" s="805"/>
      <c r="F3" s="806"/>
      <c r="G3" s="807"/>
      <c r="H3" s="808"/>
      <c r="I3" s="808"/>
      <c r="K3" s="808"/>
      <c r="M3" s="808"/>
      <c r="N3" s="808" t="s">
        <v>815</v>
      </c>
      <c r="O3" s="809"/>
      <c r="P3" s="809"/>
      <c r="Q3" s="809"/>
      <c r="R3" s="809"/>
      <c r="S3" s="809"/>
      <c r="T3" s="809"/>
      <c r="U3" s="809"/>
      <c r="V3" s="809"/>
      <c r="W3" s="809"/>
      <c r="X3" s="809"/>
      <c r="Y3" s="809"/>
      <c r="Z3" s="809"/>
      <c r="AA3" s="809"/>
      <c r="AB3" s="809"/>
      <c r="AC3" s="809"/>
      <c r="AD3" s="809"/>
      <c r="AE3" s="809"/>
      <c r="AF3" s="809"/>
      <c r="AG3" s="809"/>
      <c r="AH3" s="809"/>
      <c r="AI3" s="809"/>
      <c r="AJ3" s="809"/>
      <c r="AK3" s="809"/>
      <c r="AL3" s="809"/>
      <c r="AM3" s="809"/>
      <c r="AN3" s="809"/>
      <c r="AO3" s="809"/>
      <c r="AP3" s="809"/>
      <c r="AQ3" s="809"/>
      <c r="AR3" s="809"/>
      <c r="AS3" s="809"/>
      <c r="AT3" s="809"/>
      <c r="AU3" s="809"/>
      <c r="AV3" s="809"/>
      <c r="AW3" s="809"/>
      <c r="AX3" s="809"/>
      <c r="AY3" s="809"/>
      <c r="AZ3" s="809"/>
      <c r="BA3" s="809"/>
      <c r="BB3" s="809"/>
      <c r="BC3" s="809"/>
      <c r="BD3" s="809"/>
      <c r="BE3" s="809"/>
      <c r="BF3" s="809"/>
      <c r="BG3" s="809"/>
      <c r="BH3" s="809"/>
      <c r="BI3" s="809"/>
      <c r="BJ3" s="809"/>
      <c r="BK3" s="809"/>
      <c r="BL3" s="809"/>
      <c r="BM3" s="809"/>
      <c r="BN3" s="809"/>
      <c r="BO3" s="809"/>
      <c r="BP3" s="809"/>
      <c r="BQ3" s="809"/>
      <c r="BR3" s="809"/>
      <c r="BS3" s="809"/>
      <c r="BT3" s="809"/>
      <c r="BU3" s="809"/>
      <c r="BV3" s="809"/>
      <c r="BW3" s="809"/>
      <c r="BX3" s="809"/>
      <c r="BY3" s="809"/>
      <c r="BZ3" s="809"/>
      <c r="CA3" s="809"/>
      <c r="CB3" s="809"/>
      <c r="CC3" s="809"/>
      <c r="CD3" s="809"/>
      <c r="CE3" s="809"/>
      <c r="CF3" s="809"/>
      <c r="CG3" s="809"/>
      <c r="CH3" s="809"/>
      <c r="CI3" s="809"/>
      <c r="CJ3" s="809"/>
      <c r="CK3" s="809"/>
      <c r="CL3" s="809"/>
      <c r="CM3" s="809"/>
      <c r="CN3" s="809"/>
      <c r="CO3" s="809"/>
      <c r="CP3" s="809"/>
      <c r="CQ3" s="809"/>
      <c r="CR3" s="809"/>
      <c r="CS3" s="809"/>
      <c r="CT3" s="809"/>
      <c r="CU3" s="809"/>
      <c r="CV3" s="809"/>
      <c r="CW3" s="809"/>
      <c r="CX3" s="809"/>
      <c r="CY3" s="809"/>
      <c r="CZ3" s="809"/>
      <c r="DA3" s="809"/>
      <c r="DB3" s="809"/>
      <c r="DC3" s="809"/>
      <c r="DD3" s="809"/>
      <c r="DE3" s="809"/>
      <c r="DF3" s="809"/>
      <c r="DG3" s="809"/>
      <c r="DH3" s="809"/>
      <c r="DI3" s="809"/>
      <c r="DJ3" s="809"/>
      <c r="DK3" s="809"/>
      <c r="DL3" s="809"/>
      <c r="DM3" s="809"/>
      <c r="DN3" s="809"/>
      <c r="DO3" s="809"/>
      <c r="DP3" s="809"/>
      <c r="DQ3" s="809"/>
      <c r="DR3" s="809"/>
      <c r="DS3" s="809"/>
      <c r="DT3" s="809"/>
      <c r="DU3" s="809"/>
      <c r="DV3" s="809"/>
      <c r="DW3" s="809"/>
      <c r="DX3" s="809"/>
      <c r="DY3" s="809"/>
      <c r="DZ3" s="809"/>
      <c r="EA3" s="809"/>
      <c r="EB3" s="809"/>
      <c r="EC3" s="809"/>
      <c r="ED3" s="809"/>
      <c r="EE3" s="809"/>
      <c r="EF3" s="809"/>
      <c r="EG3" s="809"/>
      <c r="EH3" s="809"/>
      <c r="EI3" s="809"/>
      <c r="EJ3" s="809"/>
      <c r="EK3" s="809"/>
      <c r="EL3" s="809"/>
      <c r="EM3" s="809"/>
      <c r="EN3" s="809"/>
      <c r="EO3" s="809"/>
      <c r="EP3" s="809"/>
      <c r="EQ3" s="809"/>
      <c r="ER3" s="809"/>
      <c r="ES3" s="809"/>
      <c r="ET3" s="809"/>
      <c r="EU3" s="809"/>
      <c r="EV3" s="809"/>
      <c r="EW3" s="809"/>
      <c r="EX3" s="809"/>
      <c r="EY3" s="809"/>
      <c r="EZ3" s="809"/>
      <c r="FA3" s="809"/>
      <c r="FB3" s="809"/>
      <c r="FC3" s="809"/>
      <c r="FD3" s="809"/>
      <c r="FE3" s="809"/>
      <c r="FF3" s="809"/>
      <c r="FG3" s="809"/>
      <c r="FH3" s="809"/>
      <c r="FI3" s="809"/>
      <c r="FJ3" s="809"/>
      <c r="FK3" s="809"/>
      <c r="FL3" s="809"/>
      <c r="FM3" s="809"/>
      <c r="FN3" s="809"/>
      <c r="FO3" s="809"/>
      <c r="FP3" s="809"/>
      <c r="FQ3" s="809"/>
      <c r="FR3" s="809"/>
      <c r="FS3" s="809"/>
      <c r="FT3" s="809"/>
      <c r="FU3" s="809"/>
      <c r="FV3" s="809"/>
      <c r="FW3" s="809"/>
      <c r="FX3" s="809"/>
      <c r="FY3" s="809"/>
      <c r="FZ3" s="809"/>
      <c r="GA3" s="809"/>
      <c r="GB3" s="809"/>
      <c r="GC3" s="809"/>
      <c r="GD3" s="809"/>
      <c r="GE3" s="809"/>
      <c r="GF3" s="809"/>
      <c r="GG3" s="809"/>
      <c r="GH3" s="809"/>
      <c r="GI3" s="809"/>
      <c r="GJ3" s="809"/>
      <c r="GK3" s="809"/>
      <c r="GL3" s="809"/>
      <c r="GM3" s="809"/>
      <c r="GN3" s="809"/>
      <c r="GO3" s="809"/>
      <c r="GP3" s="809"/>
      <c r="GQ3" s="809"/>
      <c r="GR3" s="809"/>
      <c r="GS3" s="809"/>
      <c r="GT3" s="809"/>
      <c r="GU3" s="809"/>
      <c r="GV3" s="809"/>
      <c r="GW3" s="809"/>
      <c r="GX3" s="809"/>
      <c r="GY3" s="809"/>
      <c r="GZ3" s="809"/>
      <c r="HA3" s="809"/>
      <c r="HB3" s="809"/>
      <c r="HC3" s="809"/>
      <c r="HD3" s="809"/>
      <c r="HE3" s="809"/>
      <c r="HF3" s="809"/>
      <c r="HG3" s="809"/>
      <c r="HH3" s="809"/>
      <c r="HI3" s="809"/>
      <c r="HJ3" s="809"/>
      <c r="HK3" s="809"/>
      <c r="HL3" s="809"/>
      <c r="HM3" s="809"/>
      <c r="HN3" s="809"/>
      <c r="HO3" s="809"/>
      <c r="HP3" s="809"/>
      <c r="HQ3" s="809"/>
      <c r="HR3" s="809"/>
      <c r="HS3" s="809"/>
      <c r="HT3" s="809"/>
      <c r="HU3" s="809"/>
      <c r="HV3" s="809"/>
      <c r="HW3" s="809"/>
      <c r="HX3" s="809"/>
      <c r="HY3" s="809"/>
      <c r="HZ3" s="809"/>
      <c r="IA3" s="809"/>
      <c r="IB3" s="809"/>
      <c r="IC3" s="809"/>
      <c r="ID3" s="809"/>
      <c r="IE3" s="809"/>
      <c r="IF3" s="809"/>
      <c r="IG3" s="809"/>
      <c r="IH3" s="809"/>
      <c r="II3" s="809"/>
      <c r="IJ3" s="809"/>
      <c r="IK3" s="809"/>
      <c r="IL3" s="809"/>
      <c r="IM3" s="809"/>
      <c r="IN3" s="809"/>
      <c r="IO3" s="809"/>
      <c r="IP3" s="809"/>
      <c r="IQ3" s="809"/>
      <c r="IR3" s="809"/>
      <c r="IS3" s="809"/>
      <c r="IT3" s="809"/>
      <c r="IU3" s="809"/>
      <c r="IV3" s="809"/>
    </row>
    <row r="4" spans="1:256" s="803" customFormat="1" ht="13" thickBot="1">
      <c r="D4" s="810"/>
      <c r="E4" s="805"/>
      <c r="F4" s="806"/>
      <c r="G4" s="811"/>
      <c r="H4" s="812"/>
      <c r="I4" s="812"/>
      <c r="K4" s="812"/>
      <c r="M4" s="813"/>
      <c r="N4" s="813" t="s">
        <v>816</v>
      </c>
      <c r="O4" s="809"/>
      <c r="P4" s="809"/>
      <c r="Q4" s="809"/>
      <c r="R4" s="809"/>
      <c r="S4" s="809"/>
      <c r="T4" s="809"/>
      <c r="U4" s="809"/>
      <c r="V4" s="809"/>
      <c r="W4" s="809"/>
      <c r="X4" s="809"/>
      <c r="Y4" s="809"/>
      <c r="Z4" s="809"/>
      <c r="AA4" s="809"/>
      <c r="AB4" s="809"/>
      <c r="AC4" s="809"/>
      <c r="AD4" s="809"/>
      <c r="AE4" s="809"/>
      <c r="AF4" s="809"/>
      <c r="AG4" s="809"/>
      <c r="AH4" s="809"/>
      <c r="AI4" s="809"/>
      <c r="AJ4" s="809"/>
      <c r="AK4" s="809"/>
      <c r="AL4" s="809"/>
      <c r="AM4" s="809"/>
      <c r="AN4" s="809"/>
      <c r="AO4" s="809"/>
      <c r="AP4" s="809"/>
      <c r="AQ4" s="809"/>
      <c r="AR4" s="809"/>
      <c r="AS4" s="809"/>
      <c r="AT4" s="809"/>
      <c r="AU4" s="809"/>
      <c r="AV4" s="809"/>
      <c r="AW4" s="809"/>
      <c r="AX4" s="809"/>
      <c r="AY4" s="809"/>
      <c r="AZ4" s="809"/>
      <c r="BA4" s="809"/>
      <c r="BB4" s="809"/>
      <c r="BC4" s="809"/>
      <c r="BD4" s="809"/>
      <c r="BE4" s="809"/>
      <c r="BF4" s="809"/>
      <c r="BG4" s="809"/>
      <c r="BH4" s="809"/>
      <c r="BI4" s="809"/>
      <c r="BJ4" s="809"/>
      <c r="BK4" s="809"/>
      <c r="BL4" s="809"/>
      <c r="BM4" s="809"/>
      <c r="BN4" s="809"/>
      <c r="BO4" s="809"/>
      <c r="BP4" s="809"/>
      <c r="BQ4" s="809"/>
      <c r="BR4" s="809"/>
      <c r="BS4" s="809"/>
      <c r="BT4" s="809"/>
      <c r="BU4" s="809"/>
      <c r="BV4" s="809"/>
      <c r="BW4" s="809"/>
      <c r="BX4" s="809"/>
      <c r="BY4" s="809"/>
      <c r="BZ4" s="809"/>
      <c r="CA4" s="809"/>
      <c r="CB4" s="809"/>
      <c r="CC4" s="809"/>
      <c r="CD4" s="809"/>
      <c r="CE4" s="809"/>
      <c r="CF4" s="809"/>
      <c r="CG4" s="809"/>
      <c r="CH4" s="809"/>
      <c r="CI4" s="809"/>
      <c r="CJ4" s="809"/>
      <c r="CK4" s="809"/>
      <c r="CL4" s="809"/>
      <c r="CM4" s="809"/>
      <c r="CN4" s="809"/>
      <c r="CO4" s="809"/>
      <c r="CP4" s="809"/>
      <c r="CQ4" s="809"/>
      <c r="CR4" s="809"/>
      <c r="CS4" s="809"/>
      <c r="CT4" s="809"/>
      <c r="CU4" s="809"/>
      <c r="CV4" s="809"/>
      <c r="CW4" s="809"/>
      <c r="CX4" s="809"/>
      <c r="CY4" s="809"/>
      <c r="CZ4" s="809"/>
      <c r="DA4" s="809"/>
      <c r="DB4" s="809"/>
      <c r="DC4" s="809"/>
      <c r="DD4" s="809"/>
      <c r="DE4" s="809"/>
      <c r="DF4" s="809"/>
      <c r="DG4" s="809"/>
      <c r="DH4" s="809"/>
      <c r="DI4" s="809"/>
      <c r="DJ4" s="809"/>
      <c r="DK4" s="809"/>
      <c r="DL4" s="809"/>
      <c r="DM4" s="809"/>
      <c r="DN4" s="809"/>
      <c r="DO4" s="809"/>
      <c r="DP4" s="809"/>
      <c r="DQ4" s="809"/>
      <c r="DR4" s="809"/>
      <c r="DS4" s="809"/>
      <c r="DT4" s="809"/>
      <c r="DU4" s="809"/>
      <c r="DV4" s="809"/>
      <c r="DW4" s="809"/>
      <c r="DX4" s="809"/>
      <c r="DY4" s="809"/>
      <c r="DZ4" s="809"/>
      <c r="EA4" s="809"/>
      <c r="EB4" s="809"/>
      <c r="EC4" s="809"/>
      <c r="ED4" s="809"/>
      <c r="EE4" s="809"/>
      <c r="EF4" s="809"/>
      <c r="EG4" s="809"/>
      <c r="EH4" s="809"/>
      <c r="EI4" s="809"/>
      <c r="EJ4" s="809"/>
      <c r="EK4" s="809"/>
      <c r="EL4" s="809"/>
      <c r="EM4" s="809"/>
      <c r="EN4" s="809"/>
      <c r="EO4" s="809"/>
      <c r="EP4" s="809"/>
      <c r="EQ4" s="809"/>
      <c r="ER4" s="809"/>
      <c r="ES4" s="809"/>
      <c r="ET4" s="809"/>
      <c r="EU4" s="809"/>
      <c r="EV4" s="809"/>
      <c r="EW4" s="809"/>
      <c r="EX4" s="809"/>
      <c r="EY4" s="809"/>
      <c r="EZ4" s="809"/>
      <c r="FA4" s="809"/>
      <c r="FB4" s="809"/>
      <c r="FC4" s="809"/>
      <c r="FD4" s="809"/>
      <c r="FE4" s="809"/>
      <c r="FF4" s="809"/>
      <c r="FG4" s="809"/>
      <c r="FH4" s="809"/>
      <c r="FI4" s="809"/>
      <c r="FJ4" s="809"/>
      <c r="FK4" s="809"/>
      <c r="FL4" s="809"/>
      <c r="FM4" s="809"/>
      <c r="FN4" s="809"/>
      <c r="FO4" s="809"/>
      <c r="FP4" s="809"/>
      <c r="FQ4" s="809"/>
      <c r="FR4" s="809"/>
      <c r="FS4" s="809"/>
      <c r="FT4" s="809"/>
      <c r="FU4" s="809"/>
      <c r="FV4" s="809"/>
      <c r="FW4" s="809"/>
      <c r="FX4" s="809"/>
      <c r="FY4" s="809"/>
      <c r="FZ4" s="809"/>
      <c r="GA4" s="809"/>
      <c r="GB4" s="809"/>
      <c r="GC4" s="809"/>
      <c r="GD4" s="809"/>
      <c r="GE4" s="809"/>
      <c r="GF4" s="809"/>
      <c r="GG4" s="809"/>
      <c r="GH4" s="809"/>
      <c r="GI4" s="809"/>
      <c r="GJ4" s="809"/>
      <c r="GK4" s="809"/>
      <c r="GL4" s="809"/>
      <c r="GM4" s="809"/>
      <c r="GN4" s="809"/>
      <c r="GO4" s="809"/>
      <c r="GP4" s="809"/>
      <c r="GQ4" s="809"/>
      <c r="GR4" s="809"/>
      <c r="GS4" s="809"/>
      <c r="GT4" s="809"/>
      <c r="GU4" s="809"/>
      <c r="GV4" s="809"/>
      <c r="GW4" s="809"/>
      <c r="GX4" s="809"/>
      <c r="GY4" s="809"/>
      <c r="GZ4" s="809"/>
      <c r="HA4" s="809"/>
      <c r="HB4" s="809"/>
      <c r="HC4" s="809"/>
      <c r="HD4" s="809"/>
      <c r="HE4" s="809"/>
      <c r="HF4" s="809"/>
      <c r="HG4" s="809"/>
      <c r="HH4" s="809"/>
      <c r="HI4" s="809"/>
      <c r="HJ4" s="809"/>
      <c r="HK4" s="809"/>
      <c r="HL4" s="809"/>
      <c r="HM4" s="809"/>
      <c r="HN4" s="809"/>
      <c r="HO4" s="809"/>
      <c r="HP4" s="809"/>
      <c r="HQ4" s="809"/>
      <c r="HR4" s="809"/>
      <c r="HS4" s="809"/>
      <c r="HT4" s="809"/>
      <c r="HU4" s="809"/>
      <c r="HV4" s="809"/>
      <c r="HW4" s="809"/>
      <c r="HX4" s="809"/>
      <c r="HY4" s="809"/>
      <c r="HZ4" s="809"/>
      <c r="IA4" s="809"/>
      <c r="IB4" s="809"/>
      <c r="IC4" s="809"/>
      <c r="ID4" s="809"/>
      <c r="IE4" s="809"/>
      <c r="IF4" s="809"/>
      <c r="IG4" s="809"/>
      <c r="IH4" s="809"/>
      <c r="II4" s="809"/>
      <c r="IJ4" s="809"/>
      <c r="IK4" s="809"/>
      <c r="IL4" s="809"/>
      <c r="IM4" s="809"/>
      <c r="IN4" s="809"/>
      <c r="IO4" s="809"/>
      <c r="IP4" s="809"/>
      <c r="IQ4" s="809"/>
      <c r="IR4" s="809"/>
      <c r="IS4" s="809"/>
      <c r="IT4" s="809"/>
      <c r="IU4" s="809"/>
      <c r="IV4" s="809"/>
    </row>
    <row r="5" spans="1:256" ht="13.5" customHeight="1" thickTop="1">
      <c r="A5" s="814"/>
      <c r="B5" s="815">
        <v>1996</v>
      </c>
      <c r="C5" s="815">
        <v>1997</v>
      </c>
      <c r="D5" s="815">
        <v>1998</v>
      </c>
      <c r="E5" s="815">
        <v>1999</v>
      </c>
      <c r="F5" s="815">
        <v>2000</v>
      </c>
      <c r="G5" s="815">
        <v>2001</v>
      </c>
      <c r="H5" s="815">
        <v>2002</v>
      </c>
      <c r="I5" s="815">
        <v>2003</v>
      </c>
      <c r="J5" s="815">
        <v>2004</v>
      </c>
      <c r="K5" s="815">
        <v>2005</v>
      </c>
      <c r="L5" s="815">
        <v>2006</v>
      </c>
      <c r="M5" s="816">
        <v>2007</v>
      </c>
      <c r="N5" s="816">
        <v>2008</v>
      </c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  <c r="AA5" s="817"/>
      <c r="AB5" s="817"/>
      <c r="AC5" s="817"/>
      <c r="AD5" s="817"/>
      <c r="AE5" s="817"/>
      <c r="AF5" s="817"/>
      <c r="AG5" s="817"/>
      <c r="AH5" s="817"/>
      <c r="AI5" s="817"/>
      <c r="AJ5" s="817"/>
      <c r="AK5" s="817"/>
      <c r="AL5" s="817"/>
      <c r="AM5" s="817"/>
      <c r="AN5" s="817"/>
      <c r="AO5" s="817"/>
      <c r="AP5" s="817"/>
      <c r="AQ5" s="817"/>
      <c r="AR5" s="817"/>
      <c r="AS5" s="817"/>
      <c r="AT5" s="817"/>
      <c r="AU5" s="817"/>
      <c r="AV5" s="817"/>
      <c r="AW5" s="817"/>
      <c r="AX5" s="817"/>
      <c r="AY5" s="817"/>
      <c r="AZ5" s="817"/>
      <c r="BA5" s="817"/>
      <c r="BB5" s="817"/>
      <c r="BC5" s="817"/>
      <c r="BD5" s="817"/>
      <c r="BE5" s="817"/>
      <c r="BF5" s="817"/>
      <c r="BG5" s="817"/>
      <c r="BH5" s="817"/>
      <c r="BI5" s="817"/>
      <c r="BJ5" s="817"/>
      <c r="BK5" s="817"/>
      <c r="BL5" s="817"/>
      <c r="BM5" s="817"/>
      <c r="BN5" s="817"/>
      <c r="BO5" s="817"/>
      <c r="BP5" s="817"/>
      <c r="BQ5" s="817"/>
      <c r="BR5" s="817"/>
      <c r="BS5" s="817"/>
      <c r="BT5" s="817"/>
      <c r="BU5" s="817"/>
      <c r="BV5" s="817"/>
      <c r="BW5" s="817"/>
      <c r="BX5" s="817"/>
      <c r="BY5" s="817"/>
      <c r="BZ5" s="817"/>
      <c r="CA5" s="817"/>
      <c r="CB5" s="817"/>
      <c r="CC5" s="817"/>
      <c r="CD5" s="817"/>
      <c r="CE5" s="817"/>
      <c r="CF5" s="817"/>
      <c r="CG5" s="817"/>
      <c r="CH5" s="817"/>
      <c r="CI5" s="817"/>
      <c r="CJ5" s="817"/>
      <c r="CK5" s="817"/>
      <c r="CL5" s="817"/>
      <c r="CM5" s="817"/>
      <c r="CN5" s="817"/>
      <c r="CO5" s="817"/>
      <c r="CP5" s="817"/>
      <c r="CQ5" s="817"/>
      <c r="CR5" s="817"/>
      <c r="CS5" s="817"/>
      <c r="CT5" s="817"/>
      <c r="CU5" s="817"/>
      <c r="CV5" s="817"/>
      <c r="CW5" s="817"/>
      <c r="CX5" s="817"/>
      <c r="CY5" s="817"/>
      <c r="CZ5" s="817"/>
      <c r="DA5" s="817"/>
      <c r="DB5" s="817"/>
      <c r="DC5" s="817"/>
      <c r="DD5" s="817"/>
      <c r="DE5" s="817"/>
      <c r="DF5" s="817"/>
      <c r="DG5" s="817"/>
      <c r="DH5" s="817"/>
      <c r="DI5" s="817"/>
      <c r="DJ5" s="817"/>
      <c r="DK5" s="817"/>
      <c r="DL5" s="817"/>
      <c r="DM5" s="817"/>
      <c r="DN5" s="817"/>
      <c r="DO5" s="817"/>
      <c r="DP5" s="817"/>
      <c r="DQ5" s="817"/>
      <c r="DR5" s="817"/>
      <c r="DS5" s="817"/>
      <c r="DT5" s="817"/>
      <c r="DU5" s="817"/>
      <c r="DV5" s="817"/>
      <c r="DW5" s="817"/>
      <c r="DX5" s="817"/>
      <c r="DY5" s="817"/>
      <c r="DZ5" s="817"/>
      <c r="EA5" s="817"/>
      <c r="EB5" s="817"/>
      <c r="EC5" s="817"/>
      <c r="ED5" s="817"/>
      <c r="EE5" s="817"/>
      <c r="EF5" s="817"/>
      <c r="EG5" s="817"/>
      <c r="EH5" s="817"/>
      <c r="EI5" s="817"/>
      <c r="EJ5" s="817"/>
      <c r="EK5" s="817"/>
      <c r="EL5" s="817"/>
      <c r="EM5" s="817"/>
      <c r="EN5" s="817"/>
      <c r="EO5" s="817"/>
      <c r="EP5" s="817"/>
      <c r="EQ5" s="817"/>
      <c r="ER5" s="817"/>
      <c r="ES5" s="817"/>
      <c r="ET5" s="817"/>
      <c r="EU5" s="817"/>
      <c r="EV5" s="817"/>
      <c r="EW5" s="817"/>
      <c r="EX5" s="817"/>
      <c r="EY5" s="817"/>
      <c r="EZ5" s="817"/>
      <c r="FA5" s="817"/>
      <c r="FB5" s="817"/>
      <c r="FC5" s="817"/>
      <c r="FD5" s="817"/>
      <c r="FE5" s="817"/>
      <c r="FF5" s="817"/>
      <c r="FG5" s="817"/>
      <c r="FH5" s="817"/>
      <c r="FI5" s="817"/>
      <c r="FJ5" s="817"/>
      <c r="FK5" s="817"/>
      <c r="FL5" s="817"/>
      <c r="FM5" s="817"/>
      <c r="FN5" s="817"/>
      <c r="FO5" s="817"/>
      <c r="FP5" s="817"/>
      <c r="FQ5" s="817"/>
      <c r="FR5" s="817"/>
      <c r="FS5" s="817"/>
      <c r="FT5" s="817"/>
      <c r="FU5" s="817"/>
      <c r="FV5" s="817"/>
      <c r="FW5" s="817"/>
      <c r="FX5" s="817"/>
      <c r="FY5" s="817"/>
      <c r="FZ5" s="817"/>
      <c r="GA5" s="817"/>
      <c r="GB5" s="817"/>
      <c r="GC5" s="817"/>
      <c r="GD5" s="817"/>
      <c r="GE5" s="817"/>
      <c r="GF5" s="817"/>
      <c r="GG5" s="817"/>
      <c r="GH5" s="817"/>
      <c r="GI5" s="817"/>
      <c r="GJ5" s="817"/>
      <c r="GK5" s="817"/>
      <c r="GL5" s="817"/>
      <c r="GM5" s="817"/>
      <c r="GN5" s="817"/>
      <c r="GO5" s="817"/>
      <c r="GP5" s="817"/>
      <c r="GQ5" s="817"/>
      <c r="GR5" s="817"/>
      <c r="GS5" s="817"/>
      <c r="GT5" s="817"/>
      <c r="GU5" s="817"/>
      <c r="GV5" s="817"/>
      <c r="GW5" s="817"/>
      <c r="GX5" s="817"/>
      <c r="GY5" s="817"/>
      <c r="GZ5" s="817"/>
      <c r="HA5" s="817"/>
      <c r="HB5" s="817"/>
      <c r="HC5" s="817"/>
      <c r="HD5" s="817"/>
      <c r="HE5" s="817"/>
      <c r="HF5" s="817"/>
      <c r="HG5" s="817"/>
      <c r="HH5" s="817"/>
      <c r="HI5" s="817"/>
      <c r="HJ5" s="817"/>
      <c r="HK5" s="817"/>
      <c r="HL5" s="817"/>
      <c r="HM5" s="817"/>
      <c r="HN5" s="817"/>
      <c r="HO5" s="817"/>
      <c r="HP5" s="817"/>
      <c r="HQ5" s="817"/>
      <c r="HR5" s="817"/>
      <c r="HS5" s="817"/>
      <c r="HT5" s="817"/>
      <c r="HU5" s="817"/>
      <c r="HV5" s="817"/>
      <c r="HW5" s="817"/>
      <c r="HX5" s="817"/>
      <c r="HY5" s="817"/>
      <c r="HZ5" s="817"/>
      <c r="IA5" s="817"/>
      <c r="IB5" s="817"/>
      <c r="IC5" s="817"/>
      <c r="ID5" s="817"/>
      <c r="IE5" s="817"/>
      <c r="IF5" s="817"/>
      <c r="IG5" s="817"/>
      <c r="IH5" s="817"/>
      <c r="II5" s="817"/>
      <c r="IJ5" s="817"/>
      <c r="IK5" s="817"/>
      <c r="IL5" s="817"/>
      <c r="IM5" s="817"/>
      <c r="IN5" s="817"/>
      <c r="IO5" s="817"/>
      <c r="IP5" s="817"/>
      <c r="IQ5" s="817"/>
      <c r="IR5" s="817"/>
      <c r="IS5" s="817"/>
      <c r="IT5" s="817"/>
      <c r="IU5" s="817"/>
      <c r="IV5" s="817"/>
    </row>
    <row r="6" spans="1:256" s="825" customFormat="1" ht="12" customHeight="1">
      <c r="A6" s="818" t="s">
        <v>817</v>
      </c>
      <c r="B6" s="803"/>
      <c r="C6" s="803"/>
      <c r="D6" s="803"/>
      <c r="E6" s="803"/>
      <c r="F6" s="819"/>
      <c r="G6" s="820"/>
      <c r="H6" s="821"/>
      <c r="I6" s="822"/>
      <c r="J6" s="822"/>
      <c r="K6" s="822"/>
      <c r="L6" s="822"/>
      <c r="M6" s="823"/>
      <c r="N6" s="823"/>
      <c r="O6" s="824"/>
      <c r="P6" s="824"/>
      <c r="Q6" s="824"/>
      <c r="R6" s="824"/>
      <c r="S6" s="824"/>
      <c r="T6" s="824"/>
      <c r="U6" s="824"/>
      <c r="V6" s="824"/>
      <c r="W6" s="824"/>
      <c r="X6" s="824"/>
      <c r="Y6" s="824"/>
      <c r="Z6" s="824"/>
      <c r="AA6" s="824"/>
      <c r="AB6" s="824"/>
      <c r="AC6" s="824"/>
      <c r="AD6" s="824"/>
      <c r="AE6" s="824"/>
      <c r="AF6" s="824"/>
      <c r="AG6" s="824"/>
      <c r="AH6" s="824"/>
      <c r="AI6" s="824"/>
      <c r="AJ6" s="824"/>
      <c r="AK6" s="824"/>
      <c r="AL6" s="824"/>
      <c r="AM6" s="824"/>
      <c r="AN6" s="824"/>
      <c r="AO6" s="824"/>
      <c r="AP6" s="824"/>
      <c r="AQ6" s="824"/>
      <c r="AR6" s="824"/>
      <c r="AS6" s="824"/>
      <c r="AT6" s="824"/>
      <c r="AU6" s="824"/>
      <c r="AV6" s="824"/>
      <c r="AW6" s="824"/>
      <c r="AX6" s="824"/>
      <c r="AY6" s="824"/>
      <c r="AZ6" s="824"/>
      <c r="BA6" s="824"/>
      <c r="BB6" s="824"/>
      <c r="BC6" s="824"/>
      <c r="BD6" s="824"/>
      <c r="BE6" s="824"/>
      <c r="BF6" s="824"/>
      <c r="BG6" s="824"/>
      <c r="BH6" s="824"/>
      <c r="BI6" s="824"/>
      <c r="BJ6" s="824"/>
      <c r="BK6" s="824"/>
      <c r="BL6" s="824"/>
      <c r="BM6" s="824"/>
      <c r="BN6" s="824"/>
      <c r="BO6" s="824"/>
      <c r="BP6" s="824"/>
      <c r="BQ6" s="824"/>
      <c r="BR6" s="824"/>
      <c r="BS6" s="824"/>
      <c r="BT6" s="824"/>
      <c r="BU6" s="824"/>
      <c r="BV6" s="824"/>
      <c r="BW6" s="824"/>
      <c r="BX6" s="824"/>
      <c r="BY6" s="824"/>
      <c r="BZ6" s="824"/>
      <c r="CA6" s="824"/>
      <c r="CB6" s="824"/>
      <c r="CC6" s="824"/>
      <c r="CD6" s="824"/>
      <c r="CE6" s="824"/>
      <c r="CF6" s="824"/>
      <c r="CG6" s="824"/>
      <c r="CH6" s="824"/>
      <c r="CI6" s="824"/>
      <c r="CJ6" s="824"/>
      <c r="CK6" s="824"/>
      <c r="CL6" s="824"/>
      <c r="CM6" s="824"/>
      <c r="CN6" s="824"/>
      <c r="CO6" s="824"/>
      <c r="CP6" s="824"/>
      <c r="CQ6" s="824"/>
      <c r="CR6" s="824"/>
      <c r="CS6" s="824"/>
      <c r="CT6" s="824"/>
      <c r="CU6" s="824"/>
      <c r="CV6" s="824"/>
      <c r="CW6" s="824"/>
      <c r="CX6" s="824"/>
      <c r="CY6" s="824"/>
      <c r="CZ6" s="824"/>
      <c r="DA6" s="824"/>
      <c r="DB6" s="824"/>
      <c r="DC6" s="824"/>
      <c r="DD6" s="824"/>
      <c r="DE6" s="824"/>
      <c r="DF6" s="824"/>
      <c r="DG6" s="824"/>
      <c r="DH6" s="824"/>
      <c r="DI6" s="824"/>
      <c r="DJ6" s="824"/>
      <c r="DK6" s="824"/>
      <c r="DL6" s="824"/>
      <c r="DM6" s="824"/>
      <c r="DN6" s="824"/>
      <c r="DO6" s="824"/>
      <c r="DP6" s="824"/>
      <c r="DQ6" s="824"/>
      <c r="DR6" s="824"/>
      <c r="DS6" s="824"/>
      <c r="DT6" s="824"/>
      <c r="DU6" s="824"/>
      <c r="DV6" s="824"/>
      <c r="DW6" s="824"/>
      <c r="DX6" s="824"/>
      <c r="DY6" s="824"/>
      <c r="DZ6" s="824"/>
      <c r="EA6" s="824"/>
      <c r="EB6" s="824"/>
      <c r="EC6" s="824"/>
      <c r="ED6" s="824"/>
      <c r="EE6" s="824"/>
      <c r="EF6" s="824"/>
      <c r="EG6" s="824"/>
      <c r="EH6" s="824"/>
      <c r="EI6" s="824"/>
      <c r="EJ6" s="824"/>
      <c r="EK6" s="824"/>
      <c r="EL6" s="824"/>
      <c r="EM6" s="824"/>
      <c r="EN6" s="824"/>
      <c r="EO6" s="824"/>
      <c r="EP6" s="824"/>
      <c r="EQ6" s="824"/>
      <c r="ER6" s="824"/>
      <c r="ES6" s="824"/>
      <c r="ET6" s="824"/>
      <c r="EU6" s="824"/>
      <c r="EV6" s="824"/>
      <c r="EW6" s="824"/>
      <c r="EX6" s="824"/>
      <c r="EY6" s="824"/>
      <c r="EZ6" s="824"/>
      <c r="FA6" s="824"/>
      <c r="FB6" s="824"/>
      <c r="FC6" s="824"/>
      <c r="FD6" s="824"/>
      <c r="FE6" s="824"/>
      <c r="FF6" s="824"/>
      <c r="FG6" s="824"/>
      <c r="FH6" s="824"/>
      <c r="FI6" s="824"/>
      <c r="FJ6" s="824"/>
      <c r="FK6" s="824"/>
      <c r="FL6" s="824"/>
      <c r="FM6" s="824"/>
      <c r="FN6" s="824"/>
      <c r="FO6" s="824"/>
      <c r="FP6" s="824"/>
      <c r="FQ6" s="824"/>
      <c r="FR6" s="824"/>
      <c r="FS6" s="824"/>
      <c r="FT6" s="824"/>
      <c r="FU6" s="824"/>
      <c r="FV6" s="824"/>
      <c r="FW6" s="824"/>
      <c r="FX6" s="824"/>
      <c r="FY6" s="824"/>
      <c r="FZ6" s="824"/>
      <c r="GA6" s="824"/>
      <c r="GB6" s="824"/>
      <c r="GC6" s="824"/>
      <c r="GD6" s="824"/>
      <c r="GE6" s="824"/>
      <c r="GF6" s="824"/>
      <c r="GG6" s="824"/>
      <c r="GH6" s="824"/>
      <c r="GI6" s="824"/>
      <c r="GJ6" s="824"/>
      <c r="GK6" s="824"/>
      <c r="GL6" s="824"/>
      <c r="GM6" s="824"/>
      <c r="GN6" s="824"/>
      <c r="GO6" s="824"/>
      <c r="GP6" s="824"/>
      <c r="GQ6" s="824"/>
      <c r="GR6" s="824"/>
      <c r="GS6" s="824"/>
      <c r="GT6" s="824"/>
      <c r="GU6" s="824"/>
      <c r="GV6" s="824"/>
      <c r="GW6" s="824"/>
      <c r="GX6" s="824"/>
      <c r="GY6" s="824"/>
      <c r="GZ6" s="824"/>
      <c r="HA6" s="824"/>
      <c r="HB6" s="824"/>
      <c r="HC6" s="824"/>
      <c r="HD6" s="824"/>
      <c r="HE6" s="824"/>
      <c r="HF6" s="824"/>
      <c r="HG6" s="824"/>
      <c r="HH6" s="824"/>
      <c r="HI6" s="824"/>
      <c r="HJ6" s="824"/>
      <c r="HK6" s="824"/>
      <c r="HL6" s="824"/>
      <c r="HM6" s="824"/>
      <c r="HN6" s="824"/>
      <c r="HO6" s="824"/>
      <c r="HP6" s="824"/>
      <c r="HQ6" s="824"/>
      <c r="HR6" s="824"/>
      <c r="HS6" s="824"/>
      <c r="HT6" s="824"/>
      <c r="HU6" s="824"/>
      <c r="HV6" s="824"/>
      <c r="HW6" s="824"/>
      <c r="HX6" s="824"/>
      <c r="HY6" s="824"/>
      <c r="HZ6" s="824"/>
      <c r="IA6" s="824"/>
      <c r="IB6" s="824"/>
      <c r="IC6" s="824"/>
      <c r="ID6" s="824"/>
      <c r="IE6" s="824"/>
      <c r="IF6" s="824"/>
      <c r="IG6" s="824"/>
      <c r="IH6" s="824"/>
      <c r="II6" s="824"/>
      <c r="IJ6" s="824"/>
      <c r="IK6" s="824"/>
      <c r="IL6" s="824"/>
      <c r="IM6" s="824"/>
      <c r="IN6" s="824"/>
      <c r="IO6" s="824"/>
      <c r="IP6" s="824"/>
      <c r="IQ6" s="824"/>
      <c r="IR6" s="824"/>
      <c r="IS6" s="824"/>
      <c r="IT6" s="824"/>
      <c r="IU6" s="824"/>
      <c r="IV6" s="824"/>
    </row>
    <row r="7" spans="1:256" ht="10.5" customHeight="1">
      <c r="A7" s="803" t="s">
        <v>455</v>
      </c>
      <c r="B7" s="826">
        <v>788.3</v>
      </c>
      <c r="C7" s="826">
        <v>795.9</v>
      </c>
      <c r="D7" s="827">
        <v>852.1</v>
      </c>
      <c r="E7" s="827">
        <v>726.2</v>
      </c>
      <c r="F7" s="827">
        <v>703.2</v>
      </c>
      <c r="G7" s="828">
        <v>768.8</v>
      </c>
      <c r="H7" s="828">
        <v>749.8</v>
      </c>
      <c r="I7" s="828">
        <v>766.3</v>
      </c>
      <c r="J7" s="828">
        <v>763.7</v>
      </c>
      <c r="K7" s="828">
        <v>766.9</v>
      </c>
      <c r="L7" s="829">
        <v>768.4</v>
      </c>
      <c r="M7" s="829">
        <v>765.8</v>
      </c>
      <c r="N7" s="828">
        <v>800.7</v>
      </c>
      <c r="O7" s="817"/>
      <c r="P7" s="817"/>
      <c r="Q7" s="817"/>
      <c r="R7" s="817"/>
      <c r="S7" s="817"/>
      <c r="T7" s="817"/>
      <c r="U7" s="817"/>
      <c r="V7" s="817"/>
      <c r="W7" s="817"/>
      <c r="X7" s="817"/>
      <c r="Y7" s="817"/>
      <c r="Z7" s="817"/>
      <c r="AA7" s="817"/>
      <c r="AB7" s="817"/>
      <c r="AC7" s="817"/>
      <c r="AD7" s="817"/>
      <c r="AE7" s="817"/>
      <c r="AF7" s="817"/>
      <c r="AG7" s="817"/>
      <c r="AH7" s="817"/>
      <c r="AI7" s="817"/>
      <c r="AJ7" s="817"/>
      <c r="AK7" s="817"/>
      <c r="AL7" s="817"/>
      <c r="AM7" s="817"/>
      <c r="AN7" s="817"/>
      <c r="AO7" s="817"/>
      <c r="AP7" s="817"/>
      <c r="AQ7" s="817"/>
      <c r="AR7" s="817"/>
      <c r="AS7" s="817"/>
      <c r="AT7" s="817"/>
      <c r="AU7" s="817"/>
      <c r="AV7" s="817"/>
      <c r="AW7" s="817"/>
      <c r="AX7" s="817"/>
      <c r="AY7" s="817"/>
      <c r="AZ7" s="817"/>
      <c r="BA7" s="817"/>
      <c r="BB7" s="817"/>
      <c r="BC7" s="817"/>
      <c r="BD7" s="817"/>
      <c r="BE7" s="817"/>
      <c r="BF7" s="817"/>
      <c r="BG7" s="817"/>
      <c r="BH7" s="817"/>
      <c r="BI7" s="817"/>
      <c r="BJ7" s="817"/>
      <c r="BK7" s="817"/>
      <c r="BL7" s="817"/>
      <c r="BM7" s="817"/>
      <c r="BN7" s="817"/>
      <c r="BO7" s="817"/>
      <c r="BP7" s="817"/>
      <c r="BQ7" s="817"/>
      <c r="BR7" s="817"/>
      <c r="BS7" s="817"/>
      <c r="BT7" s="817"/>
      <c r="BU7" s="817"/>
      <c r="BV7" s="817"/>
      <c r="BW7" s="817"/>
      <c r="BX7" s="817"/>
      <c r="BY7" s="817"/>
      <c r="BZ7" s="817"/>
      <c r="CA7" s="817"/>
      <c r="CB7" s="817"/>
      <c r="CC7" s="817"/>
      <c r="CD7" s="817"/>
      <c r="CE7" s="817"/>
      <c r="CF7" s="817"/>
      <c r="CG7" s="817"/>
      <c r="CH7" s="817"/>
      <c r="CI7" s="817"/>
      <c r="CJ7" s="817"/>
      <c r="CK7" s="817"/>
      <c r="CL7" s="817"/>
      <c r="CM7" s="817"/>
      <c r="CN7" s="817"/>
      <c r="CO7" s="817"/>
      <c r="CP7" s="817"/>
      <c r="CQ7" s="817"/>
      <c r="CR7" s="817"/>
      <c r="CS7" s="817"/>
      <c r="CT7" s="817"/>
      <c r="CU7" s="817"/>
      <c r="CV7" s="817"/>
      <c r="CW7" s="817"/>
      <c r="CX7" s="817"/>
      <c r="CY7" s="817"/>
      <c r="CZ7" s="817"/>
      <c r="DA7" s="817"/>
      <c r="DB7" s="817"/>
      <c r="DC7" s="817"/>
      <c r="DD7" s="817"/>
      <c r="DE7" s="817"/>
      <c r="DF7" s="817"/>
      <c r="DG7" s="817"/>
      <c r="DH7" s="817"/>
      <c r="DI7" s="817"/>
      <c r="DJ7" s="817"/>
      <c r="DK7" s="817"/>
      <c r="DL7" s="817"/>
      <c r="DM7" s="817"/>
      <c r="DN7" s="817"/>
      <c r="DO7" s="817"/>
      <c r="DP7" s="817"/>
      <c r="DQ7" s="817"/>
      <c r="DR7" s="817"/>
      <c r="DS7" s="817"/>
      <c r="DT7" s="817"/>
      <c r="DU7" s="817"/>
      <c r="DV7" s="817"/>
      <c r="DW7" s="817"/>
      <c r="DX7" s="817"/>
      <c r="DY7" s="817"/>
      <c r="DZ7" s="817"/>
      <c r="EA7" s="817"/>
      <c r="EB7" s="817"/>
      <c r="EC7" s="817"/>
      <c r="ED7" s="817"/>
      <c r="EE7" s="817"/>
      <c r="EF7" s="817"/>
      <c r="EG7" s="817"/>
      <c r="EH7" s="817"/>
      <c r="EI7" s="817"/>
      <c r="EJ7" s="817"/>
      <c r="EK7" s="817"/>
      <c r="EL7" s="817"/>
      <c r="EM7" s="817"/>
      <c r="EN7" s="817"/>
      <c r="EO7" s="817"/>
      <c r="EP7" s="817"/>
      <c r="EQ7" s="817"/>
      <c r="ER7" s="817"/>
      <c r="ES7" s="817"/>
      <c r="ET7" s="817"/>
      <c r="EU7" s="817"/>
      <c r="EV7" s="817"/>
      <c r="EW7" s="817"/>
      <c r="EX7" s="817"/>
      <c r="EY7" s="817"/>
      <c r="EZ7" s="817"/>
      <c r="FA7" s="817"/>
      <c r="FB7" s="817"/>
      <c r="FC7" s="817"/>
      <c r="FD7" s="817"/>
      <c r="FE7" s="817"/>
      <c r="FF7" s="817"/>
      <c r="FG7" s="817"/>
      <c r="FH7" s="817"/>
      <c r="FI7" s="817"/>
      <c r="FJ7" s="817"/>
      <c r="FK7" s="817"/>
      <c r="FL7" s="817"/>
      <c r="FM7" s="817"/>
      <c r="FN7" s="817"/>
      <c r="FO7" s="817"/>
      <c r="FP7" s="817"/>
      <c r="FQ7" s="817"/>
      <c r="FR7" s="817"/>
      <c r="FS7" s="817"/>
      <c r="FT7" s="817"/>
      <c r="FU7" s="817"/>
      <c r="FV7" s="817"/>
      <c r="FW7" s="817"/>
      <c r="FX7" s="817"/>
      <c r="FY7" s="817"/>
      <c r="FZ7" s="817"/>
      <c r="GA7" s="817"/>
      <c r="GB7" s="817"/>
      <c r="GC7" s="817"/>
      <c r="GD7" s="817"/>
      <c r="GE7" s="817"/>
      <c r="GF7" s="817"/>
      <c r="GG7" s="817"/>
      <c r="GH7" s="817"/>
      <c r="GI7" s="817"/>
      <c r="GJ7" s="817"/>
      <c r="GK7" s="817"/>
      <c r="GL7" s="817"/>
      <c r="GM7" s="817"/>
      <c r="GN7" s="817"/>
      <c r="GO7" s="817"/>
      <c r="GP7" s="817"/>
      <c r="GQ7" s="817"/>
      <c r="GR7" s="817"/>
      <c r="GS7" s="817"/>
      <c r="GT7" s="817"/>
      <c r="GU7" s="817"/>
      <c r="GV7" s="817"/>
      <c r="GW7" s="817"/>
      <c r="GX7" s="817"/>
      <c r="GY7" s="817"/>
      <c r="GZ7" s="817"/>
      <c r="HA7" s="817"/>
      <c r="HB7" s="817"/>
      <c r="HC7" s="817"/>
      <c r="HD7" s="817"/>
      <c r="HE7" s="817"/>
      <c r="HF7" s="817"/>
      <c r="HG7" s="817"/>
      <c r="HH7" s="817"/>
      <c r="HI7" s="817"/>
      <c r="HJ7" s="817"/>
      <c r="HK7" s="817"/>
      <c r="HL7" s="817"/>
      <c r="HM7" s="817"/>
      <c r="HN7" s="817"/>
      <c r="HO7" s="817"/>
      <c r="HP7" s="817"/>
      <c r="HQ7" s="817"/>
      <c r="HR7" s="817"/>
      <c r="HS7" s="817"/>
      <c r="HT7" s="817"/>
      <c r="HU7" s="817"/>
      <c r="HV7" s="817"/>
      <c r="HW7" s="817"/>
      <c r="HX7" s="817"/>
      <c r="HY7" s="817"/>
      <c r="HZ7" s="817"/>
      <c r="IA7" s="817"/>
      <c r="IB7" s="817"/>
      <c r="IC7" s="817"/>
      <c r="ID7" s="817"/>
      <c r="IE7" s="817"/>
      <c r="IF7" s="817"/>
      <c r="IG7" s="817"/>
      <c r="IH7" s="817"/>
      <c r="II7" s="817"/>
      <c r="IJ7" s="817"/>
      <c r="IK7" s="817"/>
      <c r="IL7" s="817"/>
      <c r="IM7" s="817"/>
      <c r="IN7" s="817"/>
      <c r="IO7" s="817"/>
      <c r="IP7" s="817"/>
      <c r="IQ7" s="817"/>
      <c r="IR7" s="817"/>
      <c r="IS7" s="817"/>
      <c r="IT7" s="817"/>
      <c r="IU7" s="817"/>
      <c r="IV7" s="817"/>
    </row>
    <row r="8" spans="1:256" ht="10.5" customHeight="1">
      <c r="A8" s="803" t="s">
        <v>818</v>
      </c>
      <c r="B8" s="826">
        <v>731.9</v>
      </c>
      <c r="C8" s="826">
        <v>731.9</v>
      </c>
      <c r="D8" s="827">
        <v>731.9</v>
      </c>
      <c r="E8" s="827">
        <v>728.7</v>
      </c>
      <c r="F8" s="827">
        <v>728.2</v>
      </c>
      <c r="G8" s="828">
        <v>481</v>
      </c>
      <c r="H8" s="828">
        <v>466.2</v>
      </c>
      <c r="I8" s="828">
        <v>774.1</v>
      </c>
      <c r="J8" s="828">
        <v>790.3</v>
      </c>
      <c r="K8" s="828">
        <v>800.6</v>
      </c>
      <c r="L8" s="829">
        <v>779.9</v>
      </c>
      <c r="M8" s="830">
        <v>767.2</v>
      </c>
      <c r="N8" s="828">
        <v>663.9</v>
      </c>
      <c r="O8" s="817"/>
      <c r="P8" s="817"/>
      <c r="Q8" s="817"/>
      <c r="R8" s="817"/>
      <c r="S8" s="817"/>
      <c r="T8" s="817"/>
      <c r="U8" s="817"/>
      <c r="V8" s="817"/>
      <c r="W8" s="817"/>
      <c r="X8" s="817"/>
      <c r="Y8" s="817"/>
      <c r="Z8" s="817"/>
      <c r="AA8" s="817"/>
      <c r="AB8" s="817"/>
      <c r="AC8" s="817"/>
      <c r="AD8" s="817"/>
      <c r="AE8" s="817"/>
      <c r="AF8" s="817"/>
      <c r="AG8" s="817"/>
      <c r="AH8" s="817"/>
      <c r="AI8" s="817"/>
      <c r="AJ8" s="817"/>
      <c r="AK8" s="817"/>
      <c r="AL8" s="817"/>
      <c r="AM8" s="817"/>
      <c r="AN8" s="817"/>
      <c r="AO8" s="817"/>
      <c r="AP8" s="817"/>
      <c r="AQ8" s="817"/>
      <c r="AR8" s="817"/>
      <c r="AS8" s="817"/>
      <c r="AT8" s="817"/>
      <c r="AU8" s="817"/>
      <c r="AV8" s="817"/>
      <c r="AW8" s="817"/>
      <c r="AX8" s="817"/>
      <c r="AY8" s="817"/>
      <c r="AZ8" s="817"/>
      <c r="BA8" s="817"/>
      <c r="BB8" s="817"/>
      <c r="BC8" s="817"/>
      <c r="BD8" s="817"/>
      <c r="BE8" s="817"/>
      <c r="BF8" s="817"/>
      <c r="BG8" s="817"/>
      <c r="BH8" s="817"/>
      <c r="BI8" s="817"/>
      <c r="BJ8" s="817"/>
      <c r="BK8" s="817"/>
      <c r="BL8" s="817"/>
      <c r="BM8" s="817"/>
      <c r="BN8" s="817"/>
      <c r="BO8" s="817"/>
      <c r="BP8" s="817"/>
      <c r="BQ8" s="817"/>
      <c r="BR8" s="817"/>
      <c r="BS8" s="817"/>
      <c r="BT8" s="817"/>
      <c r="BU8" s="817"/>
      <c r="BV8" s="817"/>
      <c r="BW8" s="817"/>
      <c r="BX8" s="817"/>
      <c r="BY8" s="817"/>
      <c r="BZ8" s="817"/>
      <c r="CA8" s="817"/>
      <c r="CB8" s="817"/>
      <c r="CC8" s="817"/>
      <c r="CD8" s="817"/>
      <c r="CE8" s="817"/>
      <c r="CF8" s="817"/>
      <c r="CG8" s="817"/>
      <c r="CH8" s="817"/>
      <c r="CI8" s="817"/>
      <c r="CJ8" s="817"/>
      <c r="CK8" s="817"/>
      <c r="CL8" s="817"/>
      <c r="CM8" s="817"/>
      <c r="CN8" s="817"/>
      <c r="CO8" s="817"/>
      <c r="CP8" s="817"/>
      <c r="CQ8" s="817"/>
      <c r="CR8" s="817"/>
      <c r="CS8" s="817"/>
      <c r="CT8" s="817"/>
      <c r="CU8" s="817"/>
      <c r="CV8" s="817"/>
      <c r="CW8" s="817"/>
      <c r="CX8" s="817"/>
      <c r="CY8" s="817"/>
      <c r="CZ8" s="817"/>
      <c r="DA8" s="817"/>
      <c r="DB8" s="817"/>
      <c r="DC8" s="817"/>
      <c r="DD8" s="817"/>
      <c r="DE8" s="817"/>
      <c r="DF8" s="817"/>
      <c r="DG8" s="817"/>
      <c r="DH8" s="817"/>
      <c r="DI8" s="817"/>
      <c r="DJ8" s="817"/>
      <c r="DK8" s="817"/>
      <c r="DL8" s="817"/>
      <c r="DM8" s="817"/>
      <c r="DN8" s="817"/>
      <c r="DO8" s="817"/>
      <c r="DP8" s="817"/>
      <c r="DQ8" s="817"/>
      <c r="DR8" s="817"/>
      <c r="DS8" s="817"/>
      <c r="DT8" s="817"/>
      <c r="DU8" s="817"/>
      <c r="DV8" s="817"/>
      <c r="DW8" s="817"/>
      <c r="DX8" s="817"/>
      <c r="DY8" s="817"/>
      <c r="DZ8" s="817"/>
      <c r="EA8" s="817"/>
      <c r="EB8" s="817"/>
      <c r="EC8" s="817"/>
      <c r="ED8" s="817"/>
      <c r="EE8" s="817"/>
      <c r="EF8" s="817"/>
      <c r="EG8" s="817"/>
      <c r="EH8" s="817"/>
      <c r="EI8" s="817"/>
      <c r="EJ8" s="817"/>
      <c r="EK8" s="817"/>
      <c r="EL8" s="817"/>
      <c r="EM8" s="817"/>
      <c r="EN8" s="817"/>
      <c r="EO8" s="817"/>
      <c r="EP8" s="817"/>
      <c r="EQ8" s="817"/>
      <c r="ER8" s="817"/>
      <c r="ES8" s="817"/>
      <c r="ET8" s="817"/>
      <c r="EU8" s="817"/>
      <c r="EV8" s="817"/>
      <c r="EW8" s="817"/>
      <c r="EX8" s="817"/>
      <c r="EY8" s="817"/>
      <c r="EZ8" s="817"/>
      <c r="FA8" s="817"/>
      <c r="FB8" s="817"/>
      <c r="FC8" s="817"/>
      <c r="FD8" s="817"/>
      <c r="FE8" s="817"/>
      <c r="FF8" s="817"/>
      <c r="FG8" s="817"/>
      <c r="FH8" s="817"/>
      <c r="FI8" s="817"/>
      <c r="FJ8" s="817"/>
      <c r="FK8" s="817"/>
      <c r="FL8" s="817"/>
      <c r="FM8" s="817"/>
      <c r="FN8" s="817"/>
      <c r="FO8" s="817"/>
      <c r="FP8" s="817"/>
      <c r="FQ8" s="817"/>
      <c r="FR8" s="817"/>
      <c r="FS8" s="817"/>
      <c r="FT8" s="817"/>
      <c r="FU8" s="817"/>
      <c r="FV8" s="817"/>
      <c r="FW8" s="817"/>
      <c r="FX8" s="817"/>
      <c r="FY8" s="817"/>
      <c r="FZ8" s="817"/>
      <c r="GA8" s="817"/>
      <c r="GB8" s="817"/>
      <c r="GC8" s="817"/>
      <c r="GD8" s="817"/>
      <c r="GE8" s="817"/>
      <c r="GF8" s="817"/>
      <c r="GG8" s="817"/>
      <c r="GH8" s="817"/>
      <c r="GI8" s="817"/>
      <c r="GJ8" s="817"/>
      <c r="GK8" s="817"/>
      <c r="GL8" s="817"/>
      <c r="GM8" s="817"/>
      <c r="GN8" s="817"/>
      <c r="GO8" s="817"/>
      <c r="GP8" s="817"/>
      <c r="GQ8" s="817"/>
      <c r="GR8" s="817"/>
      <c r="GS8" s="817"/>
      <c r="GT8" s="817"/>
      <c r="GU8" s="817"/>
      <c r="GV8" s="817"/>
      <c r="GW8" s="817"/>
      <c r="GX8" s="817"/>
      <c r="GY8" s="817"/>
      <c r="GZ8" s="817"/>
      <c r="HA8" s="817"/>
      <c r="HB8" s="817"/>
      <c r="HC8" s="817"/>
      <c r="HD8" s="817"/>
      <c r="HE8" s="817"/>
      <c r="HF8" s="817"/>
      <c r="HG8" s="817"/>
      <c r="HH8" s="817"/>
      <c r="HI8" s="817"/>
      <c r="HJ8" s="817"/>
      <c r="HK8" s="817"/>
      <c r="HL8" s="817"/>
      <c r="HM8" s="817"/>
      <c r="HN8" s="817"/>
      <c r="HO8" s="817"/>
      <c r="HP8" s="817"/>
      <c r="HQ8" s="817"/>
      <c r="HR8" s="817"/>
      <c r="HS8" s="817"/>
      <c r="HT8" s="817"/>
      <c r="HU8" s="817"/>
      <c r="HV8" s="817"/>
      <c r="HW8" s="817"/>
      <c r="HX8" s="817"/>
      <c r="HY8" s="817"/>
      <c r="HZ8" s="817"/>
      <c r="IA8" s="817"/>
      <c r="IB8" s="817"/>
      <c r="IC8" s="817"/>
      <c r="ID8" s="817"/>
      <c r="IE8" s="817"/>
      <c r="IF8" s="817"/>
      <c r="IG8" s="817"/>
      <c r="IH8" s="817"/>
      <c r="II8" s="817"/>
      <c r="IJ8" s="817"/>
      <c r="IK8" s="817"/>
      <c r="IL8" s="817"/>
      <c r="IM8" s="817"/>
      <c r="IN8" s="817"/>
      <c r="IO8" s="817"/>
      <c r="IP8" s="817"/>
      <c r="IQ8" s="817"/>
      <c r="IR8" s="817"/>
      <c r="IS8" s="817"/>
      <c r="IT8" s="817"/>
      <c r="IU8" s="817"/>
      <c r="IV8" s="817"/>
    </row>
    <row r="9" spans="1:256" ht="10.5" customHeight="1">
      <c r="A9" s="803" t="s">
        <v>819</v>
      </c>
      <c r="B9" s="826">
        <v>161.80000000000001</v>
      </c>
      <c r="C9" s="826">
        <v>161.80000000000001</v>
      </c>
      <c r="D9" s="827">
        <v>161.80000000000001</v>
      </c>
      <c r="E9" s="827">
        <v>164.9</v>
      </c>
      <c r="F9" s="827">
        <v>165.6</v>
      </c>
      <c r="G9" s="828">
        <v>124.3</v>
      </c>
      <c r="H9" s="828">
        <v>122.6</v>
      </c>
      <c r="I9" s="828">
        <v>135.69999999999999</v>
      </c>
      <c r="J9" s="828">
        <v>107.1</v>
      </c>
      <c r="K9" s="828">
        <v>161.69999999999999</v>
      </c>
      <c r="L9" s="829">
        <v>161.19999999999999</v>
      </c>
      <c r="M9" s="830">
        <v>169.3</v>
      </c>
      <c r="N9" s="828">
        <v>168.4</v>
      </c>
      <c r="O9" s="817"/>
      <c r="P9" s="817"/>
      <c r="Q9" s="817"/>
      <c r="R9" s="817"/>
      <c r="S9" s="817"/>
      <c r="T9" s="817"/>
      <c r="U9" s="817"/>
      <c r="V9" s="817"/>
      <c r="W9" s="817"/>
      <c r="X9" s="817"/>
      <c r="Y9" s="817"/>
      <c r="Z9" s="817"/>
      <c r="AA9" s="817"/>
      <c r="AB9" s="817"/>
      <c r="AC9" s="817"/>
      <c r="AD9" s="817"/>
      <c r="AE9" s="817"/>
      <c r="AF9" s="817"/>
      <c r="AG9" s="817"/>
      <c r="AH9" s="817"/>
      <c r="AI9" s="817"/>
      <c r="AJ9" s="817"/>
      <c r="AK9" s="817"/>
      <c r="AL9" s="817"/>
      <c r="AM9" s="817"/>
      <c r="AN9" s="817"/>
      <c r="AO9" s="817"/>
      <c r="AP9" s="817"/>
      <c r="AQ9" s="817"/>
      <c r="AR9" s="817"/>
      <c r="AS9" s="817"/>
      <c r="AT9" s="817"/>
      <c r="AU9" s="817"/>
      <c r="AV9" s="817"/>
      <c r="AW9" s="817"/>
      <c r="AX9" s="817"/>
      <c r="AY9" s="817"/>
      <c r="AZ9" s="817"/>
      <c r="BA9" s="817"/>
      <c r="BB9" s="817"/>
      <c r="BC9" s="817"/>
      <c r="BD9" s="817"/>
      <c r="BE9" s="817"/>
      <c r="BF9" s="817"/>
      <c r="BG9" s="817"/>
      <c r="BH9" s="817"/>
      <c r="BI9" s="817"/>
      <c r="BJ9" s="817"/>
      <c r="BK9" s="817"/>
      <c r="BL9" s="817"/>
      <c r="BM9" s="817"/>
      <c r="BN9" s="817"/>
      <c r="BO9" s="817"/>
      <c r="BP9" s="817"/>
      <c r="BQ9" s="817"/>
      <c r="BR9" s="817"/>
      <c r="BS9" s="817"/>
      <c r="BT9" s="817"/>
      <c r="BU9" s="817"/>
      <c r="BV9" s="817"/>
      <c r="BW9" s="817"/>
      <c r="BX9" s="817"/>
      <c r="BY9" s="817"/>
      <c r="BZ9" s="817"/>
      <c r="CA9" s="817"/>
      <c r="CB9" s="817"/>
      <c r="CC9" s="817"/>
      <c r="CD9" s="817"/>
      <c r="CE9" s="817"/>
      <c r="CF9" s="817"/>
      <c r="CG9" s="817"/>
      <c r="CH9" s="817"/>
      <c r="CI9" s="817"/>
      <c r="CJ9" s="817"/>
      <c r="CK9" s="817"/>
      <c r="CL9" s="817"/>
      <c r="CM9" s="817"/>
      <c r="CN9" s="817"/>
      <c r="CO9" s="817"/>
      <c r="CP9" s="817"/>
      <c r="CQ9" s="817"/>
      <c r="CR9" s="817"/>
      <c r="CS9" s="817"/>
      <c r="CT9" s="817"/>
      <c r="CU9" s="817"/>
      <c r="CV9" s="817"/>
      <c r="CW9" s="817"/>
      <c r="CX9" s="817"/>
      <c r="CY9" s="817"/>
      <c r="CZ9" s="817"/>
      <c r="DA9" s="817"/>
      <c r="DB9" s="817"/>
      <c r="DC9" s="817"/>
      <c r="DD9" s="817"/>
      <c r="DE9" s="817"/>
      <c r="DF9" s="817"/>
      <c r="DG9" s="817"/>
      <c r="DH9" s="817"/>
      <c r="DI9" s="817"/>
      <c r="DJ9" s="817"/>
      <c r="DK9" s="817"/>
      <c r="DL9" s="817"/>
      <c r="DM9" s="817"/>
      <c r="DN9" s="817"/>
      <c r="DO9" s="817"/>
      <c r="DP9" s="817"/>
      <c r="DQ9" s="817"/>
      <c r="DR9" s="817"/>
      <c r="DS9" s="817"/>
      <c r="DT9" s="817"/>
      <c r="DU9" s="817"/>
      <c r="DV9" s="817"/>
      <c r="DW9" s="817"/>
      <c r="DX9" s="817"/>
      <c r="DY9" s="817"/>
      <c r="DZ9" s="817"/>
      <c r="EA9" s="817"/>
      <c r="EB9" s="817"/>
      <c r="EC9" s="817"/>
      <c r="ED9" s="817"/>
      <c r="EE9" s="817"/>
      <c r="EF9" s="817"/>
      <c r="EG9" s="817"/>
      <c r="EH9" s="817"/>
      <c r="EI9" s="817"/>
      <c r="EJ9" s="817"/>
      <c r="EK9" s="817"/>
      <c r="EL9" s="817"/>
      <c r="EM9" s="817"/>
      <c r="EN9" s="817"/>
      <c r="EO9" s="817"/>
      <c r="EP9" s="817"/>
      <c r="EQ9" s="817"/>
      <c r="ER9" s="817"/>
      <c r="ES9" s="817"/>
      <c r="ET9" s="817"/>
      <c r="EU9" s="817"/>
      <c r="EV9" s="817"/>
      <c r="EW9" s="817"/>
      <c r="EX9" s="817"/>
      <c r="EY9" s="817"/>
      <c r="EZ9" s="817"/>
      <c r="FA9" s="817"/>
      <c r="FB9" s="817"/>
      <c r="FC9" s="817"/>
      <c r="FD9" s="817"/>
      <c r="FE9" s="817"/>
      <c r="FF9" s="817"/>
      <c r="FG9" s="817"/>
      <c r="FH9" s="817"/>
      <c r="FI9" s="817"/>
      <c r="FJ9" s="817"/>
      <c r="FK9" s="817"/>
      <c r="FL9" s="817"/>
      <c r="FM9" s="817"/>
      <c r="FN9" s="817"/>
      <c r="FO9" s="817"/>
      <c r="FP9" s="817"/>
      <c r="FQ9" s="817"/>
      <c r="FR9" s="817"/>
      <c r="FS9" s="817"/>
      <c r="FT9" s="817"/>
      <c r="FU9" s="817"/>
      <c r="FV9" s="817"/>
      <c r="FW9" s="817"/>
      <c r="FX9" s="817"/>
      <c r="FY9" s="817"/>
      <c r="FZ9" s="817"/>
      <c r="GA9" s="817"/>
      <c r="GB9" s="817"/>
      <c r="GC9" s="817"/>
      <c r="GD9" s="817"/>
      <c r="GE9" s="817"/>
      <c r="GF9" s="817"/>
      <c r="GG9" s="817"/>
      <c r="GH9" s="817"/>
      <c r="GI9" s="817"/>
      <c r="GJ9" s="817"/>
      <c r="GK9" s="817"/>
      <c r="GL9" s="817"/>
      <c r="GM9" s="817"/>
      <c r="GN9" s="817"/>
      <c r="GO9" s="817"/>
      <c r="GP9" s="817"/>
      <c r="GQ9" s="817"/>
      <c r="GR9" s="817"/>
      <c r="GS9" s="817"/>
      <c r="GT9" s="817"/>
      <c r="GU9" s="817"/>
      <c r="GV9" s="817"/>
      <c r="GW9" s="817"/>
      <c r="GX9" s="817"/>
      <c r="GY9" s="817"/>
      <c r="GZ9" s="817"/>
      <c r="HA9" s="817"/>
      <c r="HB9" s="817"/>
      <c r="HC9" s="817"/>
      <c r="HD9" s="817"/>
      <c r="HE9" s="817"/>
      <c r="HF9" s="817"/>
      <c r="HG9" s="817"/>
      <c r="HH9" s="817"/>
      <c r="HI9" s="817"/>
      <c r="HJ9" s="817"/>
      <c r="HK9" s="817"/>
      <c r="HL9" s="817"/>
      <c r="HM9" s="817"/>
      <c r="HN9" s="817"/>
      <c r="HO9" s="817"/>
      <c r="HP9" s="817"/>
      <c r="HQ9" s="817"/>
      <c r="HR9" s="817"/>
      <c r="HS9" s="817"/>
      <c r="HT9" s="817"/>
      <c r="HU9" s="817"/>
      <c r="HV9" s="817"/>
      <c r="HW9" s="817"/>
      <c r="HX9" s="817"/>
      <c r="HY9" s="817"/>
      <c r="HZ9" s="817"/>
      <c r="IA9" s="817"/>
      <c r="IB9" s="817"/>
      <c r="IC9" s="817"/>
      <c r="ID9" s="817"/>
      <c r="IE9" s="817"/>
      <c r="IF9" s="817"/>
      <c r="IG9" s="817"/>
      <c r="IH9" s="817"/>
      <c r="II9" s="817"/>
      <c r="IJ9" s="817"/>
      <c r="IK9" s="817"/>
      <c r="IL9" s="817"/>
      <c r="IM9" s="817"/>
      <c r="IN9" s="817"/>
      <c r="IO9" s="817"/>
      <c r="IP9" s="817"/>
      <c r="IQ9" s="817"/>
      <c r="IR9" s="817"/>
      <c r="IS9" s="817"/>
      <c r="IT9" s="817"/>
      <c r="IU9" s="817"/>
      <c r="IV9" s="817"/>
    </row>
    <row r="10" spans="1:256" ht="10.5" customHeight="1">
      <c r="A10" s="803" t="s">
        <v>820</v>
      </c>
      <c r="B10" s="826">
        <v>49.9</v>
      </c>
      <c r="C10" s="826">
        <v>51.9</v>
      </c>
      <c r="D10" s="827">
        <v>52.1</v>
      </c>
      <c r="E10" s="827">
        <v>52.6</v>
      </c>
      <c r="F10" s="827">
        <v>74.7</v>
      </c>
      <c r="G10" s="828">
        <v>63</v>
      </c>
      <c r="H10" s="828">
        <v>57.7</v>
      </c>
      <c r="I10" s="828">
        <v>57.4</v>
      </c>
      <c r="J10" s="828">
        <v>60.8</v>
      </c>
      <c r="K10" s="828">
        <v>44.3</v>
      </c>
      <c r="L10" s="829">
        <v>39.299999999999997</v>
      </c>
      <c r="M10" s="830">
        <v>36.9</v>
      </c>
      <c r="N10" s="828">
        <v>57.9</v>
      </c>
      <c r="O10" s="817"/>
      <c r="P10" s="817"/>
      <c r="Q10" s="817"/>
      <c r="R10" s="817"/>
      <c r="S10" s="817"/>
      <c r="T10" s="817"/>
      <c r="U10" s="817"/>
      <c r="V10" s="817"/>
      <c r="W10" s="817"/>
      <c r="X10" s="817"/>
      <c r="Y10" s="817"/>
      <c r="Z10" s="817"/>
      <c r="AA10" s="817"/>
      <c r="AB10" s="817"/>
      <c r="AC10" s="817"/>
      <c r="AD10" s="817"/>
      <c r="AE10" s="817"/>
      <c r="AF10" s="817"/>
      <c r="AG10" s="817"/>
      <c r="AH10" s="817"/>
      <c r="AI10" s="817"/>
      <c r="AJ10" s="817"/>
      <c r="AK10" s="817"/>
      <c r="AL10" s="817"/>
      <c r="AM10" s="817"/>
      <c r="AN10" s="817"/>
      <c r="AO10" s="817"/>
      <c r="AP10" s="817"/>
      <c r="AQ10" s="817"/>
      <c r="AR10" s="817"/>
      <c r="AS10" s="817"/>
      <c r="AT10" s="817"/>
      <c r="AU10" s="817"/>
      <c r="AV10" s="817"/>
      <c r="AW10" s="817"/>
      <c r="AX10" s="817"/>
      <c r="AY10" s="817"/>
      <c r="AZ10" s="817"/>
      <c r="BA10" s="817"/>
      <c r="BB10" s="817"/>
      <c r="BC10" s="817"/>
      <c r="BD10" s="817"/>
      <c r="BE10" s="817"/>
      <c r="BF10" s="817"/>
      <c r="BG10" s="817"/>
      <c r="BH10" s="817"/>
      <c r="BI10" s="817"/>
      <c r="BJ10" s="817"/>
      <c r="BK10" s="817"/>
      <c r="BL10" s="817"/>
      <c r="BM10" s="817"/>
      <c r="BN10" s="817"/>
      <c r="BO10" s="817"/>
      <c r="BP10" s="817"/>
      <c r="BQ10" s="817"/>
      <c r="BR10" s="817"/>
      <c r="BS10" s="817"/>
      <c r="BT10" s="817"/>
      <c r="BU10" s="817"/>
      <c r="BV10" s="817"/>
      <c r="BW10" s="817"/>
      <c r="BX10" s="817"/>
      <c r="BY10" s="817"/>
      <c r="BZ10" s="817"/>
      <c r="CA10" s="817"/>
      <c r="CB10" s="817"/>
      <c r="CC10" s="817"/>
      <c r="CD10" s="817"/>
      <c r="CE10" s="817"/>
      <c r="CF10" s="817"/>
      <c r="CG10" s="817"/>
      <c r="CH10" s="817"/>
      <c r="CI10" s="817"/>
      <c r="CJ10" s="817"/>
      <c r="CK10" s="817"/>
      <c r="CL10" s="817"/>
      <c r="CM10" s="817"/>
      <c r="CN10" s="817"/>
      <c r="CO10" s="817"/>
      <c r="CP10" s="817"/>
      <c r="CQ10" s="817"/>
      <c r="CR10" s="817"/>
      <c r="CS10" s="817"/>
      <c r="CT10" s="817"/>
      <c r="CU10" s="817"/>
      <c r="CV10" s="817"/>
      <c r="CW10" s="817"/>
      <c r="CX10" s="817"/>
      <c r="CY10" s="817"/>
      <c r="CZ10" s="817"/>
      <c r="DA10" s="817"/>
      <c r="DB10" s="817"/>
      <c r="DC10" s="817"/>
      <c r="DD10" s="817"/>
      <c r="DE10" s="817"/>
      <c r="DF10" s="817"/>
      <c r="DG10" s="817"/>
      <c r="DH10" s="817"/>
      <c r="DI10" s="817"/>
      <c r="DJ10" s="817"/>
      <c r="DK10" s="817"/>
      <c r="DL10" s="817"/>
      <c r="DM10" s="817"/>
      <c r="DN10" s="817"/>
      <c r="DO10" s="817"/>
      <c r="DP10" s="817"/>
      <c r="DQ10" s="817"/>
      <c r="DR10" s="817"/>
      <c r="DS10" s="817"/>
      <c r="DT10" s="817"/>
      <c r="DU10" s="817"/>
      <c r="DV10" s="817"/>
      <c r="DW10" s="817"/>
      <c r="DX10" s="817"/>
      <c r="DY10" s="817"/>
      <c r="DZ10" s="817"/>
      <c r="EA10" s="817"/>
      <c r="EB10" s="817"/>
      <c r="EC10" s="817"/>
      <c r="ED10" s="817"/>
      <c r="EE10" s="817"/>
      <c r="EF10" s="817"/>
      <c r="EG10" s="817"/>
      <c r="EH10" s="817"/>
      <c r="EI10" s="817"/>
      <c r="EJ10" s="817"/>
      <c r="EK10" s="817"/>
      <c r="EL10" s="817"/>
      <c r="EM10" s="817"/>
      <c r="EN10" s="817"/>
      <c r="EO10" s="817"/>
      <c r="EP10" s="817"/>
      <c r="EQ10" s="817"/>
      <c r="ER10" s="817"/>
      <c r="ES10" s="817"/>
      <c r="ET10" s="817"/>
      <c r="EU10" s="817"/>
      <c r="EV10" s="817"/>
      <c r="EW10" s="817"/>
      <c r="EX10" s="817"/>
      <c r="EY10" s="817"/>
      <c r="EZ10" s="817"/>
      <c r="FA10" s="817"/>
      <c r="FB10" s="817"/>
      <c r="FC10" s="817"/>
      <c r="FD10" s="817"/>
      <c r="FE10" s="817"/>
      <c r="FF10" s="817"/>
      <c r="FG10" s="817"/>
      <c r="FH10" s="817"/>
      <c r="FI10" s="817"/>
      <c r="FJ10" s="817"/>
      <c r="FK10" s="817"/>
      <c r="FL10" s="817"/>
      <c r="FM10" s="817"/>
      <c r="FN10" s="817"/>
      <c r="FO10" s="817"/>
      <c r="FP10" s="817"/>
      <c r="FQ10" s="817"/>
      <c r="FR10" s="817"/>
      <c r="FS10" s="817"/>
      <c r="FT10" s="817"/>
      <c r="FU10" s="817"/>
      <c r="FV10" s="817"/>
      <c r="FW10" s="817"/>
      <c r="FX10" s="817"/>
      <c r="FY10" s="817"/>
      <c r="FZ10" s="817"/>
      <c r="GA10" s="817"/>
      <c r="GB10" s="817"/>
      <c r="GC10" s="817"/>
      <c r="GD10" s="817"/>
      <c r="GE10" s="817"/>
      <c r="GF10" s="817"/>
      <c r="GG10" s="817"/>
      <c r="GH10" s="817"/>
      <c r="GI10" s="817"/>
      <c r="GJ10" s="817"/>
      <c r="GK10" s="817"/>
      <c r="GL10" s="817"/>
      <c r="GM10" s="817"/>
      <c r="GN10" s="817"/>
      <c r="GO10" s="817"/>
      <c r="GP10" s="817"/>
      <c r="GQ10" s="817"/>
      <c r="GR10" s="817"/>
      <c r="GS10" s="817"/>
      <c r="GT10" s="817"/>
      <c r="GU10" s="817"/>
      <c r="GV10" s="817"/>
      <c r="GW10" s="817"/>
      <c r="GX10" s="817"/>
      <c r="GY10" s="817"/>
      <c r="GZ10" s="817"/>
      <c r="HA10" s="817"/>
      <c r="HB10" s="817"/>
      <c r="HC10" s="817"/>
      <c r="HD10" s="817"/>
      <c r="HE10" s="817"/>
      <c r="HF10" s="817"/>
      <c r="HG10" s="817"/>
      <c r="HH10" s="817"/>
      <c r="HI10" s="817"/>
      <c r="HJ10" s="817"/>
      <c r="HK10" s="817"/>
      <c r="HL10" s="817"/>
      <c r="HM10" s="817"/>
      <c r="HN10" s="817"/>
      <c r="HO10" s="817"/>
      <c r="HP10" s="817"/>
      <c r="HQ10" s="817"/>
      <c r="HR10" s="817"/>
      <c r="HS10" s="817"/>
      <c r="HT10" s="817"/>
      <c r="HU10" s="817"/>
      <c r="HV10" s="817"/>
      <c r="HW10" s="817"/>
      <c r="HX10" s="817"/>
      <c r="HY10" s="817"/>
      <c r="HZ10" s="817"/>
      <c r="IA10" s="817"/>
      <c r="IB10" s="817"/>
      <c r="IC10" s="817"/>
      <c r="ID10" s="817"/>
      <c r="IE10" s="817"/>
      <c r="IF10" s="817"/>
      <c r="IG10" s="817"/>
      <c r="IH10" s="817"/>
      <c r="II10" s="817"/>
      <c r="IJ10" s="817"/>
      <c r="IK10" s="817"/>
      <c r="IL10" s="817"/>
      <c r="IM10" s="817"/>
      <c r="IN10" s="817"/>
      <c r="IO10" s="817"/>
      <c r="IP10" s="817"/>
      <c r="IQ10" s="817"/>
      <c r="IR10" s="817"/>
      <c r="IS10" s="817"/>
      <c r="IT10" s="817"/>
      <c r="IU10" s="817"/>
      <c r="IV10" s="817"/>
    </row>
    <row r="11" spans="1:256" ht="10.5" customHeight="1">
      <c r="A11" s="803" t="s">
        <v>821</v>
      </c>
      <c r="B11" s="826">
        <v>58.7</v>
      </c>
      <c r="C11" s="826">
        <v>57</v>
      </c>
      <c r="D11" s="827">
        <v>56.9</v>
      </c>
      <c r="E11" s="827">
        <v>56.6</v>
      </c>
      <c r="F11" s="827">
        <v>34.1</v>
      </c>
      <c r="G11" s="828">
        <v>19.7</v>
      </c>
      <c r="H11" s="828">
        <v>18.100000000000001</v>
      </c>
      <c r="I11" s="828">
        <v>14.4</v>
      </c>
      <c r="J11" s="828">
        <v>31.5</v>
      </c>
      <c r="K11" s="828">
        <v>18.7</v>
      </c>
      <c r="L11" s="829">
        <v>19.600000000000001</v>
      </c>
      <c r="M11" s="830">
        <v>28.2</v>
      </c>
      <c r="N11" s="828">
        <v>44.3</v>
      </c>
      <c r="O11" s="817"/>
      <c r="P11" s="817"/>
      <c r="Q11" s="817"/>
      <c r="R11" s="817"/>
      <c r="S11" s="817"/>
      <c r="T11" s="817"/>
      <c r="U11" s="817"/>
      <c r="V11" s="817"/>
      <c r="W11" s="817"/>
      <c r="X11" s="817"/>
      <c r="Y11" s="817"/>
      <c r="Z11" s="817"/>
      <c r="AA11" s="817"/>
      <c r="AB11" s="817"/>
      <c r="AC11" s="817"/>
      <c r="AD11" s="817"/>
      <c r="AE11" s="817"/>
      <c r="AF11" s="817"/>
      <c r="AG11" s="817"/>
      <c r="AH11" s="817"/>
      <c r="AI11" s="817"/>
      <c r="AJ11" s="817"/>
      <c r="AK11" s="817"/>
      <c r="AL11" s="817"/>
      <c r="AM11" s="817"/>
      <c r="AN11" s="817"/>
      <c r="AO11" s="817"/>
      <c r="AP11" s="817"/>
      <c r="AQ11" s="817"/>
      <c r="AR11" s="817"/>
      <c r="AS11" s="817"/>
      <c r="AT11" s="817"/>
      <c r="AU11" s="817"/>
      <c r="AV11" s="817"/>
      <c r="AW11" s="817"/>
      <c r="AX11" s="817"/>
      <c r="AY11" s="817"/>
      <c r="AZ11" s="817"/>
      <c r="BA11" s="817"/>
      <c r="BB11" s="817"/>
      <c r="BC11" s="817"/>
      <c r="BD11" s="817"/>
      <c r="BE11" s="817"/>
      <c r="BF11" s="817"/>
      <c r="BG11" s="817"/>
      <c r="BH11" s="817"/>
      <c r="BI11" s="817"/>
      <c r="BJ11" s="817"/>
      <c r="BK11" s="817"/>
      <c r="BL11" s="817"/>
      <c r="BM11" s="817"/>
      <c r="BN11" s="817"/>
      <c r="BO11" s="817"/>
      <c r="BP11" s="817"/>
      <c r="BQ11" s="817"/>
      <c r="BR11" s="817"/>
      <c r="BS11" s="817"/>
      <c r="BT11" s="817"/>
      <c r="BU11" s="817"/>
      <c r="BV11" s="817"/>
      <c r="BW11" s="817"/>
      <c r="BX11" s="817"/>
      <c r="BY11" s="817"/>
      <c r="BZ11" s="817"/>
      <c r="CA11" s="817"/>
      <c r="CB11" s="817"/>
      <c r="CC11" s="817"/>
      <c r="CD11" s="817"/>
      <c r="CE11" s="817"/>
      <c r="CF11" s="817"/>
      <c r="CG11" s="817"/>
      <c r="CH11" s="817"/>
      <c r="CI11" s="817"/>
      <c r="CJ11" s="817"/>
      <c r="CK11" s="817"/>
      <c r="CL11" s="817"/>
      <c r="CM11" s="817"/>
      <c r="CN11" s="817"/>
      <c r="CO11" s="817"/>
      <c r="CP11" s="817"/>
      <c r="CQ11" s="817"/>
      <c r="CR11" s="817"/>
      <c r="CS11" s="817"/>
      <c r="CT11" s="817"/>
      <c r="CU11" s="817"/>
      <c r="CV11" s="817"/>
      <c r="CW11" s="817"/>
      <c r="CX11" s="817"/>
      <c r="CY11" s="817"/>
      <c r="CZ11" s="817"/>
      <c r="DA11" s="817"/>
      <c r="DB11" s="817"/>
      <c r="DC11" s="817"/>
      <c r="DD11" s="817"/>
      <c r="DE11" s="817"/>
      <c r="DF11" s="817"/>
      <c r="DG11" s="817"/>
      <c r="DH11" s="817"/>
      <c r="DI11" s="817"/>
      <c r="DJ11" s="817"/>
      <c r="DK11" s="817"/>
      <c r="DL11" s="817"/>
      <c r="DM11" s="817"/>
      <c r="DN11" s="817"/>
      <c r="DO11" s="817"/>
      <c r="DP11" s="817"/>
      <c r="DQ11" s="817"/>
      <c r="DR11" s="817"/>
      <c r="DS11" s="817"/>
      <c r="DT11" s="817"/>
      <c r="DU11" s="817"/>
      <c r="DV11" s="817"/>
      <c r="DW11" s="817"/>
      <c r="DX11" s="817"/>
      <c r="DY11" s="817"/>
      <c r="DZ11" s="817"/>
      <c r="EA11" s="817"/>
      <c r="EB11" s="817"/>
      <c r="EC11" s="817"/>
      <c r="ED11" s="817"/>
      <c r="EE11" s="817"/>
      <c r="EF11" s="817"/>
      <c r="EG11" s="817"/>
      <c r="EH11" s="817"/>
      <c r="EI11" s="817"/>
      <c r="EJ11" s="817"/>
      <c r="EK11" s="817"/>
      <c r="EL11" s="817"/>
      <c r="EM11" s="817"/>
      <c r="EN11" s="817"/>
      <c r="EO11" s="817"/>
      <c r="EP11" s="817"/>
      <c r="EQ11" s="817"/>
      <c r="ER11" s="817"/>
      <c r="ES11" s="817"/>
      <c r="ET11" s="817"/>
      <c r="EU11" s="817"/>
      <c r="EV11" s="817"/>
      <c r="EW11" s="817"/>
      <c r="EX11" s="817"/>
      <c r="EY11" s="817"/>
      <c r="EZ11" s="817"/>
      <c r="FA11" s="817"/>
      <c r="FB11" s="817"/>
      <c r="FC11" s="817"/>
      <c r="FD11" s="817"/>
      <c r="FE11" s="817"/>
      <c r="FF11" s="817"/>
      <c r="FG11" s="817"/>
      <c r="FH11" s="817"/>
      <c r="FI11" s="817"/>
      <c r="FJ11" s="817"/>
      <c r="FK11" s="817"/>
      <c r="FL11" s="817"/>
      <c r="FM11" s="817"/>
      <c r="FN11" s="817"/>
      <c r="FO11" s="817"/>
      <c r="FP11" s="817"/>
      <c r="FQ11" s="817"/>
      <c r="FR11" s="817"/>
      <c r="FS11" s="817"/>
      <c r="FT11" s="817"/>
      <c r="FU11" s="817"/>
      <c r="FV11" s="817"/>
      <c r="FW11" s="817"/>
      <c r="FX11" s="817"/>
      <c r="FY11" s="817"/>
      <c r="FZ11" s="817"/>
      <c r="GA11" s="817"/>
      <c r="GB11" s="817"/>
      <c r="GC11" s="817"/>
      <c r="GD11" s="817"/>
      <c r="GE11" s="817"/>
      <c r="GF11" s="817"/>
      <c r="GG11" s="817"/>
      <c r="GH11" s="817"/>
      <c r="GI11" s="817"/>
      <c r="GJ11" s="817"/>
      <c r="GK11" s="817"/>
      <c r="GL11" s="817"/>
      <c r="GM11" s="817"/>
      <c r="GN11" s="817"/>
      <c r="GO11" s="817"/>
      <c r="GP11" s="817"/>
      <c r="GQ11" s="817"/>
      <c r="GR11" s="817"/>
      <c r="GS11" s="817"/>
      <c r="GT11" s="817"/>
      <c r="GU11" s="817"/>
      <c r="GV11" s="817"/>
      <c r="GW11" s="817"/>
      <c r="GX11" s="817"/>
      <c r="GY11" s="817"/>
      <c r="GZ11" s="817"/>
      <c r="HA11" s="817"/>
      <c r="HB11" s="817"/>
      <c r="HC11" s="817"/>
      <c r="HD11" s="817"/>
      <c r="HE11" s="817"/>
      <c r="HF11" s="817"/>
      <c r="HG11" s="817"/>
      <c r="HH11" s="817"/>
      <c r="HI11" s="817"/>
      <c r="HJ11" s="817"/>
      <c r="HK11" s="817"/>
      <c r="HL11" s="817"/>
      <c r="HM11" s="817"/>
      <c r="HN11" s="817"/>
      <c r="HO11" s="817"/>
      <c r="HP11" s="817"/>
      <c r="HQ11" s="817"/>
      <c r="HR11" s="817"/>
      <c r="HS11" s="817"/>
      <c r="HT11" s="817"/>
      <c r="HU11" s="817"/>
      <c r="HV11" s="817"/>
      <c r="HW11" s="817"/>
      <c r="HX11" s="817"/>
      <c r="HY11" s="817"/>
      <c r="HZ11" s="817"/>
      <c r="IA11" s="817"/>
      <c r="IB11" s="817"/>
      <c r="IC11" s="817"/>
      <c r="ID11" s="817"/>
      <c r="IE11" s="817"/>
      <c r="IF11" s="817"/>
      <c r="IG11" s="817"/>
      <c r="IH11" s="817"/>
      <c r="II11" s="817"/>
      <c r="IJ11" s="817"/>
      <c r="IK11" s="817"/>
      <c r="IL11" s="817"/>
      <c r="IM11" s="817"/>
      <c r="IN11" s="817"/>
      <c r="IO11" s="817"/>
      <c r="IP11" s="817"/>
      <c r="IQ11" s="817"/>
      <c r="IR11" s="817"/>
      <c r="IS11" s="817"/>
      <c r="IT11" s="817"/>
      <c r="IU11" s="817"/>
      <c r="IV11" s="817"/>
    </row>
    <row r="12" spans="1:256" ht="10.5" customHeight="1">
      <c r="A12" s="803" t="s">
        <v>822</v>
      </c>
      <c r="B12" s="826">
        <v>63.2</v>
      </c>
      <c r="C12" s="826">
        <v>83.2</v>
      </c>
      <c r="D12" s="827">
        <v>88.2</v>
      </c>
      <c r="E12" s="827">
        <v>72.2</v>
      </c>
      <c r="F12" s="827">
        <v>58.2</v>
      </c>
      <c r="G12" s="828">
        <v>55.1</v>
      </c>
      <c r="H12" s="828">
        <v>56.5</v>
      </c>
      <c r="I12" s="828">
        <v>46.9</v>
      </c>
      <c r="J12" s="828">
        <v>63.6</v>
      </c>
      <c r="K12" s="831">
        <v>70.400000000000006</v>
      </c>
      <c r="L12" s="829">
        <v>54.5</v>
      </c>
      <c r="M12" s="829">
        <v>55.7</v>
      </c>
      <c r="N12" s="828">
        <v>54.1</v>
      </c>
      <c r="O12" s="817"/>
      <c r="P12" s="817"/>
      <c r="Q12" s="817"/>
      <c r="R12" s="817"/>
      <c r="S12" s="817"/>
      <c r="T12" s="817"/>
      <c r="U12" s="817"/>
      <c r="V12" s="817"/>
      <c r="W12" s="817"/>
      <c r="X12" s="817"/>
      <c r="Y12" s="817"/>
      <c r="Z12" s="817"/>
      <c r="AA12" s="817"/>
      <c r="AB12" s="817"/>
      <c r="AC12" s="817"/>
      <c r="AD12" s="817"/>
      <c r="AE12" s="817"/>
      <c r="AF12" s="817"/>
      <c r="AG12" s="817"/>
      <c r="AH12" s="817"/>
      <c r="AI12" s="817"/>
      <c r="AJ12" s="817"/>
      <c r="AK12" s="817"/>
      <c r="AL12" s="817"/>
      <c r="AM12" s="817"/>
      <c r="AN12" s="817"/>
      <c r="AO12" s="817"/>
      <c r="AP12" s="817"/>
      <c r="AQ12" s="817"/>
      <c r="AR12" s="817"/>
      <c r="AS12" s="817"/>
      <c r="AT12" s="817"/>
      <c r="AU12" s="817"/>
      <c r="AV12" s="817"/>
      <c r="AW12" s="817"/>
      <c r="AX12" s="817"/>
      <c r="AY12" s="817"/>
      <c r="AZ12" s="817"/>
      <c r="BA12" s="817"/>
      <c r="BB12" s="817"/>
      <c r="BC12" s="817"/>
      <c r="BD12" s="817"/>
      <c r="BE12" s="817"/>
      <c r="BF12" s="817"/>
      <c r="BG12" s="817"/>
      <c r="BH12" s="817"/>
      <c r="BI12" s="817"/>
      <c r="BJ12" s="817"/>
      <c r="BK12" s="817"/>
      <c r="BL12" s="817"/>
      <c r="BM12" s="817"/>
      <c r="BN12" s="817"/>
      <c r="BO12" s="817"/>
      <c r="BP12" s="817"/>
      <c r="BQ12" s="817"/>
      <c r="BR12" s="817"/>
      <c r="BS12" s="817"/>
      <c r="BT12" s="817"/>
      <c r="BU12" s="817"/>
      <c r="BV12" s="817"/>
      <c r="BW12" s="817"/>
      <c r="BX12" s="817"/>
      <c r="BY12" s="817"/>
      <c r="BZ12" s="817"/>
      <c r="CA12" s="817"/>
      <c r="CB12" s="817"/>
      <c r="CC12" s="817"/>
      <c r="CD12" s="817"/>
      <c r="CE12" s="817"/>
      <c r="CF12" s="817"/>
      <c r="CG12" s="817"/>
      <c r="CH12" s="817"/>
      <c r="CI12" s="817"/>
      <c r="CJ12" s="817"/>
      <c r="CK12" s="817"/>
      <c r="CL12" s="817"/>
      <c r="CM12" s="817"/>
      <c r="CN12" s="817"/>
      <c r="CO12" s="817"/>
      <c r="CP12" s="817"/>
      <c r="CQ12" s="817"/>
      <c r="CR12" s="817"/>
      <c r="CS12" s="817"/>
      <c r="CT12" s="817"/>
      <c r="CU12" s="817"/>
      <c r="CV12" s="817"/>
      <c r="CW12" s="817"/>
      <c r="CX12" s="817"/>
      <c r="CY12" s="817"/>
      <c r="CZ12" s="817"/>
      <c r="DA12" s="817"/>
      <c r="DB12" s="817"/>
      <c r="DC12" s="817"/>
      <c r="DD12" s="817"/>
      <c r="DE12" s="817"/>
      <c r="DF12" s="817"/>
      <c r="DG12" s="817"/>
      <c r="DH12" s="817"/>
      <c r="DI12" s="817"/>
      <c r="DJ12" s="817"/>
      <c r="DK12" s="817"/>
      <c r="DL12" s="817"/>
      <c r="DM12" s="817"/>
      <c r="DN12" s="817"/>
      <c r="DO12" s="817"/>
      <c r="DP12" s="817"/>
      <c r="DQ12" s="817"/>
      <c r="DR12" s="817"/>
      <c r="DS12" s="817"/>
      <c r="DT12" s="817"/>
      <c r="DU12" s="817"/>
      <c r="DV12" s="817"/>
      <c r="DW12" s="817"/>
      <c r="DX12" s="817"/>
      <c r="DY12" s="817"/>
      <c r="DZ12" s="817"/>
      <c r="EA12" s="817"/>
      <c r="EB12" s="817"/>
      <c r="EC12" s="817"/>
      <c r="ED12" s="817"/>
      <c r="EE12" s="817"/>
      <c r="EF12" s="817"/>
      <c r="EG12" s="817"/>
      <c r="EH12" s="817"/>
      <c r="EI12" s="817"/>
      <c r="EJ12" s="817"/>
      <c r="EK12" s="817"/>
      <c r="EL12" s="817"/>
      <c r="EM12" s="817"/>
      <c r="EN12" s="817"/>
      <c r="EO12" s="817"/>
      <c r="EP12" s="817"/>
      <c r="EQ12" s="817"/>
      <c r="ER12" s="817"/>
      <c r="ES12" s="817"/>
      <c r="ET12" s="817"/>
      <c r="EU12" s="817"/>
      <c r="EV12" s="817"/>
      <c r="EW12" s="817"/>
      <c r="EX12" s="817"/>
      <c r="EY12" s="817"/>
      <c r="EZ12" s="817"/>
      <c r="FA12" s="817"/>
      <c r="FB12" s="817"/>
      <c r="FC12" s="817"/>
      <c r="FD12" s="817"/>
      <c r="FE12" s="817"/>
      <c r="FF12" s="817"/>
      <c r="FG12" s="817"/>
      <c r="FH12" s="817"/>
      <c r="FI12" s="817"/>
      <c r="FJ12" s="817"/>
      <c r="FK12" s="817"/>
      <c r="FL12" s="817"/>
      <c r="FM12" s="817"/>
      <c r="FN12" s="817"/>
      <c r="FO12" s="817"/>
      <c r="FP12" s="817"/>
      <c r="FQ12" s="817"/>
      <c r="FR12" s="817"/>
      <c r="FS12" s="817"/>
      <c r="FT12" s="817"/>
      <c r="FU12" s="817"/>
      <c r="FV12" s="817"/>
      <c r="FW12" s="817"/>
      <c r="FX12" s="817"/>
      <c r="FY12" s="817"/>
      <c r="FZ12" s="817"/>
      <c r="GA12" s="817"/>
      <c r="GB12" s="817"/>
      <c r="GC12" s="817"/>
      <c r="GD12" s="817"/>
      <c r="GE12" s="817"/>
      <c r="GF12" s="817"/>
      <c r="GG12" s="817"/>
      <c r="GH12" s="817"/>
      <c r="GI12" s="817"/>
      <c r="GJ12" s="817"/>
      <c r="GK12" s="817"/>
      <c r="GL12" s="817"/>
      <c r="GM12" s="817"/>
      <c r="GN12" s="817"/>
      <c r="GO12" s="817"/>
      <c r="GP12" s="817"/>
      <c r="GQ12" s="817"/>
      <c r="GR12" s="817"/>
      <c r="GS12" s="817"/>
      <c r="GT12" s="817"/>
      <c r="GU12" s="817"/>
      <c r="GV12" s="817"/>
      <c r="GW12" s="817"/>
      <c r="GX12" s="817"/>
      <c r="GY12" s="817"/>
      <c r="GZ12" s="817"/>
      <c r="HA12" s="817"/>
      <c r="HB12" s="817"/>
      <c r="HC12" s="817"/>
      <c r="HD12" s="817"/>
      <c r="HE12" s="817"/>
      <c r="HF12" s="817"/>
      <c r="HG12" s="817"/>
      <c r="HH12" s="817"/>
      <c r="HI12" s="817"/>
      <c r="HJ12" s="817"/>
      <c r="HK12" s="817"/>
      <c r="HL12" s="817"/>
      <c r="HM12" s="817"/>
      <c r="HN12" s="817"/>
      <c r="HO12" s="817"/>
      <c r="HP12" s="817"/>
      <c r="HQ12" s="817"/>
      <c r="HR12" s="817"/>
      <c r="HS12" s="817"/>
      <c r="HT12" s="817"/>
      <c r="HU12" s="817"/>
      <c r="HV12" s="817"/>
      <c r="HW12" s="817"/>
      <c r="HX12" s="817"/>
      <c r="HY12" s="817"/>
      <c r="HZ12" s="817"/>
      <c r="IA12" s="817"/>
      <c r="IB12" s="817"/>
      <c r="IC12" s="817"/>
      <c r="ID12" s="817"/>
      <c r="IE12" s="817"/>
      <c r="IF12" s="817"/>
      <c r="IG12" s="817"/>
      <c r="IH12" s="817"/>
      <c r="II12" s="817"/>
      <c r="IJ12" s="817"/>
      <c r="IK12" s="817"/>
      <c r="IL12" s="817"/>
      <c r="IM12" s="817"/>
      <c r="IN12" s="817"/>
      <c r="IO12" s="817"/>
      <c r="IP12" s="817"/>
      <c r="IQ12" s="817"/>
      <c r="IR12" s="817"/>
      <c r="IS12" s="817"/>
      <c r="IT12" s="817"/>
      <c r="IU12" s="817"/>
      <c r="IV12" s="817"/>
    </row>
    <row r="13" spans="1:256" ht="12.75" customHeight="1" thickBot="1">
      <c r="A13" s="832" t="s">
        <v>823</v>
      </c>
      <c r="B13" s="833">
        <v>1853.7</v>
      </c>
      <c r="C13" s="833">
        <v>1881.7</v>
      </c>
      <c r="D13" s="834">
        <v>1943</v>
      </c>
      <c r="E13" s="834">
        <v>1801.2</v>
      </c>
      <c r="F13" s="834">
        <v>1764</v>
      </c>
      <c r="G13" s="834">
        <v>1511.9</v>
      </c>
      <c r="H13" s="834">
        <v>1471</v>
      </c>
      <c r="I13" s="834">
        <v>1794.7</v>
      </c>
      <c r="J13" s="834">
        <v>1817</v>
      </c>
      <c r="K13" s="834">
        <v>1862.6</v>
      </c>
      <c r="L13" s="835">
        <v>1822.9</v>
      </c>
      <c r="M13" s="836">
        <v>1823.1</v>
      </c>
      <c r="N13" s="834">
        <v>1789.2</v>
      </c>
      <c r="O13" s="817"/>
      <c r="P13" s="817"/>
      <c r="Q13" s="817"/>
      <c r="R13" s="817"/>
      <c r="S13" s="817"/>
      <c r="T13" s="817"/>
      <c r="U13" s="817"/>
      <c r="V13" s="817"/>
      <c r="W13" s="817"/>
      <c r="X13" s="817"/>
      <c r="Y13" s="817"/>
      <c r="Z13" s="817"/>
      <c r="AA13" s="817"/>
      <c r="AB13" s="817"/>
      <c r="AC13" s="817"/>
      <c r="AD13" s="817"/>
      <c r="AE13" s="817"/>
      <c r="AF13" s="817"/>
      <c r="AG13" s="817"/>
      <c r="AH13" s="817"/>
      <c r="AI13" s="817"/>
      <c r="AJ13" s="817"/>
      <c r="AK13" s="817"/>
      <c r="AL13" s="817"/>
      <c r="AM13" s="817"/>
      <c r="AN13" s="817"/>
      <c r="AO13" s="817"/>
      <c r="AP13" s="817"/>
      <c r="AQ13" s="817"/>
      <c r="AR13" s="817"/>
      <c r="AS13" s="817"/>
      <c r="AT13" s="817"/>
      <c r="AU13" s="817"/>
      <c r="AV13" s="817"/>
      <c r="AW13" s="817"/>
      <c r="AX13" s="817"/>
      <c r="AY13" s="817"/>
      <c r="AZ13" s="817"/>
      <c r="BA13" s="817"/>
      <c r="BB13" s="817"/>
      <c r="BC13" s="817"/>
      <c r="BD13" s="817"/>
      <c r="BE13" s="817"/>
      <c r="BF13" s="817"/>
      <c r="BG13" s="817"/>
      <c r="BH13" s="817"/>
      <c r="BI13" s="817"/>
      <c r="BJ13" s="817"/>
      <c r="BK13" s="817"/>
      <c r="BL13" s="817"/>
      <c r="BM13" s="817"/>
      <c r="BN13" s="817"/>
      <c r="BO13" s="817"/>
      <c r="BP13" s="817"/>
      <c r="BQ13" s="817"/>
      <c r="BR13" s="817"/>
      <c r="BS13" s="817"/>
      <c r="BT13" s="817"/>
      <c r="BU13" s="817"/>
      <c r="BV13" s="817"/>
      <c r="BW13" s="817"/>
      <c r="BX13" s="817"/>
      <c r="BY13" s="817"/>
      <c r="BZ13" s="817"/>
      <c r="CA13" s="817"/>
      <c r="CB13" s="817"/>
      <c r="CC13" s="817"/>
      <c r="CD13" s="817"/>
      <c r="CE13" s="817"/>
      <c r="CF13" s="817"/>
      <c r="CG13" s="817"/>
      <c r="CH13" s="817"/>
      <c r="CI13" s="817"/>
      <c r="CJ13" s="817"/>
      <c r="CK13" s="817"/>
      <c r="CL13" s="817"/>
      <c r="CM13" s="817"/>
      <c r="CN13" s="817"/>
      <c r="CO13" s="817"/>
      <c r="CP13" s="817"/>
      <c r="CQ13" s="817"/>
      <c r="CR13" s="817"/>
      <c r="CS13" s="817"/>
      <c r="CT13" s="817"/>
      <c r="CU13" s="817"/>
      <c r="CV13" s="817"/>
      <c r="CW13" s="817"/>
      <c r="CX13" s="817"/>
      <c r="CY13" s="817"/>
      <c r="CZ13" s="817"/>
      <c r="DA13" s="817"/>
      <c r="DB13" s="817"/>
      <c r="DC13" s="817"/>
      <c r="DD13" s="817"/>
      <c r="DE13" s="817"/>
      <c r="DF13" s="817"/>
      <c r="DG13" s="817"/>
      <c r="DH13" s="817"/>
      <c r="DI13" s="817"/>
      <c r="DJ13" s="817"/>
      <c r="DK13" s="817"/>
      <c r="DL13" s="817"/>
      <c r="DM13" s="817"/>
      <c r="DN13" s="817"/>
      <c r="DO13" s="817"/>
      <c r="DP13" s="817"/>
      <c r="DQ13" s="817"/>
      <c r="DR13" s="817"/>
      <c r="DS13" s="817"/>
      <c r="DT13" s="817"/>
      <c r="DU13" s="817"/>
      <c r="DV13" s="817"/>
      <c r="DW13" s="817"/>
      <c r="DX13" s="817"/>
      <c r="DY13" s="817"/>
      <c r="DZ13" s="817"/>
      <c r="EA13" s="817"/>
      <c r="EB13" s="817"/>
      <c r="EC13" s="817"/>
      <c r="ED13" s="817"/>
      <c r="EE13" s="817"/>
      <c r="EF13" s="817"/>
      <c r="EG13" s="817"/>
      <c r="EH13" s="817"/>
      <c r="EI13" s="817"/>
      <c r="EJ13" s="817"/>
      <c r="EK13" s="817"/>
      <c r="EL13" s="817"/>
      <c r="EM13" s="817"/>
      <c r="EN13" s="817"/>
      <c r="EO13" s="817"/>
      <c r="EP13" s="817"/>
      <c r="EQ13" s="817"/>
      <c r="ER13" s="817"/>
      <c r="ES13" s="817"/>
      <c r="ET13" s="817"/>
      <c r="EU13" s="817"/>
      <c r="EV13" s="817"/>
      <c r="EW13" s="817"/>
      <c r="EX13" s="817"/>
      <c r="EY13" s="817"/>
      <c r="EZ13" s="817"/>
      <c r="FA13" s="817"/>
      <c r="FB13" s="817"/>
      <c r="FC13" s="817"/>
      <c r="FD13" s="817"/>
      <c r="FE13" s="817"/>
      <c r="FF13" s="817"/>
      <c r="FG13" s="817"/>
      <c r="FH13" s="817"/>
      <c r="FI13" s="817"/>
      <c r="FJ13" s="817"/>
      <c r="FK13" s="817"/>
      <c r="FL13" s="817"/>
      <c r="FM13" s="817"/>
      <c r="FN13" s="817"/>
      <c r="FO13" s="817"/>
      <c r="FP13" s="817"/>
      <c r="FQ13" s="817"/>
      <c r="FR13" s="817"/>
      <c r="FS13" s="817"/>
      <c r="FT13" s="817"/>
      <c r="FU13" s="817"/>
      <c r="FV13" s="817"/>
      <c r="FW13" s="817"/>
      <c r="FX13" s="817"/>
      <c r="FY13" s="817"/>
      <c r="FZ13" s="817"/>
      <c r="GA13" s="817"/>
      <c r="GB13" s="817"/>
      <c r="GC13" s="817"/>
      <c r="GD13" s="817"/>
      <c r="GE13" s="817"/>
      <c r="GF13" s="817"/>
      <c r="GG13" s="817"/>
      <c r="GH13" s="817"/>
      <c r="GI13" s="817"/>
      <c r="GJ13" s="817"/>
      <c r="GK13" s="817"/>
      <c r="GL13" s="817"/>
      <c r="GM13" s="817"/>
      <c r="GN13" s="817"/>
      <c r="GO13" s="817"/>
      <c r="GP13" s="817"/>
      <c r="GQ13" s="817"/>
      <c r="GR13" s="817"/>
      <c r="GS13" s="817"/>
      <c r="GT13" s="817"/>
      <c r="GU13" s="817"/>
      <c r="GV13" s="817"/>
      <c r="GW13" s="817"/>
      <c r="GX13" s="817"/>
      <c r="GY13" s="817"/>
      <c r="GZ13" s="817"/>
      <c r="HA13" s="817"/>
      <c r="HB13" s="817"/>
      <c r="HC13" s="817"/>
      <c r="HD13" s="817"/>
      <c r="HE13" s="817"/>
      <c r="HF13" s="817"/>
      <c r="HG13" s="817"/>
      <c r="HH13" s="817"/>
      <c r="HI13" s="817"/>
      <c r="HJ13" s="817"/>
      <c r="HK13" s="817"/>
      <c r="HL13" s="817"/>
      <c r="HM13" s="817"/>
      <c r="HN13" s="817"/>
      <c r="HO13" s="817"/>
      <c r="HP13" s="817"/>
      <c r="HQ13" s="817"/>
      <c r="HR13" s="817"/>
      <c r="HS13" s="817"/>
      <c r="HT13" s="817"/>
      <c r="HU13" s="817"/>
      <c r="HV13" s="817"/>
      <c r="HW13" s="817"/>
      <c r="HX13" s="817"/>
      <c r="HY13" s="817"/>
      <c r="HZ13" s="817"/>
      <c r="IA13" s="817"/>
      <c r="IB13" s="817"/>
      <c r="IC13" s="817"/>
      <c r="ID13" s="817"/>
      <c r="IE13" s="817"/>
      <c r="IF13" s="817"/>
      <c r="IG13" s="817"/>
      <c r="IH13" s="817"/>
      <c r="II13" s="817"/>
      <c r="IJ13" s="817"/>
      <c r="IK13" s="817"/>
      <c r="IL13" s="817"/>
      <c r="IM13" s="817"/>
      <c r="IN13" s="817"/>
      <c r="IO13" s="817"/>
      <c r="IP13" s="817"/>
      <c r="IQ13" s="817"/>
      <c r="IR13" s="817"/>
      <c r="IS13" s="817"/>
      <c r="IT13" s="817"/>
      <c r="IU13" s="817"/>
      <c r="IV13" s="817"/>
    </row>
    <row r="14" spans="1:256" ht="12" customHeight="1" thickTop="1">
      <c r="A14" s="818" t="s">
        <v>824</v>
      </c>
      <c r="B14" s="837">
        <v>524.79999999999995</v>
      </c>
      <c r="C14" s="837">
        <v>541.70000000000005</v>
      </c>
      <c r="D14" s="838">
        <v>535.79999999999995</v>
      </c>
      <c r="E14" s="838">
        <v>544.9</v>
      </c>
      <c r="F14" s="838">
        <v>459</v>
      </c>
      <c r="G14" s="838">
        <v>504.1</v>
      </c>
      <c r="H14" s="838">
        <v>401.5</v>
      </c>
      <c r="I14" s="838">
        <v>473.9</v>
      </c>
      <c r="J14" s="838">
        <v>480.8</v>
      </c>
      <c r="K14" s="838">
        <v>487.6</v>
      </c>
      <c r="L14" s="839">
        <v>480.8</v>
      </c>
      <c r="M14" s="839">
        <v>475.2</v>
      </c>
      <c r="N14" s="838">
        <v>484</v>
      </c>
      <c r="O14" s="817"/>
      <c r="P14" s="817"/>
      <c r="Q14" s="817"/>
      <c r="R14" s="817"/>
      <c r="S14" s="817"/>
      <c r="T14" s="817"/>
      <c r="U14" s="817"/>
      <c r="V14" s="817"/>
      <c r="W14" s="817"/>
      <c r="X14" s="817"/>
      <c r="Y14" s="817"/>
      <c r="Z14" s="817"/>
      <c r="AA14" s="817"/>
      <c r="AB14" s="817"/>
      <c r="AC14" s="817"/>
      <c r="AD14" s="817"/>
      <c r="AE14" s="817"/>
      <c r="AF14" s="817"/>
      <c r="AG14" s="817"/>
      <c r="AH14" s="817"/>
      <c r="AI14" s="817"/>
      <c r="AJ14" s="817"/>
      <c r="AK14" s="817"/>
      <c r="AL14" s="817"/>
      <c r="AM14" s="817"/>
      <c r="AN14" s="817"/>
      <c r="AO14" s="817"/>
      <c r="AP14" s="817"/>
      <c r="AQ14" s="817"/>
      <c r="AR14" s="817"/>
      <c r="AS14" s="817"/>
      <c r="AT14" s="817"/>
      <c r="AU14" s="817"/>
      <c r="AV14" s="817"/>
      <c r="AW14" s="817"/>
      <c r="AX14" s="817"/>
      <c r="AY14" s="817"/>
      <c r="AZ14" s="817"/>
      <c r="BA14" s="817"/>
      <c r="BB14" s="817"/>
      <c r="BC14" s="817"/>
      <c r="BD14" s="817"/>
      <c r="BE14" s="817"/>
      <c r="BF14" s="817"/>
      <c r="BG14" s="817"/>
      <c r="BH14" s="817"/>
      <c r="BI14" s="817"/>
      <c r="BJ14" s="817"/>
      <c r="BK14" s="817"/>
      <c r="BL14" s="817"/>
      <c r="BM14" s="817"/>
      <c r="BN14" s="817"/>
      <c r="BO14" s="817"/>
      <c r="BP14" s="817"/>
      <c r="BQ14" s="817"/>
      <c r="BR14" s="817"/>
      <c r="BS14" s="817"/>
      <c r="BT14" s="817"/>
      <c r="BU14" s="817"/>
      <c r="BV14" s="817"/>
      <c r="BW14" s="817"/>
      <c r="BX14" s="817"/>
      <c r="BY14" s="817"/>
      <c r="BZ14" s="817"/>
      <c r="CA14" s="817"/>
      <c r="CB14" s="817"/>
      <c r="CC14" s="817"/>
      <c r="CD14" s="817"/>
      <c r="CE14" s="817"/>
      <c r="CF14" s="817"/>
      <c r="CG14" s="817"/>
      <c r="CH14" s="817"/>
      <c r="CI14" s="817"/>
      <c r="CJ14" s="817"/>
      <c r="CK14" s="817"/>
      <c r="CL14" s="817"/>
      <c r="CM14" s="817"/>
      <c r="CN14" s="817"/>
      <c r="CO14" s="817"/>
      <c r="CP14" s="817"/>
      <c r="CQ14" s="817"/>
      <c r="CR14" s="817"/>
      <c r="CS14" s="817"/>
      <c r="CT14" s="817"/>
      <c r="CU14" s="817"/>
      <c r="CV14" s="817"/>
      <c r="CW14" s="817"/>
      <c r="CX14" s="817"/>
      <c r="CY14" s="817"/>
      <c r="CZ14" s="817"/>
      <c r="DA14" s="817"/>
      <c r="DB14" s="817"/>
      <c r="DC14" s="817"/>
      <c r="DD14" s="817"/>
      <c r="DE14" s="817"/>
      <c r="DF14" s="817"/>
      <c r="DG14" s="817"/>
      <c r="DH14" s="817"/>
      <c r="DI14" s="817"/>
      <c r="DJ14" s="817"/>
      <c r="DK14" s="817"/>
      <c r="DL14" s="817"/>
      <c r="DM14" s="817"/>
      <c r="DN14" s="817"/>
      <c r="DO14" s="817"/>
      <c r="DP14" s="817"/>
      <c r="DQ14" s="817"/>
      <c r="DR14" s="817"/>
      <c r="DS14" s="817"/>
      <c r="DT14" s="817"/>
      <c r="DU14" s="817"/>
      <c r="DV14" s="817"/>
      <c r="DW14" s="817"/>
      <c r="DX14" s="817"/>
      <c r="DY14" s="817"/>
      <c r="DZ14" s="817"/>
      <c r="EA14" s="817"/>
      <c r="EB14" s="817"/>
      <c r="EC14" s="817"/>
      <c r="ED14" s="817"/>
      <c r="EE14" s="817"/>
      <c r="EF14" s="817"/>
      <c r="EG14" s="817"/>
      <c r="EH14" s="817"/>
      <c r="EI14" s="817"/>
      <c r="EJ14" s="817"/>
      <c r="EK14" s="817"/>
      <c r="EL14" s="817"/>
      <c r="EM14" s="817"/>
      <c r="EN14" s="817"/>
      <c r="EO14" s="817"/>
      <c r="EP14" s="817"/>
      <c r="EQ14" s="817"/>
      <c r="ER14" s="817"/>
      <c r="ES14" s="817"/>
      <c r="ET14" s="817"/>
      <c r="EU14" s="817"/>
      <c r="EV14" s="817"/>
      <c r="EW14" s="817"/>
      <c r="EX14" s="817"/>
      <c r="EY14" s="817"/>
      <c r="EZ14" s="817"/>
      <c r="FA14" s="817"/>
      <c r="FB14" s="817"/>
      <c r="FC14" s="817"/>
      <c r="FD14" s="817"/>
      <c r="FE14" s="817"/>
      <c r="FF14" s="817"/>
      <c r="FG14" s="817"/>
      <c r="FH14" s="817"/>
      <c r="FI14" s="817"/>
      <c r="FJ14" s="817"/>
      <c r="FK14" s="817"/>
      <c r="FL14" s="817"/>
      <c r="FM14" s="817"/>
      <c r="FN14" s="817"/>
      <c r="FO14" s="817"/>
      <c r="FP14" s="817"/>
      <c r="FQ14" s="817"/>
      <c r="FR14" s="817"/>
      <c r="FS14" s="817"/>
      <c r="FT14" s="817"/>
      <c r="FU14" s="817"/>
      <c r="FV14" s="817"/>
      <c r="FW14" s="817"/>
      <c r="FX14" s="817"/>
      <c r="FY14" s="817"/>
      <c r="FZ14" s="817"/>
      <c r="GA14" s="817"/>
      <c r="GB14" s="817"/>
      <c r="GC14" s="817"/>
      <c r="GD14" s="817"/>
      <c r="GE14" s="817"/>
      <c r="GF14" s="817"/>
      <c r="GG14" s="817"/>
      <c r="GH14" s="817"/>
      <c r="GI14" s="817"/>
      <c r="GJ14" s="817"/>
      <c r="GK14" s="817"/>
      <c r="GL14" s="817"/>
      <c r="GM14" s="817"/>
      <c r="GN14" s="817"/>
      <c r="GO14" s="817"/>
      <c r="GP14" s="817"/>
      <c r="GQ14" s="817"/>
      <c r="GR14" s="817"/>
      <c r="GS14" s="817"/>
      <c r="GT14" s="817"/>
      <c r="GU14" s="817"/>
      <c r="GV14" s="817"/>
      <c r="GW14" s="817"/>
      <c r="GX14" s="817"/>
      <c r="GY14" s="817"/>
      <c r="GZ14" s="817"/>
      <c r="HA14" s="817"/>
      <c r="HB14" s="817"/>
      <c r="HC14" s="817"/>
      <c r="HD14" s="817"/>
      <c r="HE14" s="817"/>
      <c r="HF14" s="817"/>
      <c r="HG14" s="817"/>
      <c r="HH14" s="817"/>
      <c r="HI14" s="817"/>
      <c r="HJ14" s="817"/>
      <c r="HK14" s="817"/>
      <c r="HL14" s="817"/>
      <c r="HM14" s="817"/>
      <c r="HN14" s="817"/>
      <c r="HO14" s="817"/>
      <c r="HP14" s="817"/>
      <c r="HQ14" s="817"/>
      <c r="HR14" s="817"/>
      <c r="HS14" s="817"/>
      <c r="HT14" s="817"/>
      <c r="HU14" s="817"/>
      <c r="HV14" s="817"/>
      <c r="HW14" s="817"/>
      <c r="HX14" s="817"/>
      <c r="HY14" s="817"/>
      <c r="HZ14" s="817"/>
      <c r="IA14" s="817"/>
      <c r="IB14" s="817"/>
      <c r="IC14" s="817"/>
      <c r="ID14" s="817"/>
      <c r="IE14" s="817"/>
      <c r="IF14" s="817"/>
      <c r="IG14" s="817"/>
      <c r="IH14" s="817"/>
      <c r="II14" s="817"/>
      <c r="IJ14" s="817"/>
      <c r="IK14" s="817"/>
      <c r="IL14" s="817"/>
      <c r="IM14" s="817"/>
      <c r="IN14" s="817"/>
      <c r="IO14" s="817"/>
      <c r="IP14" s="817"/>
      <c r="IQ14" s="817"/>
      <c r="IR14" s="817"/>
      <c r="IS14" s="817"/>
      <c r="IT14" s="817"/>
      <c r="IU14" s="817"/>
      <c r="IV14" s="817"/>
    </row>
    <row r="15" spans="1:256" ht="12.75" customHeight="1">
      <c r="A15" s="840" t="s">
        <v>825</v>
      </c>
      <c r="B15" s="841">
        <v>6104</v>
      </c>
      <c r="C15" s="841">
        <v>6300</v>
      </c>
      <c r="D15" s="842">
        <v>6231</v>
      </c>
      <c r="E15" s="842">
        <v>6338</v>
      </c>
      <c r="F15" s="842">
        <v>5338</v>
      </c>
      <c r="G15" s="842">
        <v>5863</v>
      </c>
      <c r="H15" s="842">
        <v>4669.3</v>
      </c>
      <c r="I15" s="842">
        <v>5511.2</v>
      </c>
      <c r="J15" s="842">
        <v>5591.5</v>
      </c>
      <c r="K15" s="842">
        <v>5670.4</v>
      </c>
      <c r="L15" s="843">
        <v>5592.2</v>
      </c>
      <c r="M15" s="843">
        <v>5527</v>
      </c>
      <c r="N15" s="842">
        <v>5628.8</v>
      </c>
      <c r="O15" s="817"/>
      <c r="P15" s="817"/>
      <c r="Q15" s="817"/>
      <c r="R15" s="817"/>
      <c r="S15" s="817"/>
      <c r="T15" s="817"/>
      <c r="U15" s="817"/>
      <c r="V15" s="817"/>
      <c r="W15" s="817"/>
      <c r="X15" s="817"/>
      <c r="Y15" s="817"/>
      <c r="Z15" s="817"/>
      <c r="AA15" s="817"/>
      <c r="AB15" s="817"/>
      <c r="AC15" s="817"/>
      <c r="AD15" s="817"/>
      <c r="AE15" s="817"/>
      <c r="AF15" s="817"/>
      <c r="AG15" s="817"/>
      <c r="AH15" s="817"/>
      <c r="AI15" s="817"/>
      <c r="AJ15" s="817"/>
      <c r="AK15" s="817"/>
      <c r="AL15" s="817"/>
      <c r="AM15" s="817"/>
      <c r="AN15" s="817"/>
      <c r="AO15" s="817"/>
      <c r="AP15" s="817"/>
      <c r="AQ15" s="817"/>
      <c r="AR15" s="817"/>
      <c r="AS15" s="817"/>
      <c r="AT15" s="817"/>
      <c r="AU15" s="817"/>
      <c r="AV15" s="817"/>
      <c r="AW15" s="817"/>
      <c r="AX15" s="817"/>
      <c r="AY15" s="817"/>
      <c r="AZ15" s="817"/>
      <c r="BA15" s="817"/>
      <c r="BB15" s="817"/>
      <c r="BC15" s="817"/>
      <c r="BD15" s="817"/>
      <c r="BE15" s="817"/>
      <c r="BF15" s="817"/>
      <c r="BG15" s="817"/>
      <c r="BH15" s="817"/>
      <c r="BI15" s="817"/>
      <c r="BJ15" s="817"/>
      <c r="BK15" s="817"/>
      <c r="BL15" s="817"/>
      <c r="BM15" s="817"/>
      <c r="BN15" s="817"/>
      <c r="BO15" s="817"/>
      <c r="BP15" s="817"/>
      <c r="BQ15" s="817"/>
      <c r="BR15" s="817"/>
      <c r="BS15" s="817"/>
      <c r="BT15" s="817"/>
      <c r="BU15" s="817"/>
      <c r="BV15" s="817"/>
      <c r="BW15" s="817"/>
      <c r="BX15" s="817"/>
      <c r="BY15" s="817"/>
      <c r="BZ15" s="817"/>
      <c r="CA15" s="817"/>
      <c r="CB15" s="817"/>
      <c r="CC15" s="817"/>
      <c r="CD15" s="817"/>
      <c r="CE15" s="817"/>
      <c r="CF15" s="817"/>
      <c r="CG15" s="817"/>
      <c r="CH15" s="817"/>
      <c r="CI15" s="817"/>
      <c r="CJ15" s="817"/>
      <c r="CK15" s="817"/>
      <c r="CL15" s="817"/>
      <c r="CM15" s="817"/>
      <c r="CN15" s="817"/>
      <c r="CO15" s="817"/>
      <c r="CP15" s="817"/>
      <c r="CQ15" s="817"/>
      <c r="CR15" s="817"/>
      <c r="CS15" s="817"/>
      <c r="CT15" s="817"/>
      <c r="CU15" s="817"/>
      <c r="CV15" s="817"/>
      <c r="CW15" s="817"/>
      <c r="CX15" s="817"/>
      <c r="CY15" s="817"/>
      <c r="CZ15" s="817"/>
      <c r="DA15" s="817"/>
      <c r="DB15" s="817"/>
      <c r="DC15" s="817"/>
      <c r="DD15" s="817"/>
      <c r="DE15" s="817"/>
      <c r="DF15" s="817"/>
      <c r="DG15" s="817"/>
      <c r="DH15" s="817"/>
      <c r="DI15" s="817"/>
      <c r="DJ15" s="817"/>
      <c r="DK15" s="817"/>
      <c r="DL15" s="817"/>
      <c r="DM15" s="817"/>
      <c r="DN15" s="817"/>
      <c r="DO15" s="817"/>
      <c r="DP15" s="817"/>
      <c r="DQ15" s="817"/>
      <c r="DR15" s="817"/>
      <c r="DS15" s="817"/>
      <c r="DT15" s="817"/>
      <c r="DU15" s="817"/>
      <c r="DV15" s="817"/>
      <c r="DW15" s="817"/>
      <c r="DX15" s="817"/>
      <c r="DY15" s="817"/>
      <c r="DZ15" s="817"/>
      <c r="EA15" s="817"/>
      <c r="EB15" s="817"/>
      <c r="EC15" s="817"/>
      <c r="ED15" s="817"/>
      <c r="EE15" s="817"/>
      <c r="EF15" s="817"/>
      <c r="EG15" s="817"/>
      <c r="EH15" s="817"/>
      <c r="EI15" s="817"/>
      <c r="EJ15" s="817"/>
      <c r="EK15" s="817"/>
      <c r="EL15" s="817"/>
      <c r="EM15" s="817"/>
      <c r="EN15" s="817"/>
      <c r="EO15" s="817"/>
      <c r="EP15" s="817"/>
      <c r="EQ15" s="817"/>
      <c r="ER15" s="817"/>
      <c r="ES15" s="817"/>
      <c r="ET15" s="817"/>
      <c r="EU15" s="817"/>
      <c r="EV15" s="817"/>
      <c r="EW15" s="817"/>
      <c r="EX15" s="817"/>
      <c r="EY15" s="817"/>
      <c r="EZ15" s="817"/>
      <c r="FA15" s="817"/>
      <c r="FB15" s="817"/>
      <c r="FC15" s="817"/>
      <c r="FD15" s="817"/>
      <c r="FE15" s="817"/>
      <c r="FF15" s="817"/>
      <c r="FG15" s="817"/>
      <c r="FH15" s="817"/>
      <c r="FI15" s="817"/>
      <c r="FJ15" s="817"/>
      <c r="FK15" s="817"/>
      <c r="FL15" s="817"/>
      <c r="FM15" s="817"/>
      <c r="FN15" s="817"/>
      <c r="FO15" s="817"/>
      <c r="FP15" s="817"/>
      <c r="FQ15" s="817"/>
      <c r="FR15" s="817"/>
      <c r="FS15" s="817"/>
      <c r="FT15" s="817"/>
      <c r="FU15" s="817"/>
      <c r="FV15" s="817"/>
      <c r="FW15" s="817"/>
      <c r="FX15" s="817"/>
      <c r="FY15" s="817"/>
      <c r="FZ15" s="817"/>
      <c r="GA15" s="817"/>
      <c r="GB15" s="817"/>
      <c r="GC15" s="817"/>
      <c r="GD15" s="817"/>
      <c r="GE15" s="817"/>
      <c r="GF15" s="817"/>
      <c r="GG15" s="817"/>
      <c r="GH15" s="817"/>
      <c r="GI15" s="817"/>
      <c r="GJ15" s="817"/>
      <c r="GK15" s="817"/>
      <c r="GL15" s="817"/>
      <c r="GM15" s="817"/>
      <c r="GN15" s="817"/>
      <c r="GO15" s="817"/>
      <c r="GP15" s="817"/>
      <c r="GQ15" s="817"/>
      <c r="GR15" s="817"/>
      <c r="GS15" s="817"/>
      <c r="GT15" s="817"/>
      <c r="GU15" s="817"/>
      <c r="GV15" s="817"/>
      <c r="GW15" s="817"/>
      <c r="GX15" s="817"/>
      <c r="GY15" s="817"/>
      <c r="GZ15" s="817"/>
      <c r="HA15" s="817"/>
      <c r="HB15" s="817"/>
      <c r="HC15" s="817"/>
      <c r="HD15" s="817"/>
      <c r="HE15" s="817"/>
      <c r="HF15" s="817"/>
      <c r="HG15" s="817"/>
      <c r="HH15" s="817"/>
      <c r="HI15" s="817"/>
      <c r="HJ15" s="817"/>
      <c r="HK15" s="817"/>
      <c r="HL15" s="817"/>
      <c r="HM15" s="817"/>
      <c r="HN15" s="817"/>
      <c r="HO15" s="817"/>
      <c r="HP15" s="817"/>
      <c r="HQ15" s="817"/>
      <c r="HR15" s="817"/>
      <c r="HS15" s="817"/>
      <c r="HT15" s="817"/>
      <c r="HU15" s="817"/>
      <c r="HV15" s="817"/>
      <c r="HW15" s="817"/>
      <c r="HX15" s="817"/>
      <c r="HY15" s="817"/>
      <c r="HZ15" s="817"/>
      <c r="IA15" s="817"/>
      <c r="IB15" s="817"/>
      <c r="IC15" s="817"/>
      <c r="ID15" s="817"/>
      <c r="IE15" s="817"/>
      <c r="IF15" s="817"/>
      <c r="IG15" s="817"/>
      <c r="IH15" s="817"/>
      <c r="II15" s="817"/>
      <c r="IJ15" s="817"/>
      <c r="IK15" s="817"/>
      <c r="IL15" s="817"/>
      <c r="IM15" s="817"/>
      <c r="IN15" s="817"/>
      <c r="IO15" s="817"/>
      <c r="IP15" s="817"/>
      <c r="IQ15" s="817"/>
      <c r="IR15" s="817"/>
      <c r="IS15" s="817"/>
      <c r="IT15" s="817"/>
      <c r="IU15" s="817"/>
      <c r="IV15" s="817"/>
    </row>
    <row r="16" spans="1:256" ht="12" customHeight="1">
      <c r="A16" s="818" t="s">
        <v>826</v>
      </c>
      <c r="B16" s="837">
        <v>359.3</v>
      </c>
      <c r="C16" s="837">
        <v>371.8</v>
      </c>
      <c r="D16" s="838">
        <v>387.3</v>
      </c>
      <c r="E16" s="838">
        <v>400.4</v>
      </c>
      <c r="F16" s="838">
        <v>377.8</v>
      </c>
      <c r="G16" s="838">
        <v>412.3</v>
      </c>
      <c r="H16" s="838">
        <v>315.7</v>
      </c>
      <c r="I16" s="838">
        <v>381.4</v>
      </c>
      <c r="J16" s="838">
        <v>417.2</v>
      </c>
      <c r="K16" s="838">
        <v>427.2</v>
      </c>
      <c r="L16" s="844">
        <v>404.4</v>
      </c>
      <c r="M16" s="844">
        <v>407</v>
      </c>
      <c r="N16" s="838">
        <v>387.1</v>
      </c>
      <c r="O16" s="817"/>
      <c r="P16" s="817"/>
      <c r="Q16" s="817"/>
      <c r="R16" s="817"/>
      <c r="S16" s="817"/>
      <c r="T16" s="817"/>
      <c r="U16" s="817"/>
      <c r="V16" s="817"/>
      <c r="W16" s="817"/>
      <c r="X16" s="817"/>
      <c r="Y16" s="817"/>
      <c r="Z16" s="817"/>
      <c r="AA16" s="817"/>
      <c r="AB16" s="817"/>
      <c r="AC16" s="817"/>
      <c r="AD16" s="817"/>
      <c r="AE16" s="817"/>
      <c r="AF16" s="817"/>
      <c r="AG16" s="817"/>
      <c r="AH16" s="817"/>
      <c r="AI16" s="817"/>
      <c r="AJ16" s="817"/>
      <c r="AK16" s="817"/>
      <c r="AL16" s="817"/>
      <c r="AM16" s="817"/>
      <c r="AN16" s="817"/>
      <c r="AO16" s="817"/>
      <c r="AP16" s="817"/>
      <c r="AQ16" s="817"/>
      <c r="AR16" s="817"/>
      <c r="AS16" s="817"/>
      <c r="AT16" s="817"/>
      <c r="AU16" s="817"/>
      <c r="AV16" s="817"/>
      <c r="AW16" s="817"/>
      <c r="AX16" s="817"/>
      <c r="AY16" s="817"/>
      <c r="AZ16" s="817"/>
      <c r="BA16" s="817"/>
      <c r="BB16" s="817"/>
      <c r="BC16" s="817"/>
      <c r="BD16" s="817"/>
      <c r="BE16" s="817"/>
      <c r="BF16" s="817"/>
      <c r="BG16" s="817"/>
      <c r="BH16" s="817"/>
      <c r="BI16" s="817"/>
      <c r="BJ16" s="817"/>
      <c r="BK16" s="817"/>
      <c r="BL16" s="817"/>
      <c r="BM16" s="817"/>
      <c r="BN16" s="817"/>
      <c r="BO16" s="817"/>
      <c r="BP16" s="817"/>
      <c r="BQ16" s="817"/>
      <c r="BR16" s="817"/>
      <c r="BS16" s="817"/>
      <c r="BT16" s="817"/>
      <c r="BU16" s="817"/>
      <c r="BV16" s="817"/>
      <c r="BW16" s="817"/>
      <c r="BX16" s="817"/>
      <c r="BY16" s="817"/>
      <c r="BZ16" s="817"/>
      <c r="CA16" s="817"/>
      <c r="CB16" s="817"/>
      <c r="CC16" s="817"/>
      <c r="CD16" s="817"/>
      <c r="CE16" s="817"/>
      <c r="CF16" s="817"/>
      <c r="CG16" s="817"/>
      <c r="CH16" s="817"/>
      <c r="CI16" s="817"/>
      <c r="CJ16" s="817"/>
      <c r="CK16" s="817"/>
      <c r="CL16" s="817"/>
      <c r="CM16" s="817"/>
      <c r="CN16" s="817"/>
      <c r="CO16" s="817"/>
      <c r="CP16" s="817"/>
      <c r="CQ16" s="817"/>
      <c r="CR16" s="817"/>
      <c r="CS16" s="817"/>
      <c r="CT16" s="817"/>
      <c r="CU16" s="817"/>
      <c r="CV16" s="817"/>
      <c r="CW16" s="817"/>
      <c r="CX16" s="817"/>
      <c r="CY16" s="817"/>
      <c r="CZ16" s="817"/>
      <c r="DA16" s="817"/>
      <c r="DB16" s="817"/>
      <c r="DC16" s="817"/>
      <c r="DD16" s="817"/>
      <c r="DE16" s="817"/>
      <c r="DF16" s="817"/>
      <c r="DG16" s="817"/>
      <c r="DH16" s="817"/>
      <c r="DI16" s="817"/>
      <c r="DJ16" s="817"/>
      <c r="DK16" s="817"/>
      <c r="DL16" s="817"/>
      <c r="DM16" s="817"/>
      <c r="DN16" s="817"/>
      <c r="DO16" s="817"/>
      <c r="DP16" s="817"/>
      <c r="DQ16" s="817"/>
      <c r="DR16" s="817"/>
      <c r="DS16" s="817"/>
      <c r="DT16" s="817"/>
      <c r="DU16" s="817"/>
      <c r="DV16" s="817"/>
      <c r="DW16" s="817"/>
      <c r="DX16" s="817"/>
      <c r="DY16" s="817"/>
      <c r="DZ16" s="817"/>
      <c r="EA16" s="817"/>
      <c r="EB16" s="817"/>
      <c r="EC16" s="817"/>
      <c r="ED16" s="817"/>
      <c r="EE16" s="817"/>
      <c r="EF16" s="817"/>
      <c r="EG16" s="817"/>
      <c r="EH16" s="817"/>
      <c r="EI16" s="817"/>
      <c r="EJ16" s="817"/>
      <c r="EK16" s="817"/>
      <c r="EL16" s="817"/>
      <c r="EM16" s="817"/>
      <c r="EN16" s="817"/>
      <c r="EO16" s="817"/>
      <c r="EP16" s="817"/>
      <c r="EQ16" s="817"/>
      <c r="ER16" s="817"/>
      <c r="ES16" s="817"/>
      <c r="ET16" s="817"/>
      <c r="EU16" s="817"/>
      <c r="EV16" s="817"/>
      <c r="EW16" s="817"/>
      <c r="EX16" s="817"/>
      <c r="EY16" s="817"/>
      <c r="EZ16" s="817"/>
      <c r="FA16" s="817"/>
      <c r="FB16" s="817"/>
      <c r="FC16" s="817"/>
      <c r="FD16" s="817"/>
      <c r="FE16" s="817"/>
      <c r="FF16" s="817"/>
      <c r="FG16" s="817"/>
      <c r="FH16" s="817"/>
      <c r="FI16" s="817"/>
      <c r="FJ16" s="817"/>
      <c r="FK16" s="817"/>
      <c r="FL16" s="817"/>
      <c r="FM16" s="817"/>
      <c r="FN16" s="817"/>
      <c r="FO16" s="817"/>
      <c r="FP16" s="817"/>
      <c r="FQ16" s="817"/>
      <c r="FR16" s="817"/>
      <c r="FS16" s="817"/>
      <c r="FT16" s="817"/>
      <c r="FU16" s="817"/>
      <c r="FV16" s="817"/>
      <c r="FW16" s="817"/>
      <c r="FX16" s="817"/>
      <c r="FY16" s="817"/>
      <c r="FZ16" s="817"/>
      <c r="GA16" s="817"/>
      <c r="GB16" s="817"/>
      <c r="GC16" s="817"/>
      <c r="GD16" s="817"/>
      <c r="GE16" s="817"/>
      <c r="GF16" s="817"/>
      <c r="GG16" s="817"/>
      <c r="GH16" s="817"/>
      <c r="GI16" s="817"/>
      <c r="GJ16" s="817"/>
      <c r="GK16" s="817"/>
      <c r="GL16" s="817"/>
      <c r="GM16" s="817"/>
      <c r="GN16" s="817"/>
      <c r="GO16" s="817"/>
      <c r="GP16" s="817"/>
      <c r="GQ16" s="817"/>
      <c r="GR16" s="817"/>
      <c r="GS16" s="817"/>
      <c r="GT16" s="817"/>
      <c r="GU16" s="817"/>
      <c r="GV16" s="817"/>
      <c r="GW16" s="817"/>
      <c r="GX16" s="817"/>
      <c r="GY16" s="817"/>
      <c r="GZ16" s="817"/>
      <c r="HA16" s="817"/>
      <c r="HB16" s="817"/>
      <c r="HC16" s="817"/>
      <c r="HD16" s="817"/>
      <c r="HE16" s="817"/>
      <c r="HF16" s="817"/>
      <c r="HG16" s="817"/>
      <c r="HH16" s="817"/>
      <c r="HI16" s="817"/>
      <c r="HJ16" s="817"/>
      <c r="HK16" s="817"/>
      <c r="HL16" s="817"/>
      <c r="HM16" s="817"/>
      <c r="HN16" s="817"/>
      <c r="HO16" s="817"/>
      <c r="HP16" s="817"/>
      <c r="HQ16" s="817"/>
      <c r="HR16" s="817"/>
      <c r="HS16" s="817"/>
      <c r="HT16" s="817"/>
      <c r="HU16" s="817"/>
      <c r="HV16" s="817"/>
      <c r="HW16" s="817"/>
      <c r="HX16" s="817"/>
      <c r="HY16" s="817"/>
      <c r="HZ16" s="817"/>
      <c r="IA16" s="817"/>
      <c r="IB16" s="817"/>
      <c r="IC16" s="817"/>
      <c r="ID16" s="817"/>
      <c r="IE16" s="817"/>
      <c r="IF16" s="817"/>
      <c r="IG16" s="817"/>
      <c r="IH16" s="817"/>
      <c r="II16" s="817"/>
      <c r="IJ16" s="817"/>
      <c r="IK16" s="817"/>
      <c r="IL16" s="817"/>
      <c r="IM16" s="817"/>
      <c r="IN16" s="817"/>
      <c r="IO16" s="817"/>
      <c r="IP16" s="817"/>
      <c r="IQ16" s="817"/>
      <c r="IR16" s="817"/>
      <c r="IS16" s="817"/>
      <c r="IT16" s="817"/>
      <c r="IU16" s="817"/>
      <c r="IV16" s="817"/>
    </row>
    <row r="17" spans="1:256" ht="11.25" customHeight="1" thickBot="1">
      <c r="A17" s="845" t="s">
        <v>827</v>
      </c>
      <c r="B17" s="846">
        <v>4179</v>
      </c>
      <c r="C17" s="846">
        <v>4324</v>
      </c>
      <c r="D17" s="847">
        <v>4504</v>
      </c>
      <c r="E17" s="847">
        <v>4656</v>
      </c>
      <c r="F17" s="847">
        <v>4395</v>
      </c>
      <c r="G17" s="847">
        <v>4794.8999999999996</v>
      </c>
      <c r="H17" s="847">
        <v>3671.4</v>
      </c>
      <c r="I17" s="847">
        <v>4435.1000000000004</v>
      </c>
      <c r="J17" s="847">
        <v>4852.3</v>
      </c>
      <c r="K17" s="847">
        <v>4968.7</v>
      </c>
      <c r="L17" s="848">
        <v>4703.2</v>
      </c>
      <c r="M17" s="848">
        <v>4732.8999999999996</v>
      </c>
      <c r="N17" s="847">
        <v>4502.1000000000004</v>
      </c>
      <c r="O17" s="817"/>
      <c r="P17" s="817"/>
      <c r="Q17" s="817"/>
      <c r="R17" s="817"/>
      <c r="S17" s="817"/>
      <c r="T17" s="817"/>
      <c r="U17" s="817"/>
      <c r="V17" s="817"/>
      <c r="W17" s="817"/>
      <c r="X17" s="817"/>
      <c r="Y17" s="817"/>
      <c r="Z17" s="817"/>
      <c r="AA17" s="817"/>
      <c r="AB17" s="817"/>
      <c r="AC17" s="817"/>
      <c r="AD17" s="817"/>
      <c r="AE17" s="817"/>
      <c r="AF17" s="817"/>
      <c r="AG17" s="817"/>
      <c r="AH17" s="817"/>
      <c r="AI17" s="817"/>
      <c r="AJ17" s="817"/>
      <c r="AK17" s="817"/>
      <c r="AL17" s="817"/>
      <c r="AM17" s="817"/>
      <c r="AN17" s="817"/>
      <c r="AO17" s="817"/>
      <c r="AP17" s="817"/>
      <c r="AQ17" s="817"/>
      <c r="AR17" s="817"/>
      <c r="AS17" s="817"/>
      <c r="AT17" s="817"/>
      <c r="AU17" s="817"/>
      <c r="AV17" s="817"/>
      <c r="AW17" s="817"/>
      <c r="AX17" s="817"/>
      <c r="AY17" s="817"/>
      <c r="AZ17" s="817"/>
      <c r="BA17" s="817"/>
      <c r="BB17" s="817"/>
      <c r="BC17" s="817"/>
      <c r="BD17" s="817"/>
      <c r="BE17" s="817"/>
      <c r="BF17" s="817"/>
      <c r="BG17" s="817"/>
      <c r="BH17" s="817"/>
      <c r="BI17" s="817"/>
      <c r="BJ17" s="817"/>
      <c r="BK17" s="817"/>
      <c r="BL17" s="817"/>
      <c r="BM17" s="817"/>
      <c r="BN17" s="817"/>
      <c r="BO17" s="817"/>
      <c r="BP17" s="817"/>
      <c r="BQ17" s="817"/>
      <c r="BR17" s="817"/>
      <c r="BS17" s="817"/>
      <c r="BT17" s="817"/>
      <c r="BU17" s="817"/>
      <c r="BV17" s="817"/>
      <c r="BW17" s="817"/>
      <c r="BX17" s="817"/>
      <c r="BY17" s="817"/>
      <c r="BZ17" s="817"/>
      <c r="CA17" s="817"/>
      <c r="CB17" s="817"/>
      <c r="CC17" s="817"/>
      <c r="CD17" s="817"/>
      <c r="CE17" s="817"/>
      <c r="CF17" s="817"/>
      <c r="CG17" s="817"/>
      <c r="CH17" s="817"/>
      <c r="CI17" s="817"/>
      <c r="CJ17" s="817"/>
      <c r="CK17" s="817"/>
      <c r="CL17" s="817"/>
      <c r="CM17" s="817"/>
      <c r="CN17" s="817"/>
      <c r="CO17" s="817"/>
      <c r="CP17" s="817"/>
      <c r="CQ17" s="817"/>
      <c r="CR17" s="817"/>
      <c r="CS17" s="817"/>
      <c r="CT17" s="817"/>
      <c r="CU17" s="817"/>
      <c r="CV17" s="817"/>
      <c r="CW17" s="817"/>
      <c r="CX17" s="817"/>
      <c r="CY17" s="817"/>
      <c r="CZ17" s="817"/>
      <c r="DA17" s="817"/>
      <c r="DB17" s="817"/>
      <c r="DC17" s="817"/>
      <c r="DD17" s="817"/>
      <c r="DE17" s="817"/>
      <c r="DF17" s="817"/>
      <c r="DG17" s="817"/>
      <c r="DH17" s="817"/>
      <c r="DI17" s="817"/>
      <c r="DJ17" s="817"/>
      <c r="DK17" s="817"/>
      <c r="DL17" s="817"/>
      <c r="DM17" s="817"/>
      <c r="DN17" s="817"/>
      <c r="DO17" s="817"/>
      <c r="DP17" s="817"/>
      <c r="DQ17" s="817"/>
      <c r="DR17" s="817"/>
      <c r="DS17" s="817"/>
      <c r="DT17" s="817"/>
      <c r="DU17" s="817"/>
      <c r="DV17" s="817"/>
      <c r="DW17" s="817"/>
      <c r="DX17" s="817"/>
      <c r="DY17" s="817"/>
      <c r="DZ17" s="817"/>
      <c r="EA17" s="817"/>
      <c r="EB17" s="817"/>
      <c r="EC17" s="817"/>
      <c r="ED17" s="817"/>
      <c r="EE17" s="817"/>
      <c r="EF17" s="817"/>
      <c r="EG17" s="817"/>
      <c r="EH17" s="817"/>
      <c r="EI17" s="817"/>
      <c r="EJ17" s="817"/>
      <c r="EK17" s="817"/>
      <c r="EL17" s="817"/>
      <c r="EM17" s="817"/>
      <c r="EN17" s="817"/>
      <c r="EO17" s="817"/>
      <c r="EP17" s="817"/>
      <c r="EQ17" s="817"/>
      <c r="ER17" s="817"/>
      <c r="ES17" s="817"/>
      <c r="ET17" s="817"/>
      <c r="EU17" s="817"/>
      <c r="EV17" s="817"/>
      <c r="EW17" s="817"/>
      <c r="EX17" s="817"/>
      <c r="EY17" s="817"/>
      <c r="EZ17" s="817"/>
      <c r="FA17" s="817"/>
      <c r="FB17" s="817"/>
      <c r="FC17" s="817"/>
      <c r="FD17" s="817"/>
      <c r="FE17" s="817"/>
      <c r="FF17" s="817"/>
      <c r="FG17" s="817"/>
      <c r="FH17" s="817"/>
      <c r="FI17" s="817"/>
      <c r="FJ17" s="817"/>
      <c r="FK17" s="817"/>
      <c r="FL17" s="817"/>
      <c r="FM17" s="817"/>
      <c r="FN17" s="817"/>
      <c r="FO17" s="817"/>
      <c r="FP17" s="817"/>
      <c r="FQ17" s="817"/>
      <c r="FR17" s="817"/>
      <c r="FS17" s="817"/>
      <c r="FT17" s="817"/>
      <c r="FU17" s="817"/>
      <c r="FV17" s="817"/>
      <c r="FW17" s="817"/>
      <c r="FX17" s="817"/>
      <c r="FY17" s="817"/>
      <c r="FZ17" s="817"/>
      <c r="GA17" s="817"/>
      <c r="GB17" s="817"/>
      <c r="GC17" s="817"/>
      <c r="GD17" s="817"/>
      <c r="GE17" s="817"/>
      <c r="GF17" s="817"/>
      <c r="GG17" s="817"/>
      <c r="GH17" s="817"/>
      <c r="GI17" s="817"/>
      <c r="GJ17" s="817"/>
      <c r="GK17" s="817"/>
      <c r="GL17" s="817"/>
      <c r="GM17" s="817"/>
      <c r="GN17" s="817"/>
      <c r="GO17" s="817"/>
      <c r="GP17" s="817"/>
      <c r="GQ17" s="817"/>
      <c r="GR17" s="817"/>
      <c r="GS17" s="817"/>
      <c r="GT17" s="817"/>
      <c r="GU17" s="817"/>
      <c r="GV17" s="817"/>
      <c r="GW17" s="817"/>
      <c r="GX17" s="817"/>
      <c r="GY17" s="817"/>
      <c r="GZ17" s="817"/>
      <c r="HA17" s="817"/>
      <c r="HB17" s="817"/>
      <c r="HC17" s="817"/>
      <c r="HD17" s="817"/>
      <c r="HE17" s="817"/>
      <c r="HF17" s="817"/>
      <c r="HG17" s="817"/>
      <c r="HH17" s="817"/>
      <c r="HI17" s="817"/>
      <c r="HJ17" s="817"/>
      <c r="HK17" s="817"/>
      <c r="HL17" s="817"/>
      <c r="HM17" s="817"/>
      <c r="HN17" s="817"/>
      <c r="HO17" s="817"/>
      <c r="HP17" s="817"/>
      <c r="HQ17" s="817"/>
      <c r="HR17" s="817"/>
      <c r="HS17" s="817"/>
      <c r="HT17" s="817"/>
      <c r="HU17" s="817"/>
      <c r="HV17" s="817"/>
      <c r="HW17" s="817"/>
      <c r="HX17" s="817"/>
      <c r="HY17" s="817"/>
      <c r="HZ17" s="817"/>
      <c r="IA17" s="817"/>
      <c r="IB17" s="817"/>
      <c r="IC17" s="817"/>
      <c r="ID17" s="817"/>
      <c r="IE17" s="817"/>
      <c r="IF17" s="817"/>
      <c r="IG17" s="817"/>
      <c r="IH17" s="817"/>
      <c r="II17" s="817"/>
      <c r="IJ17" s="817"/>
      <c r="IK17" s="817"/>
      <c r="IL17" s="817"/>
      <c r="IM17" s="817"/>
      <c r="IN17" s="817"/>
      <c r="IO17" s="817"/>
      <c r="IP17" s="817"/>
      <c r="IQ17" s="817"/>
      <c r="IR17" s="817"/>
      <c r="IS17" s="817"/>
      <c r="IT17" s="817"/>
      <c r="IU17" s="817"/>
      <c r="IV17" s="817"/>
    </row>
    <row r="18" spans="1:256" ht="12" customHeight="1" thickTop="1">
      <c r="A18" s="818" t="s">
        <v>159</v>
      </c>
      <c r="B18" s="826"/>
      <c r="C18" s="826"/>
      <c r="D18" s="849"/>
      <c r="E18" s="849"/>
      <c r="F18" s="849"/>
      <c r="G18" s="849"/>
      <c r="H18" s="849"/>
      <c r="I18" s="849"/>
      <c r="J18" s="849"/>
      <c r="K18" s="849"/>
      <c r="L18" s="849"/>
      <c r="M18" s="849"/>
      <c r="N18" s="849"/>
      <c r="O18" s="817"/>
      <c r="P18" s="817"/>
      <c r="Q18" s="817"/>
      <c r="R18" s="817"/>
      <c r="S18" s="817"/>
      <c r="T18" s="817"/>
      <c r="U18" s="817"/>
      <c r="V18" s="817"/>
      <c r="W18" s="817"/>
      <c r="X18" s="817"/>
      <c r="Y18" s="817"/>
      <c r="Z18" s="817"/>
      <c r="AA18" s="817"/>
      <c r="AB18" s="817"/>
      <c r="AC18" s="817"/>
      <c r="AD18" s="817"/>
      <c r="AE18" s="817"/>
      <c r="AF18" s="817"/>
      <c r="AG18" s="817"/>
      <c r="AH18" s="817"/>
      <c r="AI18" s="817"/>
      <c r="AJ18" s="817"/>
      <c r="AK18" s="817"/>
      <c r="AL18" s="817"/>
      <c r="AM18" s="817"/>
      <c r="AN18" s="817"/>
      <c r="AO18" s="817"/>
      <c r="AP18" s="817"/>
      <c r="AQ18" s="817"/>
      <c r="AR18" s="817"/>
      <c r="AS18" s="817"/>
      <c r="AT18" s="817"/>
      <c r="AU18" s="817"/>
      <c r="AV18" s="817"/>
      <c r="AW18" s="817"/>
      <c r="AX18" s="817"/>
      <c r="AY18" s="817"/>
      <c r="AZ18" s="817"/>
      <c r="BA18" s="817"/>
      <c r="BB18" s="817"/>
      <c r="BC18" s="817"/>
      <c r="BD18" s="817"/>
      <c r="BE18" s="817"/>
      <c r="BF18" s="817"/>
      <c r="BG18" s="817"/>
      <c r="BH18" s="817"/>
      <c r="BI18" s="817"/>
      <c r="BJ18" s="817"/>
      <c r="BK18" s="817"/>
      <c r="BL18" s="817"/>
      <c r="BM18" s="817"/>
      <c r="BN18" s="817"/>
      <c r="BO18" s="817"/>
      <c r="BP18" s="817"/>
      <c r="BQ18" s="817"/>
      <c r="BR18" s="817"/>
      <c r="BS18" s="817"/>
      <c r="BT18" s="817"/>
      <c r="BU18" s="817"/>
      <c r="BV18" s="817"/>
      <c r="BW18" s="817"/>
      <c r="BX18" s="817"/>
      <c r="BY18" s="817"/>
      <c r="BZ18" s="817"/>
      <c r="CA18" s="817"/>
      <c r="CB18" s="817"/>
      <c r="CC18" s="817"/>
      <c r="CD18" s="817"/>
      <c r="CE18" s="817"/>
      <c r="CF18" s="817"/>
      <c r="CG18" s="817"/>
      <c r="CH18" s="817"/>
      <c r="CI18" s="817"/>
      <c r="CJ18" s="817"/>
      <c r="CK18" s="817"/>
      <c r="CL18" s="817"/>
      <c r="CM18" s="817"/>
      <c r="CN18" s="817"/>
      <c r="CO18" s="817"/>
      <c r="CP18" s="817"/>
      <c r="CQ18" s="817"/>
      <c r="CR18" s="817"/>
      <c r="CS18" s="817"/>
      <c r="CT18" s="817"/>
      <c r="CU18" s="817"/>
      <c r="CV18" s="817"/>
      <c r="CW18" s="817"/>
      <c r="CX18" s="817"/>
      <c r="CY18" s="817"/>
      <c r="CZ18" s="817"/>
      <c r="DA18" s="817"/>
      <c r="DB18" s="817"/>
      <c r="DC18" s="817"/>
      <c r="DD18" s="817"/>
      <c r="DE18" s="817"/>
      <c r="DF18" s="817"/>
      <c r="DG18" s="817"/>
      <c r="DH18" s="817"/>
      <c r="DI18" s="817"/>
      <c r="DJ18" s="817"/>
      <c r="DK18" s="817"/>
      <c r="DL18" s="817"/>
      <c r="DM18" s="817"/>
      <c r="DN18" s="817"/>
      <c r="DO18" s="817"/>
      <c r="DP18" s="817"/>
      <c r="DQ18" s="817"/>
      <c r="DR18" s="817"/>
      <c r="DS18" s="817"/>
      <c r="DT18" s="817"/>
      <c r="DU18" s="817"/>
      <c r="DV18" s="817"/>
      <c r="DW18" s="817"/>
      <c r="DX18" s="817"/>
      <c r="DY18" s="817"/>
      <c r="DZ18" s="817"/>
      <c r="EA18" s="817"/>
      <c r="EB18" s="817"/>
      <c r="EC18" s="817"/>
      <c r="ED18" s="817"/>
      <c r="EE18" s="817"/>
      <c r="EF18" s="817"/>
      <c r="EG18" s="817"/>
      <c r="EH18" s="817"/>
      <c r="EI18" s="817"/>
      <c r="EJ18" s="817"/>
      <c r="EK18" s="817"/>
      <c r="EL18" s="817"/>
      <c r="EM18" s="817"/>
      <c r="EN18" s="817"/>
      <c r="EO18" s="817"/>
      <c r="EP18" s="817"/>
      <c r="EQ18" s="817"/>
      <c r="ER18" s="817"/>
      <c r="ES18" s="817"/>
      <c r="ET18" s="817"/>
      <c r="EU18" s="817"/>
      <c r="EV18" s="817"/>
      <c r="EW18" s="817"/>
      <c r="EX18" s="817"/>
      <c r="EY18" s="817"/>
      <c r="EZ18" s="817"/>
      <c r="FA18" s="817"/>
      <c r="FB18" s="817"/>
      <c r="FC18" s="817"/>
      <c r="FD18" s="817"/>
      <c r="FE18" s="817"/>
      <c r="FF18" s="817"/>
      <c r="FG18" s="817"/>
      <c r="FH18" s="817"/>
      <c r="FI18" s="817"/>
      <c r="FJ18" s="817"/>
      <c r="FK18" s="817"/>
      <c r="FL18" s="817"/>
      <c r="FM18" s="817"/>
      <c r="FN18" s="817"/>
      <c r="FO18" s="817"/>
      <c r="FP18" s="817"/>
      <c r="FQ18" s="817"/>
      <c r="FR18" s="817"/>
      <c r="FS18" s="817"/>
      <c r="FT18" s="817"/>
      <c r="FU18" s="817"/>
      <c r="FV18" s="817"/>
      <c r="FW18" s="817"/>
      <c r="FX18" s="817"/>
      <c r="FY18" s="817"/>
      <c r="FZ18" s="817"/>
      <c r="GA18" s="817"/>
      <c r="GB18" s="817"/>
      <c r="GC18" s="817"/>
      <c r="GD18" s="817"/>
      <c r="GE18" s="817"/>
      <c r="GF18" s="817"/>
      <c r="GG18" s="817"/>
      <c r="GH18" s="817"/>
      <c r="GI18" s="817"/>
      <c r="GJ18" s="817"/>
      <c r="GK18" s="817"/>
      <c r="GL18" s="817"/>
      <c r="GM18" s="817"/>
      <c r="GN18" s="817"/>
      <c r="GO18" s="817"/>
      <c r="GP18" s="817"/>
      <c r="GQ18" s="817"/>
      <c r="GR18" s="817"/>
      <c r="GS18" s="817"/>
      <c r="GT18" s="817"/>
      <c r="GU18" s="817"/>
      <c r="GV18" s="817"/>
      <c r="GW18" s="817"/>
      <c r="GX18" s="817"/>
      <c r="GY18" s="817"/>
      <c r="GZ18" s="817"/>
      <c r="HA18" s="817"/>
      <c r="HB18" s="817"/>
      <c r="HC18" s="817"/>
      <c r="HD18" s="817"/>
      <c r="HE18" s="817"/>
      <c r="HF18" s="817"/>
      <c r="HG18" s="817"/>
      <c r="HH18" s="817"/>
      <c r="HI18" s="817"/>
      <c r="HJ18" s="817"/>
      <c r="HK18" s="817"/>
      <c r="HL18" s="817"/>
      <c r="HM18" s="817"/>
      <c r="HN18" s="817"/>
      <c r="HO18" s="817"/>
      <c r="HP18" s="817"/>
      <c r="HQ18" s="817"/>
      <c r="HR18" s="817"/>
      <c r="HS18" s="817"/>
      <c r="HT18" s="817"/>
      <c r="HU18" s="817"/>
      <c r="HV18" s="817"/>
      <c r="HW18" s="817"/>
      <c r="HX18" s="817"/>
      <c r="HY18" s="817"/>
      <c r="HZ18" s="817"/>
      <c r="IA18" s="817"/>
      <c r="IB18" s="817"/>
      <c r="IC18" s="817"/>
      <c r="ID18" s="817"/>
      <c r="IE18" s="817"/>
      <c r="IF18" s="817"/>
      <c r="IG18" s="817"/>
      <c r="IH18" s="817"/>
      <c r="II18" s="817"/>
      <c r="IJ18" s="817"/>
      <c r="IK18" s="817"/>
      <c r="IL18" s="817"/>
      <c r="IM18" s="817"/>
      <c r="IN18" s="817"/>
      <c r="IO18" s="817"/>
      <c r="IP18" s="817"/>
      <c r="IQ18" s="817"/>
      <c r="IR18" s="817"/>
      <c r="IS18" s="817"/>
      <c r="IT18" s="817"/>
      <c r="IU18" s="817"/>
      <c r="IV18" s="817"/>
    </row>
    <row r="19" spans="1:256" ht="10.5" customHeight="1">
      <c r="A19" s="803" t="s">
        <v>455</v>
      </c>
      <c r="B19" s="826">
        <v>311</v>
      </c>
      <c r="C19" s="826">
        <v>278.7</v>
      </c>
      <c r="D19" s="827">
        <v>195</v>
      </c>
      <c r="E19" s="827">
        <v>119.2</v>
      </c>
      <c r="F19" s="827">
        <v>71.2</v>
      </c>
      <c r="G19" s="827">
        <v>155.30000000000001</v>
      </c>
      <c r="H19" s="827">
        <v>145.19999999999999</v>
      </c>
      <c r="I19" s="827">
        <v>160.19999999999999</v>
      </c>
      <c r="J19" s="827">
        <v>113</v>
      </c>
      <c r="K19" s="827">
        <v>109.2</v>
      </c>
      <c r="L19" s="850">
        <v>110.5</v>
      </c>
      <c r="M19" s="850">
        <v>111.9</v>
      </c>
      <c r="N19" s="827">
        <v>112.6</v>
      </c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817"/>
      <c r="AB19" s="817"/>
      <c r="AC19" s="817"/>
      <c r="AD19" s="817"/>
      <c r="AE19" s="817"/>
      <c r="AF19" s="817"/>
      <c r="AG19" s="817"/>
      <c r="AH19" s="817"/>
      <c r="AI19" s="817"/>
      <c r="AJ19" s="817"/>
      <c r="AK19" s="817"/>
      <c r="AL19" s="817"/>
      <c r="AM19" s="817"/>
      <c r="AN19" s="817"/>
      <c r="AO19" s="817"/>
      <c r="AP19" s="817"/>
      <c r="AQ19" s="817"/>
      <c r="AR19" s="817"/>
      <c r="AS19" s="817"/>
      <c r="AT19" s="817"/>
      <c r="AU19" s="817"/>
      <c r="AV19" s="817"/>
      <c r="AW19" s="817"/>
      <c r="AX19" s="817"/>
      <c r="AY19" s="817"/>
      <c r="AZ19" s="817"/>
      <c r="BA19" s="817"/>
      <c r="BB19" s="817"/>
      <c r="BC19" s="817"/>
      <c r="BD19" s="817"/>
      <c r="BE19" s="817"/>
      <c r="BF19" s="817"/>
      <c r="BG19" s="817"/>
      <c r="BH19" s="817"/>
      <c r="BI19" s="817"/>
      <c r="BJ19" s="817"/>
      <c r="BK19" s="817"/>
      <c r="BL19" s="817"/>
      <c r="BM19" s="817"/>
      <c r="BN19" s="817"/>
      <c r="BO19" s="817"/>
      <c r="BP19" s="817"/>
      <c r="BQ19" s="817"/>
      <c r="BR19" s="817"/>
      <c r="BS19" s="817"/>
      <c r="BT19" s="817"/>
      <c r="BU19" s="817"/>
      <c r="BV19" s="817"/>
      <c r="BW19" s="817"/>
      <c r="BX19" s="817"/>
      <c r="BY19" s="817"/>
      <c r="BZ19" s="817"/>
      <c r="CA19" s="817"/>
      <c r="CB19" s="817"/>
      <c r="CC19" s="817"/>
      <c r="CD19" s="817"/>
      <c r="CE19" s="817"/>
      <c r="CF19" s="817"/>
      <c r="CG19" s="817"/>
      <c r="CH19" s="817"/>
      <c r="CI19" s="817"/>
      <c r="CJ19" s="817"/>
      <c r="CK19" s="817"/>
      <c r="CL19" s="817"/>
      <c r="CM19" s="817"/>
      <c r="CN19" s="817"/>
      <c r="CO19" s="817"/>
      <c r="CP19" s="817"/>
      <c r="CQ19" s="817"/>
      <c r="CR19" s="817"/>
      <c r="CS19" s="817"/>
      <c r="CT19" s="817"/>
      <c r="CU19" s="817"/>
      <c r="CV19" s="817"/>
      <c r="CW19" s="817"/>
      <c r="CX19" s="817"/>
      <c r="CY19" s="817"/>
      <c r="CZ19" s="817"/>
      <c r="DA19" s="817"/>
      <c r="DB19" s="817"/>
      <c r="DC19" s="817"/>
      <c r="DD19" s="817"/>
      <c r="DE19" s="817"/>
      <c r="DF19" s="817"/>
      <c r="DG19" s="817"/>
      <c r="DH19" s="817"/>
      <c r="DI19" s="817"/>
      <c r="DJ19" s="817"/>
      <c r="DK19" s="817"/>
      <c r="DL19" s="817"/>
      <c r="DM19" s="817"/>
      <c r="DN19" s="817"/>
      <c r="DO19" s="817"/>
      <c r="DP19" s="817"/>
      <c r="DQ19" s="817"/>
      <c r="DR19" s="817"/>
      <c r="DS19" s="817"/>
      <c r="DT19" s="817"/>
      <c r="DU19" s="817"/>
      <c r="DV19" s="817"/>
      <c r="DW19" s="817"/>
      <c r="DX19" s="817"/>
      <c r="DY19" s="817"/>
      <c r="DZ19" s="817"/>
      <c r="EA19" s="817"/>
      <c r="EB19" s="817"/>
      <c r="EC19" s="817"/>
      <c r="ED19" s="817"/>
      <c r="EE19" s="817"/>
      <c r="EF19" s="817"/>
      <c r="EG19" s="817"/>
      <c r="EH19" s="817"/>
      <c r="EI19" s="817"/>
      <c r="EJ19" s="817"/>
      <c r="EK19" s="817"/>
      <c r="EL19" s="817"/>
      <c r="EM19" s="817"/>
      <c r="EN19" s="817"/>
      <c r="EO19" s="817"/>
      <c r="EP19" s="817"/>
      <c r="EQ19" s="817"/>
      <c r="ER19" s="817"/>
      <c r="ES19" s="817"/>
      <c r="ET19" s="817"/>
      <c r="EU19" s="817"/>
      <c r="EV19" s="817"/>
      <c r="EW19" s="817"/>
      <c r="EX19" s="817"/>
      <c r="EY19" s="817"/>
      <c r="EZ19" s="817"/>
      <c r="FA19" s="817"/>
      <c r="FB19" s="817"/>
      <c r="FC19" s="817"/>
      <c r="FD19" s="817"/>
      <c r="FE19" s="817"/>
      <c r="FF19" s="817"/>
      <c r="FG19" s="817"/>
      <c r="FH19" s="817"/>
      <c r="FI19" s="817"/>
      <c r="FJ19" s="817"/>
      <c r="FK19" s="817"/>
      <c r="FL19" s="817"/>
      <c r="FM19" s="817"/>
      <c r="FN19" s="817"/>
      <c r="FO19" s="817"/>
      <c r="FP19" s="817"/>
      <c r="FQ19" s="817"/>
      <c r="FR19" s="817"/>
      <c r="FS19" s="817"/>
      <c r="FT19" s="817"/>
      <c r="FU19" s="817"/>
      <c r="FV19" s="817"/>
      <c r="FW19" s="817"/>
      <c r="FX19" s="817"/>
      <c r="FY19" s="817"/>
      <c r="FZ19" s="817"/>
      <c r="GA19" s="817"/>
      <c r="GB19" s="817"/>
      <c r="GC19" s="817"/>
      <c r="GD19" s="817"/>
      <c r="GE19" s="817"/>
      <c r="GF19" s="817"/>
      <c r="GG19" s="817"/>
      <c r="GH19" s="817"/>
      <c r="GI19" s="817"/>
      <c r="GJ19" s="817"/>
      <c r="GK19" s="817"/>
      <c r="GL19" s="817"/>
      <c r="GM19" s="817"/>
      <c r="GN19" s="817"/>
      <c r="GO19" s="817"/>
      <c r="GP19" s="817"/>
      <c r="GQ19" s="817"/>
      <c r="GR19" s="817"/>
      <c r="GS19" s="817"/>
      <c r="GT19" s="817"/>
      <c r="GU19" s="817"/>
      <c r="GV19" s="817"/>
      <c r="GW19" s="817"/>
      <c r="GX19" s="817"/>
      <c r="GY19" s="817"/>
      <c r="GZ19" s="817"/>
      <c r="HA19" s="817"/>
      <c r="HB19" s="817"/>
      <c r="HC19" s="817"/>
      <c r="HD19" s="817"/>
      <c r="HE19" s="817"/>
      <c r="HF19" s="817"/>
      <c r="HG19" s="817"/>
      <c r="HH19" s="817"/>
      <c r="HI19" s="817"/>
      <c r="HJ19" s="817"/>
      <c r="HK19" s="817"/>
      <c r="HL19" s="817"/>
      <c r="HM19" s="817"/>
      <c r="HN19" s="817"/>
      <c r="HO19" s="817"/>
      <c r="HP19" s="817"/>
      <c r="HQ19" s="817"/>
      <c r="HR19" s="817"/>
      <c r="HS19" s="817"/>
      <c r="HT19" s="817"/>
      <c r="HU19" s="817"/>
      <c r="HV19" s="817"/>
      <c r="HW19" s="817"/>
      <c r="HX19" s="817"/>
      <c r="HY19" s="817"/>
      <c r="HZ19" s="817"/>
      <c r="IA19" s="817"/>
      <c r="IB19" s="817"/>
      <c r="IC19" s="817"/>
      <c r="ID19" s="817"/>
      <c r="IE19" s="817"/>
      <c r="IF19" s="817"/>
      <c r="IG19" s="817"/>
      <c r="IH19" s="817"/>
      <c r="II19" s="817"/>
      <c r="IJ19" s="817"/>
      <c r="IK19" s="817"/>
      <c r="IL19" s="817"/>
      <c r="IM19" s="817"/>
      <c r="IN19" s="817"/>
      <c r="IO19" s="817"/>
      <c r="IP19" s="817"/>
      <c r="IQ19" s="817"/>
      <c r="IR19" s="817"/>
      <c r="IS19" s="817"/>
      <c r="IT19" s="817"/>
      <c r="IU19" s="817"/>
      <c r="IV19" s="817"/>
    </row>
    <row r="20" spans="1:256" ht="10.5" customHeight="1">
      <c r="A20" s="803" t="s">
        <v>820</v>
      </c>
      <c r="B20" s="826">
        <v>813.8</v>
      </c>
      <c r="C20" s="826">
        <v>918.2</v>
      </c>
      <c r="D20" s="827">
        <v>974.4</v>
      </c>
      <c r="E20" s="827">
        <v>869</v>
      </c>
      <c r="F20" s="827">
        <v>1079.2</v>
      </c>
      <c r="G20" s="827">
        <v>867.6</v>
      </c>
      <c r="H20" s="827">
        <v>968.3</v>
      </c>
      <c r="I20" s="827">
        <v>937.8</v>
      </c>
      <c r="J20" s="827">
        <v>883.9</v>
      </c>
      <c r="K20" s="827">
        <v>899.9</v>
      </c>
      <c r="L20" s="850">
        <v>717.7</v>
      </c>
      <c r="M20" s="850">
        <v>723.3</v>
      </c>
      <c r="N20" s="827">
        <v>759.8</v>
      </c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  <c r="AA20" s="817"/>
      <c r="AB20" s="817"/>
      <c r="AC20" s="817"/>
      <c r="AD20" s="817"/>
      <c r="AE20" s="817"/>
      <c r="AF20" s="817"/>
      <c r="AG20" s="817"/>
      <c r="AH20" s="817"/>
      <c r="AI20" s="817"/>
      <c r="AJ20" s="817"/>
      <c r="AK20" s="817"/>
      <c r="AL20" s="817"/>
      <c r="AM20" s="817"/>
      <c r="AN20" s="817"/>
      <c r="AO20" s="817"/>
      <c r="AP20" s="817"/>
      <c r="AQ20" s="817"/>
      <c r="AR20" s="817"/>
      <c r="AS20" s="817"/>
      <c r="AT20" s="817"/>
      <c r="AU20" s="817"/>
      <c r="AV20" s="817"/>
      <c r="AW20" s="817"/>
      <c r="AX20" s="817"/>
      <c r="AY20" s="817"/>
      <c r="AZ20" s="817"/>
      <c r="BA20" s="817"/>
      <c r="BB20" s="817"/>
      <c r="BC20" s="817"/>
      <c r="BD20" s="817"/>
      <c r="BE20" s="817"/>
      <c r="BF20" s="817"/>
      <c r="BG20" s="817"/>
      <c r="BH20" s="817"/>
      <c r="BI20" s="817"/>
      <c r="BJ20" s="817"/>
      <c r="BK20" s="817"/>
      <c r="BL20" s="817"/>
      <c r="BM20" s="817"/>
      <c r="BN20" s="817"/>
      <c r="BO20" s="817"/>
      <c r="BP20" s="817"/>
      <c r="BQ20" s="817"/>
      <c r="BR20" s="817"/>
      <c r="BS20" s="817"/>
      <c r="BT20" s="817"/>
      <c r="BU20" s="817"/>
      <c r="BV20" s="817"/>
      <c r="BW20" s="817"/>
      <c r="BX20" s="817"/>
      <c r="BY20" s="817"/>
      <c r="BZ20" s="817"/>
      <c r="CA20" s="817"/>
      <c r="CB20" s="817"/>
      <c r="CC20" s="817"/>
      <c r="CD20" s="817"/>
      <c r="CE20" s="817"/>
      <c r="CF20" s="817"/>
      <c r="CG20" s="817"/>
      <c r="CH20" s="817"/>
      <c r="CI20" s="817"/>
      <c r="CJ20" s="817"/>
      <c r="CK20" s="817"/>
      <c r="CL20" s="817"/>
      <c r="CM20" s="817"/>
      <c r="CN20" s="817"/>
      <c r="CO20" s="817"/>
      <c r="CP20" s="817"/>
      <c r="CQ20" s="817"/>
      <c r="CR20" s="817"/>
      <c r="CS20" s="817"/>
      <c r="CT20" s="817"/>
      <c r="CU20" s="817"/>
      <c r="CV20" s="817"/>
      <c r="CW20" s="817"/>
      <c r="CX20" s="817"/>
      <c r="CY20" s="817"/>
      <c r="CZ20" s="817"/>
      <c r="DA20" s="817"/>
      <c r="DB20" s="817"/>
      <c r="DC20" s="817"/>
      <c r="DD20" s="817"/>
      <c r="DE20" s="817"/>
      <c r="DF20" s="817"/>
      <c r="DG20" s="817"/>
      <c r="DH20" s="817"/>
      <c r="DI20" s="817"/>
      <c r="DJ20" s="817"/>
      <c r="DK20" s="817"/>
      <c r="DL20" s="817"/>
      <c r="DM20" s="817"/>
      <c r="DN20" s="817"/>
      <c r="DO20" s="817"/>
      <c r="DP20" s="817"/>
      <c r="DQ20" s="817"/>
      <c r="DR20" s="817"/>
      <c r="DS20" s="817"/>
      <c r="DT20" s="817"/>
      <c r="DU20" s="817"/>
      <c r="DV20" s="817"/>
      <c r="DW20" s="817"/>
      <c r="DX20" s="817"/>
      <c r="DY20" s="817"/>
      <c r="DZ20" s="817"/>
      <c r="EA20" s="817"/>
      <c r="EB20" s="817"/>
      <c r="EC20" s="817"/>
      <c r="ED20" s="817"/>
      <c r="EE20" s="817"/>
      <c r="EF20" s="817"/>
      <c r="EG20" s="817"/>
      <c r="EH20" s="817"/>
      <c r="EI20" s="817"/>
      <c r="EJ20" s="817"/>
      <c r="EK20" s="817"/>
      <c r="EL20" s="817"/>
      <c r="EM20" s="817"/>
      <c r="EN20" s="817"/>
      <c r="EO20" s="817"/>
      <c r="EP20" s="817"/>
      <c r="EQ20" s="817"/>
      <c r="ER20" s="817"/>
      <c r="ES20" s="817"/>
      <c r="ET20" s="817"/>
      <c r="EU20" s="817"/>
      <c r="EV20" s="817"/>
      <c r="EW20" s="817"/>
      <c r="EX20" s="817"/>
      <c r="EY20" s="817"/>
      <c r="EZ20" s="817"/>
      <c r="FA20" s="817"/>
      <c r="FB20" s="817"/>
      <c r="FC20" s="817"/>
      <c r="FD20" s="817"/>
      <c r="FE20" s="817"/>
      <c r="FF20" s="817"/>
      <c r="FG20" s="817"/>
      <c r="FH20" s="817"/>
      <c r="FI20" s="817"/>
      <c r="FJ20" s="817"/>
      <c r="FK20" s="817"/>
      <c r="FL20" s="817"/>
      <c r="FM20" s="817"/>
      <c r="FN20" s="817"/>
      <c r="FO20" s="817"/>
      <c r="FP20" s="817"/>
      <c r="FQ20" s="817"/>
      <c r="FR20" s="817"/>
      <c r="FS20" s="817"/>
      <c r="FT20" s="817"/>
      <c r="FU20" s="817"/>
      <c r="FV20" s="817"/>
      <c r="FW20" s="817"/>
      <c r="FX20" s="817"/>
      <c r="FY20" s="817"/>
      <c r="FZ20" s="817"/>
      <c r="GA20" s="817"/>
      <c r="GB20" s="817"/>
      <c r="GC20" s="817"/>
      <c r="GD20" s="817"/>
      <c r="GE20" s="817"/>
      <c r="GF20" s="817"/>
      <c r="GG20" s="817"/>
      <c r="GH20" s="817"/>
      <c r="GI20" s="817"/>
      <c r="GJ20" s="817"/>
      <c r="GK20" s="817"/>
      <c r="GL20" s="817"/>
      <c r="GM20" s="817"/>
      <c r="GN20" s="817"/>
      <c r="GO20" s="817"/>
      <c r="GP20" s="817"/>
      <c r="GQ20" s="817"/>
      <c r="GR20" s="817"/>
      <c r="GS20" s="817"/>
      <c r="GT20" s="817"/>
      <c r="GU20" s="817"/>
      <c r="GV20" s="817"/>
      <c r="GW20" s="817"/>
      <c r="GX20" s="817"/>
      <c r="GY20" s="817"/>
      <c r="GZ20" s="817"/>
      <c r="HA20" s="817"/>
      <c r="HB20" s="817"/>
      <c r="HC20" s="817"/>
      <c r="HD20" s="817"/>
      <c r="HE20" s="817"/>
      <c r="HF20" s="817"/>
      <c r="HG20" s="817"/>
      <c r="HH20" s="817"/>
      <c r="HI20" s="817"/>
      <c r="HJ20" s="817"/>
      <c r="HK20" s="817"/>
      <c r="HL20" s="817"/>
      <c r="HM20" s="817"/>
      <c r="HN20" s="817"/>
      <c r="HO20" s="817"/>
      <c r="HP20" s="817"/>
      <c r="HQ20" s="817"/>
      <c r="HR20" s="817"/>
      <c r="HS20" s="817"/>
      <c r="HT20" s="817"/>
      <c r="HU20" s="817"/>
      <c r="HV20" s="817"/>
      <c r="HW20" s="817"/>
      <c r="HX20" s="817"/>
      <c r="HY20" s="817"/>
      <c r="HZ20" s="817"/>
      <c r="IA20" s="817"/>
      <c r="IB20" s="817"/>
      <c r="IC20" s="817"/>
      <c r="ID20" s="817"/>
      <c r="IE20" s="817"/>
      <c r="IF20" s="817"/>
      <c r="IG20" s="817"/>
      <c r="IH20" s="817"/>
      <c r="II20" s="817"/>
      <c r="IJ20" s="817"/>
      <c r="IK20" s="817"/>
      <c r="IL20" s="817"/>
      <c r="IM20" s="817"/>
      <c r="IN20" s="817"/>
      <c r="IO20" s="817"/>
      <c r="IP20" s="817"/>
      <c r="IQ20" s="817"/>
      <c r="IR20" s="817"/>
      <c r="IS20" s="817"/>
      <c r="IT20" s="817"/>
      <c r="IU20" s="817"/>
      <c r="IV20" s="817"/>
    </row>
    <row r="21" spans="1:256" ht="10.5" customHeight="1">
      <c r="A21" s="803" t="s">
        <v>821</v>
      </c>
      <c r="B21" s="826">
        <v>134.19999999999999</v>
      </c>
      <c r="C21" s="826">
        <v>112.8</v>
      </c>
      <c r="D21" s="827">
        <v>174.4</v>
      </c>
      <c r="E21" s="827">
        <v>132.30000000000001</v>
      </c>
      <c r="F21" s="827">
        <v>56</v>
      </c>
      <c r="G21" s="827">
        <v>53.2</v>
      </c>
      <c r="H21" s="827">
        <v>29.5</v>
      </c>
      <c r="I21" s="827">
        <v>7.3</v>
      </c>
      <c r="J21" s="827">
        <v>14.1</v>
      </c>
      <c r="K21" s="827">
        <v>19.899999999999999</v>
      </c>
      <c r="L21" s="851">
        <v>15.2</v>
      </c>
      <c r="M21" s="850">
        <v>14</v>
      </c>
      <c r="N21" s="827">
        <v>10.9</v>
      </c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817"/>
      <c r="AB21" s="817"/>
      <c r="AC21" s="817"/>
      <c r="AD21" s="817"/>
      <c r="AE21" s="817"/>
      <c r="AF21" s="817"/>
      <c r="AG21" s="817"/>
      <c r="AH21" s="817"/>
      <c r="AI21" s="817"/>
      <c r="AJ21" s="817"/>
      <c r="AK21" s="817"/>
      <c r="AL21" s="817"/>
      <c r="AM21" s="817"/>
      <c r="AN21" s="817"/>
      <c r="AO21" s="817"/>
      <c r="AP21" s="817"/>
      <c r="AQ21" s="817"/>
      <c r="AR21" s="817"/>
      <c r="AS21" s="817"/>
      <c r="AT21" s="817"/>
      <c r="AU21" s="817"/>
      <c r="AV21" s="817"/>
      <c r="AW21" s="817"/>
      <c r="AX21" s="817"/>
      <c r="AY21" s="817"/>
      <c r="AZ21" s="817"/>
      <c r="BA21" s="817"/>
      <c r="BB21" s="817"/>
      <c r="BC21" s="817"/>
      <c r="BD21" s="817"/>
      <c r="BE21" s="817"/>
      <c r="BF21" s="817"/>
      <c r="BG21" s="817"/>
      <c r="BH21" s="817"/>
      <c r="BI21" s="817"/>
      <c r="BJ21" s="817"/>
      <c r="BK21" s="817"/>
      <c r="BL21" s="817"/>
      <c r="BM21" s="817"/>
      <c r="BN21" s="817"/>
      <c r="BO21" s="817"/>
      <c r="BP21" s="817"/>
      <c r="BQ21" s="817"/>
      <c r="BR21" s="817"/>
      <c r="BS21" s="817"/>
      <c r="BT21" s="817"/>
      <c r="BU21" s="817"/>
      <c r="BV21" s="817"/>
      <c r="BW21" s="817"/>
      <c r="BX21" s="817"/>
      <c r="BY21" s="817"/>
      <c r="BZ21" s="817"/>
      <c r="CA21" s="817"/>
      <c r="CB21" s="817"/>
      <c r="CC21" s="817"/>
      <c r="CD21" s="817"/>
      <c r="CE21" s="817"/>
      <c r="CF21" s="817"/>
      <c r="CG21" s="817"/>
      <c r="CH21" s="817"/>
      <c r="CI21" s="817"/>
      <c r="CJ21" s="817"/>
      <c r="CK21" s="817"/>
      <c r="CL21" s="817"/>
      <c r="CM21" s="817"/>
      <c r="CN21" s="817"/>
      <c r="CO21" s="817"/>
      <c r="CP21" s="817"/>
      <c r="CQ21" s="817"/>
      <c r="CR21" s="817"/>
      <c r="CS21" s="817"/>
      <c r="CT21" s="817"/>
      <c r="CU21" s="817"/>
      <c r="CV21" s="817"/>
      <c r="CW21" s="817"/>
      <c r="CX21" s="817"/>
      <c r="CY21" s="817"/>
      <c r="CZ21" s="817"/>
      <c r="DA21" s="817"/>
      <c r="DB21" s="817"/>
      <c r="DC21" s="817"/>
      <c r="DD21" s="817"/>
      <c r="DE21" s="817"/>
      <c r="DF21" s="817"/>
      <c r="DG21" s="817"/>
      <c r="DH21" s="817"/>
      <c r="DI21" s="817"/>
      <c r="DJ21" s="817"/>
      <c r="DK21" s="817"/>
      <c r="DL21" s="817"/>
      <c r="DM21" s="817"/>
      <c r="DN21" s="817"/>
      <c r="DO21" s="817"/>
      <c r="DP21" s="817"/>
      <c r="DQ21" s="817"/>
      <c r="DR21" s="817"/>
      <c r="DS21" s="817"/>
      <c r="DT21" s="817"/>
      <c r="DU21" s="817"/>
      <c r="DV21" s="817"/>
      <c r="DW21" s="817"/>
      <c r="DX21" s="817"/>
      <c r="DY21" s="817"/>
      <c r="DZ21" s="817"/>
      <c r="EA21" s="817"/>
      <c r="EB21" s="817"/>
      <c r="EC21" s="817"/>
      <c r="ED21" s="817"/>
      <c r="EE21" s="817"/>
      <c r="EF21" s="817"/>
      <c r="EG21" s="817"/>
      <c r="EH21" s="817"/>
      <c r="EI21" s="817"/>
      <c r="EJ21" s="817"/>
      <c r="EK21" s="817"/>
      <c r="EL21" s="817"/>
      <c r="EM21" s="817"/>
      <c r="EN21" s="817"/>
      <c r="EO21" s="817"/>
      <c r="EP21" s="817"/>
      <c r="EQ21" s="817"/>
      <c r="ER21" s="817"/>
      <c r="ES21" s="817"/>
      <c r="ET21" s="817"/>
      <c r="EU21" s="817"/>
      <c r="EV21" s="817"/>
      <c r="EW21" s="817"/>
      <c r="EX21" s="817"/>
      <c r="EY21" s="817"/>
      <c r="EZ21" s="817"/>
      <c r="FA21" s="817"/>
      <c r="FB21" s="817"/>
      <c r="FC21" s="817"/>
      <c r="FD21" s="817"/>
      <c r="FE21" s="817"/>
      <c r="FF21" s="817"/>
      <c r="FG21" s="817"/>
      <c r="FH21" s="817"/>
      <c r="FI21" s="817"/>
      <c r="FJ21" s="817"/>
      <c r="FK21" s="817"/>
      <c r="FL21" s="817"/>
      <c r="FM21" s="817"/>
      <c r="FN21" s="817"/>
      <c r="FO21" s="817"/>
      <c r="FP21" s="817"/>
      <c r="FQ21" s="817"/>
      <c r="FR21" s="817"/>
      <c r="FS21" s="817"/>
      <c r="FT21" s="817"/>
      <c r="FU21" s="817"/>
      <c r="FV21" s="817"/>
      <c r="FW21" s="817"/>
      <c r="FX21" s="817"/>
      <c r="FY21" s="817"/>
      <c r="FZ21" s="817"/>
      <c r="GA21" s="817"/>
      <c r="GB21" s="817"/>
      <c r="GC21" s="817"/>
      <c r="GD21" s="817"/>
      <c r="GE21" s="817"/>
      <c r="GF21" s="817"/>
      <c r="GG21" s="817"/>
      <c r="GH21" s="817"/>
      <c r="GI21" s="817"/>
      <c r="GJ21" s="817"/>
      <c r="GK21" s="817"/>
      <c r="GL21" s="817"/>
      <c r="GM21" s="817"/>
      <c r="GN21" s="817"/>
      <c r="GO21" s="817"/>
      <c r="GP21" s="817"/>
      <c r="GQ21" s="817"/>
      <c r="GR21" s="817"/>
      <c r="GS21" s="817"/>
      <c r="GT21" s="817"/>
      <c r="GU21" s="817"/>
      <c r="GV21" s="817"/>
      <c r="GW21" s="817"/>
      <c r="GX21" s="817"/>
      <c r="GY21" s="817"/>
      <c r="GZ21" s="817"/>
      <c r="HA21" s="817"/>
      <c r="HB21" s="817"/>
      <c r="HC21" s="817"/>
      <c r="HD21" s="817"/>
      <c r="HE21" s="817"/>
      <c r="HF21" s="817"/>
      <c r="HG21" s="817"/>
      <c r="HH21" s="817"/>
      <c r="HI21" s="817"/>
      <c r="HJ21" s="817"/>
      <c r="HK21" s="817"/>
      <c r="HL21" s="817"/>
      <c r="HM21" s="817"/>
      <c r="HN21" s="817"/>
      <c r="HO21" s="817"/>
      <c r="HP21" s="817"/>
      <c r="HQ21" s="817"/>
      <c r="HR21" s="817"/>
      <c r="HS21" s="817"/>
      <c r="HT21" s="817"/>
      <c r="HU21" s="817"/>
      <c r="HV21" s="817"/>
      <c r="HW21" s="817"/>
      <c r="HX21" s="817"/>
      <c r="HY21" s="817"/>
      <c r="HZ21" s="817"/>
      <c r="IA21" s="817"/>
      <c r="IB21" s="817"/>
      <c r="IC21" s="817"/>
      <c r="ID21" s="817"/>
      <c r="IE21" s="817"/>
      <c r="IF21" s="817"/>
      <c r="IG21" s="817"/>
      <c r="IH21" s="817"/>
      <c r="II21" s="817"/>
      <c r="IJ21" s="817"/>
      <c r="IK21" s="817"/>
      <c r="IL21" s="817"/>
      <c r="IM21" s="817"/>
      <c r="IN21" s="817"/>
      <c r="IO21" s="817"/>
      <c r="IP21" s="817"/>
      <c r="IQ21" s="817"/>
      <c r="IR21" s="817"/>
      <c r="IS21" s="817"/>
      <c r="IT21" s="817"/>
      <c r="IU21" s="817"/>
      <c r="IV21" s="817"/>
    </row>
    <row r="22" spans="1:256" ht="10.5" customHeight="1">
      <c r="A22" s="852" t="s">
        <v>822</v>
      </c>
      <c r="B22" s="841">
        <v>352.4</v>
      </c>
      <c r="C22" s="841">
        <v>352.3</v>
      </c>
      <c r="D22" s="842">
        <v>350.5</v>
      </c>
      <c r="E22" s="842">
        <v>364.2</v>
      </c>
      <c r="F22" s="842">
        <v>351.7</v>
      </c>
      <c r="G22" s="842">
        <f>268.5+1.3</f>
        <v>269.8</v>
      </c>
      <c r="H22" s="842">
        <f>301.8+0.5</f>
        <v>302.3</v>
      </c>
      <c r="I22" s="842">
        <v>352.5</v>
      </c>
      <c r="J22" s="842">
        <v>147.4</v>
      </c>
      <c r="K22" s="842">
        <v>137.9</v>
      </c>
      <c r="L22" s="853">
        <v>146.69999999999999</v>
      </c>
      <c r="M22" s="853">
        <v>81.2</v>
      </c>
      <c r="N22" s="842">
        <v>82.6</v>
      </c>
      <c r="O22" s="817"/>
      <c r="P22" s="817"/>
      <c r="Q22" s="817"/>
      <c r="R22" s="817"/>
      <c r="S22" s="817"/>
      <c r="T22" s="817"/>
      <c r="U22" s="817"/>
      <c r="V22" s="817"/>
      <c r="W22" s="817"/>
      <c r="X22" s="817"/>
      <c r="Y22" s="817"/>
      <c r="Z22" s="817"/>
      <c r="AA22" s="817"/>
      <c r="AB22" s="817"/>
      <c r="AC22" s="817"/>
      <c r="AD22" s="817"/>
      <c r="AE22" s="817"/>
      <c r="AF22" s="817"/>
      <c r="AG22" s="817"/>
      <c r="AH22" s="817"/>
      <c r="AI22" s="817"/>
      <c r="AJ22" s="817"/>
      <c r="AK22" s="817"/>
      <c r="AL22" s="817"/>
      <c r="AM22" s="817"/>
      <c r="AN22" s="817"/>
      <c r="AO22" s="817"/>
      <c r="AP22" s="817"/>
      <c r="AQ22" s="817"/>
      <c r="AR22" s="817"/>
      <c r="AS22" s="817"/>
      <c r="AT22" s="817"/>
      <c r="AU22" s="817"/>
      <c r="AV22" s="817"/>
      <c r="AW22" s="817"/>
      <c r="AX22" s="817"/>
      <c r="AY22" s="817"/>
      <c r="AZ22" s="817"/>
      <c r="BA22" s="817"/>
      <c r="BB22" s="817"/>
      <c r="BC22" s="817"/>
      <c r="BD22" s="817"/>
      <c r="BE22" s="817"/>
      <c r="BF22" s="817"/>
      <c r="BG22" s="817"/>
      <c r="BH22" s="817"/>
      <c r="BI22" s="817"/>
      <c r="BJ22" s="817"/>
      <c r="BK22" s="817"/>
      <c r="BL22" s="817"/>
      <c r="BM22" s="817"/>
      <c r="BN22" s="817"/>
      <c r="BO22" s="817"/>
      <c r="BP22" s="817"/>
      <c r="BQ22" s="817"/>
      <c r="BR22" s="817"/>
      <c r="BS22" s="817"/>
      <c r="BT22" s="817"/>
      <c r="BU22" s="817"/>
      <c r="BV22" s="817"/>
      <c r="BW22" s="817"/>
      <c r="BX22" s="817"/>
      <c r="BY22" s="817"/>
      <c r="BZ22" s="817"/>
      <c r="CA22" s="817"/>
      <c r="CB22" s="817"/>
      <c r="CC22" s="817"/>
      <c r="CD22" s="817"/>
      <c r="CE22" s="817"/>
      <c r="CF22" s="817"/>
      <c r="CG22" s="817"/>
      <c r="CH22" s="817"/>
      <c r="CI22" s="817"/>
      <c r="CJ22" s="817"/>
      <c r="CK22" s="817"/>
      <c r="CL22" s="817"/>
      <c r="CM22" s="817"/>
      <c r="CN22" s="817"/>
      <c r="CO22" s="817"/>
      <c r="CP22" s="817"/>
      <c r="CQ22" s="817"/>
      <c r="CR22" s="817"/>
      <c r="CS22" s="817"/>
      <c r="CT22" s="817"/>
      <c r="CU22" s="817"/>
      <c r="CV22" s="817"/>
      <c r="CW22" s="817"/>
      <c r="CX22" s="817"/>
      <c r="CY22" s="817"/>
      <c r="CZ22" s="817"/>
      <c r="DA22" s="817"/>
      <c r="DB22" s="817"/>
      <c r="DC22" s="817"/>
      <c r="DD22" s="817"/>
      <c r="DE22" s="817"/>
      <c r="DF22" s="817"/>
      <c r="DG22" s="817"/>
      <c r="DH22" s="817"/>
      <c r="DI22" s="817"/>
      <c r="DJ22" s="817"/>
      <c r="DK22" s="817"/>
      <c r="DL22" s="817"/>
      <c r="DM22" s="817"/>
      <c r="DN22" s="817"/>
      <c r="DO22" s="817"/>
      <c r="DP22" s="817"/>
      <c r="DQ22" s="817"/>
      <c r="DR22" s="817"/>
      <c r="DS22" s="817"/>
      <c r="DT22" s="817"/>
      <c r="DU22" s="817"/>
      <c r="DV22" s="817"/>
      <c r="DW22" s="817"/>
      <c r="DX22" s="817"/>
      <c r="DY22" s="817"/>
      <c r="DZ22" s="817"/>
      <c r="EA22" s="817"/>
      <c r="EB22" s="817"/>
      <c r="EC22" s="817"/>
      <c r="ED22" s="817"/>
      <c r="EE22" s="817"/>
      <c r="EF22" s="817"/>
      <c r="EG22" s="817"/>
      <c r="EH22" s="817"/>
      <c r="EI22" s="817"/>
      <c r="EJ22" s="817"/>
      <c r="EK22" s="817"/>
      <c r="EL22" s="817"/>
      <c r="EM22" s="817"/>
      <c r="EN22" s="817"/>
      <c r="EO22" s="817"/>
      <c r="EP22" s="817"/>
      <c r="EQ22" s="817"/>
      <c r="ER22" s="817"/>
      <c r="ES22" s="817"/>
      <c r="ET22" s="817"/>
      <c r="EU22" s="817"/>
      <c r="EV22" s="817"/>
      <c r="EW22" s="817"/>
      <c r="EX22" s="817"/>
      <c r="EY22" s="817"/>
      <c r="EZ22" s="817"/>
      <c r="FA22" s="817"/>
      <c r="FB22" s="817"/>
      <c r="FC22" s="817"/>
      <c r="FD22" s="817"/>
      <c r="FE22" s="817"/>
      <c r="FF22" s="817"/>
      <c r="FG22" s="817"/>
      <c r="FH22" s="817"/>
      <c r="FI22" s="817"/>
      <c r="FJ22" s="817"/>
      <c r="FK22" s="817"/>
      <c r="FL22" s="817"/>
      <c r="FM22" s="817"/>
      <c r="FN22" s="817"/>
      <c r="FO22" s="817"/>
      <c r="FP22" s="817"/>
      <c r="FQ22" s="817"/>
      <c r="FR22" s="817"/>
      <c r="FS22" s="817"/>
      <c r="FT22" s="817"/>
      <c r="FU22" s="817"/>
      <c r="FV22" s="817"/>
      <c r="FW22" s="817"/>
      <c r="FX22" s="817"/>
      <c r="FY22" s="817"/>
      <c r="FZ22" s="817"/>
      <c r="GA22" s="817"/>
      <c r="GB22" s="817"/>
      <c r="GC22" s="817"/>
      <c r="GD22" s="817"/>
      <c r="GE22" s="817"/>
      <c r="GF22" s="817"/>
      <c r="GG22" s="817"/>
      <c r="GH22" s="817"/>
      <c r="GI22" s="817"/>
      <c r="GJ22" s="817"/>
      <c r="GK22" s="817"/>
      <c r="GL22" s="817"/>
      <c r="GM22" s="817"/>
      <c r="GN22" s="817"/>
      <c r="GO22" s="817"/>
      <c r="GP22" s="817"/>
      <c r="GQ22" s="817"/>
      <c r="GR22" s="817"/>
      <c r="GS22" s="817"/>
      <c r="GT22" s="817"/>
      <c r="GU22" s="817"/>
      <c r="GV22" s="817"/>
      <c r="GW22" s="817"/>
      <c r="GX22" s="817"/>
      <c r="GY22" s="817"/>
      <c r="GZ22" s="817"/>
      <c r="HA22" s="817"/>
      <c r="HB22" s="817"/>
      <c r="HC22" s="817"/>
      <c r="HD22" s="817"/>
      <c r="HE22" s="817"/>
      <c r="HF22" s="817"/>
      <c r="HG22" s="817"/>
      <c r="HH22" s="817"/>
      <c r="HI22" s="817"/>
      <c r="HJ22" s="817"/>
      <c r="HK22" s="817"/>
      <c r="HL22" s="817"/>
      <c r="HM22" s="817"/>
      <c r="HN22" s="817"/>
      <c r="HO22" s="817"/>
      <c r="HP22" s="817"/>
      <c r="HQ22" s="817"/>
      <c r="HR22" s="817"/>
      <c r="HS22" s="817"/>
      <c r="HT22" s="817"/>
      <c r="HU22" s="817"/>
      <c r="HV22" s="817"/>
      <c r="HW22" s="817"/>
      <c r="HX22" s="817"/>
      <c r="HY22" s="817"/>
      <c r="HZ22" s="817"/>
      <c r="IA22" s="817"/>
      <c r="IB22" s="817"/>
      <c r="IC22" s="817"/>
      <c r="ID22" s="817"/>
      <c r="IE22" s="817"/>
      <c r="IF22" s="817"/>
      <c r="IG22" s="817"/>
      <c r="IH22" s="817"/>
      <c r="II22" s="817"/>
      <c r="IJ22" s="817"/>
      <c r="IK22" s="817"/>
      <c r="IL22" s="817"/>
      <c r="IM22" s="817"/>
      <c r="IN22" s="817"/>
      <c r="IO22" s="817"/>
      <c r="IP22" s="817"/>
      <c r="IQ22" s="817"/>
      <c r="IR22" s="817"/>
      <c r="IS22" s="817"/>
      <c r="IT22" s="817"/>
      <c r="IU22" s="817"/>
      <c r="IV22" s="817"/>
    </row>
    <row r="23" spans="1:256" s="825" customFormat="1" ht="13.5" customHeight="1" thickBot="1">
      <c r="A23" s="845" t="s">
        <v>823</v>
      </c>
      <c r="B23" s="854">
        <v>1611.4</v>
      </c>
      <c r="C23" s="854">
        <v>1662</v>
      </c>
      <c r="D23" s="855">
        <v>1694.2</v>
      </c>
      <c r="E23" s="855">
        <v>1484.7</v>
      </c>
      <c r="F23" s="856">
        <v>1558</v>
      </c>
      <c r="G23" s="856">
        <f>SUM(G19:G22)</f>
        <v>1345.9</v>
      </c>
      <c r="H23" s="856">
        <v>1445.3</v>
      </c>
      <c r="I23" s="856">
        <v>1457.9</v>
      </c>
      <c r="J23" s="856">
        <v>1158.5</v>
      </c>
      <c r="K23" s="856">
        <v>1166.9000000000001</v>
      </c>
      <c r="L23" s="857">
        <v>990.2</v>
      </c>
      <c r="M23" s="858">
        <v>930.4</v>
      </c>
      <c r="N23" s="856">
        <v>966</v>
      </c>
      <c r="O23" s="824"/>
      <c r="P23" s="824"/>
      <c r="Q23" s="824"/>
      <c r="R23" s="824"/>
      <c r="S23" s="824"/>
      <c r="T23" s="824"/>
      <c r="U23" s="824"/>
      <c r="V23" s="824"/>
      <c r="W23" s="824"/>
      <c r="X23" s="824"/>
      <c r="Y23" s="824"/>
      <c r="Z23" s="824"/>
      <c r="AA23" s="824"/>
      <c r="AB23" s="824"/>
      <c r="AC23" s="824"/>
      <c r="AD23" s="824"/>
      <c r="AE23" s="824"/>
      <c r="AF23" s="824"/>
      <c r="AG23" s="824"/>
      <c r="AH23" s="824"/>
      <c r="AI23" s="824"/>
      <c r="AJ23" s="824"/>
      <c r="AK23" s="824"/>
      <c r="AL23" s="824"/>
      <c r="AM23" s="824"/>
      <c r="AN23" s="824"/>
      <c r="AO23" s="824"/>
      <c r="AP23" s="824"/>
      <c r="AQ23" s="824"/>
      <c r="AR23" s="824"/>
      <c r="AS23" s="824"/>
      <c r="AT23" s="824"/>
      <c r="AU23" s="824"/>
      <c r="AV23" s="824"/>
      <c r="AW23" s="824"/>
      <c r="AX23" s="824"/>
      <c r="AY23" s="824"/>
      <c r="AZ23" s="824"/>
      <c r="BA23" s="824"/>
      <c r="BB23" s="824"/>
      <c r="BC23" s="824"/>
      <c r="BD23" s="824"/>
      <c r="BE23" s="824"/>
      <c r="BF23" s="824"/>
      <c r="BG23" s="824"/>
      <c r="BH23" s="824"/>
      <c r="BI23" s="824"/>
      <c r="BJ23" s="824"/>
      <c r="BK23" s="824"/>
      <c r="BL23" s="824"/>
      <c r="BM23" s="824"/>
      <c r="BN23" s="824"/>
      <c r="BO23" s="824"/>
      <c r="BP23" s="824"/>
      <c r="BQ23" s="824"/>
      <c r="BR23" s="824"/>
      <c r="BS23" s="824"/>
      <c r="BT23" s="824"/>
      <c r="BU23" s="824"/>
      <c r="BV23" s="824"/>
      <c r="BW23" s="824"/>
      <c r="BX23" s="824"/>
      <c r="BY23" s="824"/>
      <c r="BZ23" s="824"/>
      <c r="CA23" s="824"/>
      <c r="CB23" s="824"/>
      <c r="CC23" s="824"/>
      <c r="CD23" s="824"/>
      <c r="CE23" s="824"/>
      <c r="CF23" s="824"/>
      <c r="CG23" s="824"/>
      <c r="CH23" s="824"/>
      <c r="CI23" s="824"/>
      <c r="CJ23" s="824"/>
      <c r="CK23" s="824"/>
      <c r="CL23" s="824"/>
      <c r="CM23" s="824"/>
      <c r="CN23" s="824"/>
      <c r="CO23" s="824"/>
      <c r="CP23" s="824"/>
      <c r="CQ23" s="824"/>
      <c r="CR23" s="824"/>
      <c r="CS23" s="824"/>
      <c r="CT23" s="824"/>
      <c r="CU23" s="824"/>
      <c r="CV23" s="824"/>
      <c r="CW23" s="824"/>
      <c r="CX23" s="824"/>
      <c r="CY23" s="824"/>
      <c r="CZ23" s="824"/>
      <c r="DA23" s="824"/>
      <c r="DB23" s="824"/>
      <c r="DC23" s="824"/>
      <c r="DD23" s="824"/>
      <c r="DE23" s="824"/>
      <c r="DF23" s="824"/>
      <c r="DG23" s="824"/>
      <c r="DH23" s="824"/>
      <c r="DI23" s="824"/>
      <c r="DJ23" s="824"/>
      <c r="DK23" s="824"/>
      <c r="DL23" s="824"/>
      <c r="DM23" s="824"/>
      <c r="DN23" s="824"/>
      <c r="DO23" s="824"/>
      <c r="DP23" s="824"/>
      <c r="DQ23" s="824"/>
      <c r="DR23" s="824"/>
      <c r="DS23" s="824"/>
      <c r="DT23" s="824"/>
      <c r="DU23" s="824"/>
      <c r="DV23" s="824"/>
      <c r="DW23" s="824"/>
      <c r="DX23" s="824"/>
      <c r="DY23" s="824"/>
      <c r="DZ23" s="824"/>
      <c r="EA23" s="824"/>
      <c r="EB23" s="824"/>
      <c r="EC23" s="824"/>
      <c r="ED23" s="824"/>
      <c r="EE23" s="824"/>
      <c r="EF23" s="824"/>
      <c r="EG23" s="824"/>
      <c r="EH23" s="824"/>
      <c r="EI23" s="824"/>
      <c r="EJ23" s="824"/>
      <c r="EK23" s="824"/>
      <c r="EL23" s="824"/>
      <c r="EM23" s="824"/>
      <c r="EN23" s="824"/>
      <c r="EO23" s="824"/>
      <c r="EP23" s="824"/>
      <c r="EQ23" s="824"/>
      <c r="ER23" s="824"/>
      <c r="ES23" s="824"/>
      <c r="ET23" s="824"/>
      <c r="EU23" s="824"/>
      <c r="EV23" s="824"/>
      <c r="EW23" s="824"/>
      <c r="EX23" s="824"/>
      <c r="EY23" s="824"/>
      <c r="EZ23" s="824"/>
      <c r="FA23" s="824"/>
      <c r="FB23" s="824"/>
      <c r="FC23" s="824"/>
      <c r="FD23" s="824"/>
      <c r="FE23" s="824"/>
      <c r="FF23" s="824"/>
      <c r="FG23" s="824"/>
      <c r="FH23" s="824"/>
      <c r="FI23" s="824"/>
      <c r="FJ23" s="824"/>
      <c r="FK23" s="824"/>
      <c r="FL23" s="824"/>
      <c r="FM23" s="824"/>
      <c r="FN23" s="824"/>
      <c r="FO23" s="824"/>
      <c r="FP23" s="824"/>
      <c r="FQ23" s="824"/>
      <c r="FR23" s="824"/>
      <c r="FS23" s="824"/>
      <c r="FT23" s="824"/>
      <c r="FU23" s="824"/>
      <c r="FV23" s="824"/>
      <c r="FW23" s="824"/>
      <c r="FX23" s="824"/>
      <c r="FY23" s="824"/>
      <c r="FZ23" s="824"/>
      <c r="GA23" s="824"/>
      <c r="GB23" s="824"/>
      <c r="GC23" s="824"/>
      <c r="GD23" s="824"/>
      <c r="GE23" s="824"/>
      <c r="GF23" s="824"/>
      <c r="GG23" s="824"/>
      <c r="GH23" s="824"/>
      <c r="GI23" s="824"/>
      <c r="GJ23" s="824"/>
      <c r="GK23" s="824"/>
      <c r="GL23" s="824"/>
      <c r="GM23" s="824"/>
      <c r="GN23" s="824"/>
      <c r="GO23" s="824"/>
      <c r="GP23" s="824"/>
      <c r="GQ23" s="824"/>
      <c r="GR23" s="824"/>
      <c r="GS23" s="824"/>
      <c r="GT23" s="824"/>
      <c r="GU23" s="824"/>
      <c r="GV23" s="824"/>
      <c r="GW23" s="824"/>
      <c r="GX23" s="824"/>
      <c r="GY23" s="824"/>
      <c r="GZ23" s="824"/>
      <c r="HA23" s="824"/>
      <c r="HB23" s="824"/>
      <c r="HC23" s="824"/>
      <c r="HD23" s="824"/>
      <c r="HE23" s="824"/>
      <c r="HF23" s="824"/>
      <c r="HG23" s="824"/>
      <c r="HH23" s="824"/>
      <c r="HI23" s="824"/>
      <c r="HJ23" s="824"/>
      <c r="HK23" s="824"/>
      <c r="HL23" s="824"/>
      <c r="HM23" s="824"/>
      <c r="HN23" s="824"/>
      <c r="HO23" s="824"/>
      <c r="HP23" s="824"/>
      <c r="HQ23" s="824"/>
      <c r="HR23" s="824"/>
      <c r="HS23" s="824"/>
      <c r="HT23" s="824"/>
      <c r="HU23" s="824"/>
      <c r="HV23" s="824"/>
      <c r="HW23" s="824"/>
      <c r="HX23" s="824"/>
      <c r="HY23" s="824"/>
      <c r="HZ23" s="824"/>
      <c r="IA23" s="824"/>
      <c r="IB23" s="824"/>
      <c r="IC23" s="824"/>
      <c r="ID23" s="824"/>
      <c r="IE23" s="824"/>
      <c r="IF23" s="824"/>
      <c r="IG23" s="824"/>
      <c r="IH23" s="824"/>
      <c r="II23" s="824"/>
      <c r="IJ23" s="824"/>
      <c r="IK23" s="824"/>
      <c r="IL23" s="824"/>
      <c r="IM23" s="824"/>
      <c r="IN23" s="824"/>
      <c r="IO23" s="824"/>
      <c r="IP23" s="824"/>
      <c r="IQ23" s="824"/>
      <c r="IR23" s="824"/>
      <c r="IS23" s="824"/>
      <c r="IT23" s="824"/>
      <c r="IU23" s="824"/>
      <c r="IV23" s="824"/>
    </row>
    <row r="24" spans="1:256" ht="12" customHeight="1" thickTop="1">
      <c r="A24" s="859" t="s">
        <v>828</v>
      </c>
      <c r="B24" s="837">
        <v>591</v>
      </c>
      <c r="C24" s="837">
        <v>617.9</v>
      </c>
      <c r="D24" s="838">
        <v>669.2</v>
      </c>
      <c r="E24" s="838">
        <v>694.4</v>
      </c>
      <c r="F24" s="838">
        <v>939.9</v>
      </c>
      <c r="G24" s="838">
        <v>791.8</v>
      </c>
      <c r="H24" s="838">
        <v>759.3</v>
      </c>
      <c r="I24" s="838">
        <v>791.4</v>
      </c>
      <c r="J24" s="838">
        <v>737.1</v>
      </c>
      <c r="K24" s="838">
        <v>875</v>
      </c>
      <c r="L24" s="844">
        <v>865.6</v>
      </c>
      <c r="M24" s="844">
        <v>799.7</v>
      </c>
      <c r="N24" s="838">
        <v>811.9</v>
      </c>
      <c r="O24" s="817"/>
      <c r="P24" s="817"/>
      <c r="Q24" s="817"/>
      <c r="R24" s="817"/>
      <c r="S24" s="817"/>
      <c r="T24" s="817"/>
      <c r="U24" s="817"/>
      <c r="V24" s="817"/>
      <c r="W24" s="817"/>
      <c r="X24" s="817"/>
      <c r="Y24" s="817"/>
      <c r="Z24" s="817"/>
      <c r="AA24" s="817"/>
      <c r="AB24" s="817"/>
      <c r="AC24" s="817"/>
      <c r="AD24" s="817"/>
      <c r="AE24" s="817"/>
      <c r="AF24" s="817"/>
      <c r="AG24" s="817"/>
      <c r="AH24" s="817"/>
      <c r="AI24" s="817"/>
      <c r="AJ24" s="817"/>
      <c r="AK24" s="817"/>
      <c r="AL24" s="817"/>
      <c r="AM24" s="817"/>
      <c r="AN24" s="817"/>
      <c r="AO24" s="817"/>
      <c r="AP24" s="817"/>
      <c r="AQ24" s="817"/>
      <c r="AR24" s="817"/>
      <c r="AS24" s="817"/>
      <c r="AT24" s="817"/>
      <c r="AU24" s="817"/>
      <c r="AV24" s="817"/>
      <c r="AW24" s="817"/>
      <c r="AX24" s="817"/>
      <c r="AY24" s="817"/>
      <c r="AZ24" s="817"/>
      <c r="BA24" s="817"/>
      <c r="BB24" s="817"/>
      <c r="BC24" s="817"/>
      <c r="BD24" s="817"/>
      <c r="BE24" s="817"/>
      <c r="BF24" s="817"/>
      <c r="BG24" s="817"/>
      <c r="BH24" s="817"/>
      <c r="BI24" s="817"/>
      <c r="BJ24" s="817"/>
      <c r="BK24" s="817"/>
      <c r="BL24" s="817"/>
      <c r="BM24" s="817"/>
      <c r="BN24" s="817"/>
      <c r="BO24" s="817"/>
      <c r="BP24" s="817"/>
      <c r="BQ24" s="817"/>
      <c r="BR24" s="817"/>
      <c r="BS24" s="817"/>
      <c r="BT24" s="817"/>
      <c r="BU24" s="817"/>
      <c r="BV24" s="817"/>
      <c r="BW24" s="817"/>
      <c r="BX24" s="817"/>
      <c r="BY24" s="817"/>
      <c r="BZ24" s="817"/>
      <c r="CA24" s="817"/>
      <c r="CB24" s="817"/>
      <c r="CC24" s="817"/>
      <c r="CD24" s="817"/>
      <c r="CE24" s="817"/>
      <c r="CF24" s="817"/>
      <c r="CG24" s="817"/>
      <c r="CH24" s="817"/>
      <c r="CI24" s="817"/>
      <c r="CJ24" s="817"/>
      <c r="CK24" s="817"/>
      <c r="CL24" s="817"/>
      <c r="CM24" s="817"/>
      <c r="CN24" s="817"/>
      <c r="CO24" s="817"/>
      <c r="CP24" s="817"/>
      <c r="CQ24" s="817"/>
      <c r="CR24" s="817"/>
      <c r="CS24" s="817"/>
      <c r="CT24" s="817"/>
      <c r="CU24" s="817"/>
      <c r="CV24" s="817"/>
      <c r="CW24" s="817"/>
      <c r="CX24" s="817"/>
      <c r="CY24" s="817"/>
      <c r="CZ24" s="817"/>
      <c r="DA24" s="817"/>
      <c r="DB24" s="817"/>
      <c r="DC24" s="817"/>
      <c r="DD24" s="817"/>
      <c r="DE24" s="817"/>
      <c r="DF24" s="817"/>
      <c r="DG24" s="817"/>
      <c r="DH24" s="817"/>
      <c r="DI24" s="817"/>
      <c r="DJ24" s="817"/>
      <c r="DK24" s="817"/>
      <c r="DL24" s="817"/>
      <c r="DM24" s="817"/>
      <c r="DN24" s="817"/>
      <c r="DO24" s="817"/>
      <c r="DP24" s="817"/>
      <c r="DQ24" s="817"/>
      <c r="DR24" s="817"/>
      <c r="DS24" s="817"/>
      <c r="DT24" s="817"/>
      <c r="DU24" s="817"/>
      <c r="DV24" s="817"/>
      <c r="DW24" s="817"/>
      <c r="DX24" s="817"/>
      <c r="DY24" s="817"/>
      <c r="DZ24" s="817"/>
      <c r="EA24" s="817"/>
      <c r="EB24" s="817"/>
      <c r="EC24" s="817"/>
      <c r="ED24" s="817"/>
      <c r="EE24" s="817"/>
      <c r="EF24" s="817"/>
      <c r="EG24" s="817"/>
      <c r="EH24" s="817"/>
      <c r="EI24" s="817"/>
      <c r="EJ24" s="817"/>
      <c r="EK24" s="817"/>
      <c r="EL24" s="817"/>
      <c r="EM24" s="817"/>
      <c r="EN24" s="817"/>
      <c r="EO24" s="817"/>
      <c r="EP24" s="817"/>
      <c r="EQ24" s="817"/>
      <c r="ER24" s="817"/>
      <c r="ES24" s="817"/>
      <c r="ET24" s="817"/>
      <c r="EU24" s="817"/>
      <c r="EV24" s="817"/>
      <c r="EW24" s="817"/>
      <c r="EX24" s="817"/>
      <c r="EY24" s="817"/>
      <c r="EZ24" s="817"/>
      <c r="FA24" s="817"/>
      <c r="FB24" s="817"/>
      <c r="FC24" s="817"/>
      <c r="FD24" s="817"/>
      <c r="FE24" s="817"/>
      <c r="FF24" s="817"/>
      <c r="FG24" s="817"/>
      <c r="FH24" s="817"/>
      <c r="FI24" s="817"/>
      <c r="FJ24" s="817"/>
      <c r="FK24" s="817"/>
      <c r="FL24" s="817"/>
      <c r="FM24" s="817"/>
      <c r="FN24" s="817"/>
      <c r="FO24" s="817"/>
      <c r="FP24" s="817"/>
      <c r="FQ24" s="817"/>
      <c r="FR24" s="817"/>
      <c r="FS24" s="817"/>
      <c r="FT24" s="817"/>
      <c r="FU24" s="817"/>
      <c r="FV24" s="817"/>
      <c r="FW24" s="817"/>
      <c r="FX24" s="817"/>
      <c r="FY24" s="817"/>
      <c r="FZ24" s="817"/>
      <c r="GA24" s="817"/>
      <c r="GB24" s="817"/>
      <c r="GC24" s="817"/>
      <c r="GD24" s="817"/>
      <c r="GE24" s="817"/>
      <c r="GF24" s="817"/>
      <c r="GG24" s="817"/>
      <c r="GH24" s="817"/>
      <c r="GI24" s="817"/>
      <c r="GJ24" s="817"/>
      <c r="GK24" s="817"/>
      <c r="GL24" s="817"/>
      <c r="GM24" s="817"/>
      <c r="GN24" s="817"/>
      <c r="GO24" s="817"/>
      <c r="GP24" s="817"/>
      <c r="GQ24" s="817"/>
      <c r="GR24" s="817"/>
      <c r="GS24" s="817"/>
      <c r="GT24" s="817"/>
      <c r="GU24" s="817"/>
      <c r="GV24" s="817"/>
      <c r="GW24" s="817"/>
      <c r="GX24" s="817"/>
      <c r="GY24" s="817"/>
      <c r="GZ24" s="817"/>
      <c r="HA24" s="817"/>
      <c r="HB24" s="817"/>
      <c r="HC24" s="817"/>
      <c r="HD24" s="817"/>
      <c r="HE24" s="817"/>
      <c r="HF24" s="817"/>
      <c r="HG24" s="817"/>
      <c r="HH24" s="817"/>
      <c r="HI24" s="817"/>
      <c r="HJ24" s="817"/>
      <c r="HK24" s="817"/>
      <c r="HL24" s="817"/>
      <c r="HM24" s="817"/>
      <c r="HN24" s="817"/>
      <c r="HO24" s="817"/>
      <c r="HP24" s="817"/>
      <c r="HQ24" s="817"/>
      <c r="HR24" s="817"/>
      <c r="HS24" s="817"/>
      <c r="HT24" s="817"/>
      <c r="HU24" s="817"/>
      <c r="HV24" s="817"/>
      <c r="HW24" s="817"/>
      <c r="HX24" s="817"/>
      <c r="HY24" s="817"/>
      <c r="HZ24" s="817"/>
      <c r="IA24" s="817"/>
      <c r="IB24" s="817"/>
      <c r="IC24" s="817"/>
      <c r="ID24" s="817"/>
      <c r="IE24" s="817"/>
      <c r="IF24" s="817"/>
      <c r="IG24" s="817"/>
      <c r="IH24" s="817"/>
      <c r="II24" s="817"/>
      <c r="IJ24" s="817"/>
      <c r="IK24" s="817"/>
      <c r="IL24" s="817"/>
      <c r="IM24" s="817"/>
      <c r="IN24" s="817"/>
      <c r="IO24" s="817"/>
      <c r="IP24" s="817"/>
      <c r="IQ24" s="817"/>
      <c r="IR24" s="817"/>
      <c r="IS24" s="817"/>
      <c r="IT24" s="817"/>
      <c r="IU24" s="817"/>
      <c r="IV24" s="817"/>
    </row>
    <row r="25" spans="1:256" ht="12" customHeight="1">
      <c r="A25" s="860" t="s">
        <v>829</v>
      </c>
      <c r="B25" s="841">
        <v>6873</v>
      </c>
      <c r="C25" s="841">
        <v>7186</v>
      </c>
      <c r="D25" s="842">
        <v>7783</v>
      </c>
      <c r="E25" s="842">
        <v>8075</v>
      </c>
      <c r="F25" s="842">
        <v>10931</v>
      </c>
      <c r="G25" s="842">
        <v>9207.75</v>
      </c>
      <c r="H25" s="842">
        <v>8830.1</v>
      </c>
      <c r="I25" s="842">
        <v>9203.9</v>
      </c>
      <c r="J25" s="842">
        <v>8572.2999999999993</v>
      </c>
      <c r="K25" s="842">
        <v>10176.799999999999</v>
      </c>
      <c r="L25" s="853">
        <v>10066.9</v>
      </c>
      <c r="M25" s="853">
        <v>9300.2999999999993</v>
      </c>
      <c r="N25" s="842">
        <v>9442.7999999999993</v>
      </c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817"/>
      <c r="AB25" s="817"/>
      <c r="AC25" s="817"/>
      <c r="AD25" s="817"/>
      <c r="AE25" s="817"/>
      <c r="AF25" s="817"/>
      <c r="AG25" s="817"/>
      <c r="AH25" s="817"/>
      <c r="AI25" s="817"/>
      <c r="AJ25" s="817"/>
      <c r="AK25" s="817"/>
      <c r="AL25" s="817"/>
      <c r="AM25" s="817"/>
      <c r="AN25" s="817"/>
      <c r="AO25" s="817"/>
      <c r="AP25" s="817"/>
      <c r="AQ25" s="817"/>
      <c r="AR25" s="817"/>
      <c r="AS25" s="817"/>
      <c r="AT25" s="817"/>
      <c r="AU25" s="817"/>
      <c r="AV25" s="817"/>
      <c r="AW25" s="817"/>
      <c r="AX25" s="817"/>
      <c r="AY25" s="817"/>
      <c r="AZ25" s="817"/>
      <c r="BA25" s="817"/>
      <c r="BB25" s="817"/>
      <c r="BC25" s="817"/>
      <c r="BD25" s="817"/>
      <c r="BE25" s="817"/>
      <c r="BF25" s="817"/>
      <c r="BG25" s="817"/>
      <c r="BH25" s="817"/>
      <c r="BI25" s="817"/>
      <c r="BJ25" s="817"/>
      <c r="BK25" s="817"/>
      <c r="BL25" s="817"/>
      <c r="BM25" s="817"/>
      <c r="BN25" s="817"/>
      <c r="BO25" s="817"/>
      <c r="BP25" s="817"/>
      <c r="BQ25" s="817"/>
      <c r="BR25" s="817"/>
      <c r="BS25" s="817"/>
      <c r="BT25" s="817"/>
      <c r="BU25" s="817"/>
      <c r="BV25" s="817"/>
      <c r="BW25" s="817"/>
      <c r="BX25" s="817"/>
      <c r="BY25" s="817"/>
      <c r="BZ25" s="817"/>
      <c r="CA25" s="817"/>
      <c r="CB25" s="817"/>
      <c r="CC25" s="817"/>
      <c r="CD25" s="817"/>
      <c r="CE25" s="817"/>
      <c r="CF25" s="817"/>
      <c r="CG25" s="817"/>
      <c r="CH25" s="817"/>
      <c r="CI25" s="817"/>
      <c r="CJ25" s="817"/>
      <c r="CK25" s="817"/>
      <c r="CL25" s="817"/>
      <c r="CM25" s="817"/>
      <c r="CN25" s="817"/>
      <c r="CO25" s="817"/>
      <c r="CP25" s="817"/>
      <c r="CQ25" s="817"/>
      <c r="CR25" s="817"/>
      <c r="CS25" s="817"/>
      <c r="CT25" s="817"/>
      <c r="CU25" s="817"/>
      <c r="CV25" s="817"/>
      <c r="CW25" s="817"/>
      <c r="CX25" s="817"/>
      <c r="CY25" s="817"/>
      <c r="CZ25" s="817"/>
      <c r="DA25" s="817"/>
      <c r="DB25" s="817"/>
      <c r="DC25" s="817"/>
      <c r="DD25" s="817"/>
      <c r="DE25" s="817"/>
      <c r="DF25" s="817"/>
      <c r="DG25" s="817"/>
      <c r="DH25" s="817"/>
      <c r="DI25" s="817"/>
      <c r="DJ25" s="817"/>
      <c r="DK25" s="817"/>
      <c r="DL25" s="817"/>
      <c r="DM25" s="817"/>
      <c r="DN25" s="817"/>
      <c r="DO25" s="817"/>
      <c r="DP25" s="817"/>
      <c r="DQ25" s="817"/>
      <c r="DR25" s="817"/>
      <c r="DS25" s="817"/>
      <c r="DT25" s="817"/>
      <c r="DU25" s="817"/>
      <c r="DV25" s="817"/>
      <c r="DW25" s="817"/>
      <c r="DX25" s="817"/>
      <c r="DY25" s="817"/>
      <c r="DZ25" s="817"/>
      <c r="EA25" s="817"/>
      <c r="EB25" s="817"/>
      <c r="EC25" s="817"/>
      <c r="ED25" s="817"/>
      <c r="EE25" s="817"/>
      <c r="EF25" s="817"/>
      <c r="EG25" s="817"/>
      <c r="EH25" s="817"/>
      <c r="EI25" s="817"/>
      <c r="EJ25" s="817"/>
      <c r="EK25" s="817"/>
      <c r="EL25" s="817"/>
      <c r="EM25" s="817"/>
      <c r="EN25" s="817"/>
      <c r="EO25" s="817"/>
      <c r="EP25" s="817"/>
      <c r="EQ25" s="817"/>
      <c r="ER25" s="817"/>
      <c r="ES25" s="817"/>
      <c r="ET25" s="817"/>
      <c r="EU25" s="817"/>
      <c r="EV25" s="817"/>
      <c r="EW25" s="817"/>
      <c r="EX25" s="817"/>
      <c r="EY25" s="817"/>
      <c r="EZ25" s="817"/>
      <c r="FA25" s="817"/>
      <c r="FB25" s="817"/>
      <c r="FC25" s="817"/>
      <c r="FD25" s="817"/>
      <c r="FE25" s="817"/>
      <c r="FF25" s="817"/>
      <c r="FG25" s="817"/>
      <c r="FH25" s="817"/>
      <c r="FI25" s="817"/>
      <c r="FJ25" s="817"/>
      <c r="FK25" s="817"/>
      <c r="FL25" s="817"/>
      <c r="FM25" s="817"/>
      <c r="FN25" s="817"/>
      <c r="FO25" s="817"/>
      <c r="FP25" s="817"/>
      <c r="FQ25" s="817"/>
      <c r="FR25" s="817"/>
      <c r="FS25" s="817"/>
      <c r="FT25" s="817"/>
      <c r="FU25" s="817"/>
      <c r="FV25" s="817"/>
      <c r="FW25" s="817"/>
      <c r="FX25" s="817"/>
      <c r="FY25" s="817"/>
      <c r="FZ25" s="817"/>
      <c r="GA25" s="817"/>
      <c r="GB25" s="817"/>
      <c r="GC25" s="817"/>
      <c r="GD25" s="817"/>
      <c r="GE25" s="817"/>
      <c r="GF25" s="817"/>
      <c r="GG25" s="817"/>
      <c r="GH25" s="817"/>
      <c r="GI25" s="817"/>
      <c r="GJ25" s="817"/>
      <c r="GK25" s="817"/>
      <c r="GL25" s="817"/>
      <c r="GM25" s="817"/>
      <c r="GN25" s="817"/>
      <c r="GO25" s="817"/>
      <c r="GP25" s="817"/>
      <c r="GQ25" s="817"/>
      <c r="GR25" s="817"/>
      <c r="GS25" s="817"/>
      <c r="GT25" s="817"/>
      <c r="GU25" s="817"/>
      <c r="GV25" s="817"/>
      <c r="GW25" s="817"/>
      <c r="GX25" s="817"/>
      <c r="GY25" s="817"/>
      <c r="GZ25" s="817"/>
      <c r="HA25" s="817"/>
      <c r="HB25" s="817"/>
      <c r="HC25" s="817"/>
      <c r="HD25" s="817"/>
      <c r="HE25" s="817"/>
      <c r="HF25" s="817"/>
      <c r="HG25" s="817"/>
      <c r="HH25" s="817"/>
      <c r="HI25" s="817"/>
      <c r="HJ25" s="817"/>
      <c r="HK25" s="817"/>
      <c r="HL25" s="817"/>
      <c r="HM25" s="817"/>
      <c r="HN25" s="817"/>
      <c r="HO25" s="817"/>
      <c r="HP25" s="817"/>
      <c r="HQ25" s="817"/>
      <c r="HR25" s="817"/>
      <c r="HS25" s="817"/>
      <c r="HT25" s="817"/>
      <c r="HU25" s="817"/>
      <c r="HV25" s="817"/>
      <c r="HW25" s="817"/>
      <c r="HX25" s="817"/>
      <c r="HY25" s="817"/>
      <c r="HZ25" s="817"/>
      <c r="IA25" s="817"/>
      <c r="IB25" s="817"/>
      <c r="IC25" s="817"/>
      <c r="ID25" s="817"/>
      <c r="IE25" s="817"/>
      <c r="IF25" s="817"/>
      <c r="IG25" s="817"/>
      <c r="IH25" s="817"/>
      <c r="II25" s="817"/>
      <c r="IJ25" s="817"/>
      <c r="IK25" s="817"/>
      <c r="IL25" s="817"/>
      <c r="IM25" s="817"/>
      <c r="IN25" s="817"/>
      <c r="IO25" s="817"/>
      <c r="IP25" s="817"/>
      <c r="IQ25" s="817"/>
      <c r="IR25" s="817"/>
      <c r="IS25" s="817"/>
      <c r="IT25" s="817"/>
      <c r="IU25" s="817"/>
      <c r="IV25" s="817"/>
    </row>
    <row r="26" spans="1:256" ht="12" customHeight="1">
      <c r="A26" s="859" t="s">
        <v>830</v>
      </c>
      <c r="B26" s="837">
        <v>506.7</v>
      </c>
      <c r="C26" s="837">
        <v>531.79999999999995</v>
      </c>
      <c r="D26" s="838">
        <v>550.5</v>
      </c>
      <c r="E26" s="838">
        <v>585</v>
      </c>
      <c r="F26" s="838">
        <v>687.3</v>
      </c>
      <c r="G26" s="838">
        <v>532.1</v>
      </c>
      <c r="H26" s="838">
        <v>656</v>
      </c>
      <c r="I26" s="838">
        <v>469.5</v>
      </c>
      <c r="J26" s="838">
        <v>560.4</v>
      </c>
      <c r="K26" s="838">
        <v>768.3</v>
      </c>
      <c r="L26" s="844">
        <v>626.70000000000005</v>
      </c>
      <c r="M26" s="844">
        <v>592.20000000000005</v>
      </c>
      <c r="N26" s="838">
        <v>465.1</v>
      </c>
      <c r="O26" s="817"/>
      <c r="P26" s="817"/>
      <c r="Q26" s="817"/>
      <c r="R26" s="817"/>
      <c r="S26" s="817"/>
      <c r="T26" s="817"/>
      <c r="U26" s="817"/>
      <c r="V26" s="817"/>
      <c r="W26" s="817"/>
      <c r="X26" s="817"/>
      <c r="Y26" s="817"/>
      <c r="Z26" s="817"/>
      <c r="AA26" s="817"/>
      <c r="AB26" s="817"/>
      <c r="AC26" s="817"/>
      <c r="AD26" s="817"/>
      <c r="AE26" s="817"/>
      <c r="AF26" s="817"/>
      <c r="AG26" s="817"/>
      <c r="AH26" s="817"/>
      <c r="AI26" s="817"/>
      <c r="AJ26" s="817"/>
      <c r="AK26" s="817"/>
      <c r="AL26" s="817"/>
      <c r="AM26" s="817"/>
      <c r="AN26" s="817"/>
      <c r="AO26" s="817"/>
      <c r="AP26" s="817"/>
      <c r="AQ26" s="817"/>
      <c r="AR26" s="817"/>
      <c r="AS26" s="817"/>
      <c r="AT26" s="817"/>
      <c r="AU26" s="817"/>
      <c r="AV26" s="817"/>
      <c r="AW26" s="817"/>
      <c r="AX26" s="817"/>
      <c r="AY26" s="817"/>
      <c r="AZ26" s="817"/>
      <c r="BA26" s="817"/>
      <c r="BB26" s="817"/>
      <c r="BC26" s="817"/>
      <c r="BD26" s="817"/>
      <c r="BE26" s="817"/>
      <c r="BF26" s="817"/>
      <c r="BG26" s="817"/>
      <c r="BH26" s="817"/>
      <c r="BI26" s="817"/>
      <c r="BJ26" s="817"/>
      <c r="BK26" s="817"/>
      <c r="BL26" s="817"/>
      <c r="BM26" s="817"/>
      <c r="BN26" s="817"/>
      <c r="BO26" s="817"/>
      <c r="BP26" s="817"/>
      <c r="BQ26" s="817"/>
      <c r="BR26" s="817"/>
      <c r="BS26" s="817"/>
      <c r="BT26" s="817"/>
      <c r="BU26" s="817"/>
      <c r="BV26" s="817"/>
      <c r="BW26" s="817"/>
      <c r="BX26" s="817"/>
      <c r="BY26" s="817"/>
      <c r="BZ26" s="817"/>
      <c r="CA26" s="817"/>
      <c r="CB26" s="817"/>
      <c r="CC26" s="817"/>
      <c r="CD26" s="817"/>
      <c r="CE26" s="817"/>
      <c r="CF26" s="817"/>
      <c r="CG26" s="817"/>
      <c r="CH26" s="817"/>
      <c r="CI26" s="817"/>
      <c r="CJ26" s="817"/>
      <c r="CK26" s="817"/>
      <c r="CL26" s="817"/>
      <c r="CM26" s="817"/>
      <c r="CN26" s="817"/>
      <c r="CO26" s="817"/>
      <c r="CP26" s="817"/>
      <c r="CQ26" s="817"/>
      <c r="CR26" s="817"/>
      <c r="CS26" s="817"/>
      <c r="CT26" s="817"/>
      <c r="CU26" s="817"/>
      <c r="CV26" s="817"/>
      <c r="CW26" s="817"/>
      <c r="CX26" s="817"/>
      <c r="CY26" s="817"/>
      <c r="CZ26" s="817"/>
      <c r="DA26" s="817"/>
      <c r="DB26" s="817"/>
      <c r="DC26" s="817"/>
      <c r="DD26" s="817"/>
      <c r="DE26" s="817"/>
      <c r="DF26" s="817"/>
      <c r="DG26" s="817"/>
      <c r="DH26" s="817"/>
      <c r="DI26" s="817"/>
      <c r="DJ26" s="817"/>
      <c r="DK26" s="817"/>
      <c r="DL26" s="817"/>
      <c r="DM26" s="817"/>
      <c r="DN26" s="817"/>
      <c r="DO26" s="817"/>
      <c r="DP26" s="817"/>
      <c r="DQ26" s="817"/>
      <c r="DR26" s="817"/>
      <c r="DS26" s="817"/>
      <c r="DT26" s="817"/>
      <c r="DU26" s="817"/>
      <c r="DV26" s="817"/>
      <c r="DW26" s="817"/>
      <c r="DX26" s="817"/>
      <c r="DY26" s="817"/>
      <c r="DZ26" s="817"/>
      <c r="EA26" s="817"/>
      <c r="EB26" s="817"/>
      <c r="EC26" s="817"/>
      <c r="ED26" s="817"/>
      <c r="EE26" s="817"/>
      <c r="EF26" s="817"/>
      <c r="EG26" s="817"/>
      <c r="EH26" s="817"/>
      <c r="EI26" s="817"/>
      <c r="EJ26" s="817"/>
      <c r="EK26" s="817"/>
      <c r="EL26" s="817"/>
      <c r="EM26" s="817"/>
      <c r="EN26" s="817"/>
      <c r="EO26" s="817"/>
      <c r="EP26" s="817"/>
      <c r="EQ26" s="817"/>
      <c r="ER26" s="817"/>
      <c r="ES26" s="817"/>
      <c r="ET26" s="817"/>
      <c r="EU26" s="817"/>
      <c r="EV26" s="817"/>
      <c r="EW26" s="817"/>
      <c r="EX26" s="817"/>
      <c r="EY26" s="817"/>
      <c r="EZ26" s="817"/>
      <c r="FA26" s="817"/>
      <c r="FB26" s="817"/>
      <c r="FC26" s="817"/>
      <c r="FD26" s="817"/>
      <c r="FE26" s="817"/>
      <c r="FF26" s="817"/>
      <c r="FG26" s="817"/>
      <c r="FH26" s="817"/>
      <c r="FI26" s="817"/>
      <c r="FJ26" s="817"/>
      <c r="FK26" s="817"/>
      <c r="FL26" s="817"/>
      <c r="FM26" s="817"/>
      <c r="FN26" s="817"/>
      <c r="FO26" s="817"/>
      <c r="FP26" s="817"/>
      <c r="FQ26" s="817"/>
      <c r="FR26" s="817"/>
      <c r="FS26" s="817"/>
      <c r="FT26" s="817"/>
      <c r="FU26" s="817"/>
      <c r="FV26" s="817"/>
      <c r="FW26" s="817"/>
      <c r="FX26" s="817"/>
      <c r="FY26" s="817"/>
      <c r="FZ26" s="817"/>
      <c r="GA26" s="817"/>
      <c r="GB26" s="817"/>
      <c r="GC26" s="817"/>
      <c r="GD26" s="817"/>
      <c r="GE26" s="817"/>
      <c r="GF26" s="817"/>
      <c r="GG26" s="817"/>
      <c r="GH26" s="817"/>
      <c r="GI26" s="817"/>
      <c r="GJ26" s="817"/>
      <c r="GK26" s="817"/>
      <c r="GL26" s="817"/>
      <c r="GM26" s="817"/>
      <c r="GN26" s="817"/>
      <c r="GO26" s="817"/>
      <c r="GP26" s="817"/>
      <c r="GQ26" s="817"/>
      <c r="GR26" s="817"/>
      <c r="GS26" s="817"/>
      <c r="GT26" s="817"/>
      <c r="GU26" s="817"/>
      <c r="GV26" s="817"/>
      <c r="GW26" s="817"/>
      <c r="GX26" s="817"/>
      <c r="GY26" s="817"/>
      <c r="GZ26" s="817"/>
      <c r="HA26" s="817"/>
      <c r="HB26" s="817"/>
      <c r="HC26" s="817"/>
      <c r="HD26" s="817"/>
      <c r="HE26" s="817"/>
      <c r="HF26" s="817"/>
      <c r="HG26" s="817"/>
      <c r="HH26" s="817"/>
      <c r="HI26" s="817"/>
      <c r="HJ26" s="817"/>
      <c r="HK26" s="817"/>
      <c r="HL26" s="817"/>
      <c r="HM26" s="817"/>
      <c r="HN26" s="817"/>
      <c r="HO26" s="817"/>
      <c r="HP26" s="817"/>
      <c r="HQ26" s="817"/>
      <c r="HR26" s="817"/>
      <c r="HS26" s="817"/>
      <c r="HT26" s="817"/>
      <c r="HU26" s="817"/>
      <c r="HV26" s="817"/>
      <c r="HW26" s="817"/>
      <c r="HX26" s="817"/>
      <c r="HY26" s="817"/>
      <c r="HZ26" s="817"/>
      <c r="IA26" s="817"/>
      <c r="IB26" s="817"/>
      <c r="IC26" s="817"/>
      <c r="ID26" s="817"/>
      <c r="IE26" s="817"/>
      <c r="IF26" s="817"/>
      <c r="IG26" s="817"/>
      <c r="IH26" s="817"/>
      <c r="II26" s="817"/>
      <c r="IJ26" s="817"/>
      <c r="IK26" s="817"/>
      <c r="IL26" s="817"/>
      <c r="IM26" s="817"/>
      <c r="IN26" s="817"/>
      <c r="IO26" s="817"/>
      <c r="IP26" s="817"/>
      <c r="IQ26" s="817"/>
      <c r="IR26" s="817"/>
      <c r="IS26" s="817"/>
      <c r="IT26" s="817"/>
      <c r="IU26" s="817"/>
      <c r="IV26" s="817"/>
    </row>
    <row r="27" spans="1:256" ht="12" customHeight="1" thickBot="1">
      <c r="A27" s="861" t="s">
        <v>831</v>
      </c>
      <c r="B27" s="846">
        <v>5893</v>
      </c>
      <c r="C27" s="846">
        <v>6185</v>
      </c>
      <c r="D27" s="847">
        <v>6402</v>
      </c>
      <c r="E27" s="847">
        <v>6803</v>
      </c>
      <c r="F27" s="847">
        <v>7993</v>
      </c>
      <c r="G27" s="847">
        <v>6188.2</v>
      </c>
      <c r="H27" s="847">
        <v>7629.6</v>
      </c>
      <c r="I27" s="847">
        <v>5460</v>
      </c>
      <c r="J27" s="847">
        <v>6517.1</v>
      </c>
      <c r="K27" s="847">
        <v>8935.2999999999993</v>
      </c>
      <c r="L27" s="848">
        <v>7288.9</v>
      </c>
      <c r="M27" s="848">
        <v>6887.6</v>
      </c>
      <c r="N27" s="847">
        <v>5409</v>
      </c>
      <c r="O27" s="817"/>
      <c r="P27" s="817"/>
      <c r="Q27" s="817"/>
      <c r="R27" s="817"/>
      <c r="S27" s="817"/>
      <c r="T27" s="817"/>
      <c r="U27" s="817"/>
      <c r="V27" s="817"/>
      <c r="W27" s="817"/>
      <c r="X27" s="817"/>
      <c r="Y27" s="817"/>
      <c r="Z27" s="817"/>
      <c r="AA27" s="817"/>
      <c r="AB27" s="817"/>
      <c r="AC27" s="817"/>
      <c r="AD27" s="817"/>
      <c r="AE27" s="817"/>
      <c r="AF27" s="817"/>
      <c r="AG27" s="817"/>
      <c r="AH27" s="817"/>
      <c r="AI27" s="817"/>
      <c r="AJ27" s="817"/>
      <c r="AK27" s="817"/>
      <c r="AL27" s="817"/>
      <c r="AM27" s="817"/>
      <c r="AN27" s="817"/>
      <c r="AO27" s="817"/>
      <c r="AP27" s="817"/>
      <c r="AQ27" s="817"/>
      <c r="AR27" s="817"/>
      <c r="AS27" s="817"/>
      <c r="AT27" s="817"/>
      <c r="AU27" s="817"/>
      <c r="AV27" s="817"/>
      <c r="AW27" s="817"/>
      <c r="AX27" s="817"/>
      <c r="AY27" s="817"/>
      <c r="AZ27" s="817"/>
      <c r="BA27" s="817"/>
      <c r="BB27" s="817"/>
      <c r="BC27" s="817"/>
      <c r="BD27" s="817"/>
      <c r="BE27" s="817"/>
      <c r="BF27" s="817"/>
      <c r="BG27" s="817"/>
      <c r="BH27" s="817"/>
      <c r="BI27" s="817"/>
      <c r="BJ27" s="817"/>
      <c r="BK27" s="817"/>
      <c r="BL27" s="817"/>
      <c r="BM27" s="817"/>
      <c r="BN27" s="817"/>
      <c r="BO27" s="817"/>
      <c r="BP27" s="817"/>
      <c r="BQ27" s="817"/>
      <c r="BR27" s="817"/>
      <c r="BS27" s="817"/>
      <c r="BT27" s="817"/>
      <c r="BU27" s="817"/>
      <c r="BV27" s="817"/>
      <c r="BW27" s="817"/>
      <c r="BX27" s="817"/>
      <c r="BY27" s="817"/>
      <c r="BZ27" s="817"/>
      <c r="CA27" s="817"/>
      <c r="CB27" s="817"/>
      <c r="CC27" s="817"/>
      <c r="CD27" s="817"/>
      <c r="CE27" s="817"/>
      <c r="CF27" s="817"/>
      <c r="CG27" s="817"/>
      <c r="CH27" s="817"/>
      <c r="CI27" s="817"/>
      <c r="CJ27" s="817"/>
      <c r="CK27" s="817"/>
      <c r="CL27" s="817"/>
      <c r="CM27" s="817"/>
      <c r="CN27" s="817"/>
      <c r="CO27" s="817"/>
      <c r="CP27" s="817"/>
      <c r="CQ27" s="817"/>
      <c r="CR27" s="817"/>
      <c r="CS27" s="817"/>
      <c r="CT27" s="817"/>
      <c r="CU27" s="817"/>
      <c r="CV27" s="817"/>
      <c r="CW27" s="817"/>
      <c r="CX27" s="817"/>
      <c r="CY27" s="817"/>
      <c r="CZ27" s="817"/>
      <c r="DA27" s="817"/>
      <c r="DB27" s="817"/>
      <c r="DC27" s="817"/>
      <c r="DD27" s="817"/>
      <c r="DE27" s="817"/>
      <c r="DF27" s="817"/>
      <c r="DG27" s="817"/>
      <c r="DH27" s="817"/>
      <c r="DI27" s="817"/>
      <c r="DJ27" s="817"/>
      <c r="DK27" s="817"/>
      <c r="DL27" s="817"/>
      <c r="DM27" s="817"/>
      <c r="DN27" s="817"/>
      <c r="DO27" s="817"/>
      <c r="DP27" s="817"/>
      <c r="DQ27" s="817"/>
      <c r="DR27" s="817"/>
      <c r="DS27" s="817"/>
      <c r="DT27" s="817"/>
      <c r="DU27" s="817"/>
      <c r="DV27" s="817"/>
      <c r="DW27" s="817"/>
      <c r="DX27" s="817"/>
      <c r="DY27" s="817"/>
      <c r="DZ27" s="817"/>
      <c r="EA27" s="817"/>
      <c r="EB27" s="817"/>
      <c r="EC27" s="817"/>
      <c r="ED27" s="817"/>
      <c r="EE27" s="817"/>
      <c r="EF27" s="817"/>
      <c r="EG27" s="817"/>
      <c r="EH27" s="817"/>
      <c r="EI27" s="817"/>
      <c r="EJ27" s="817"/>
      <c r="EK27" s="817"/>
      <c r="EL27" s="817"/>
      <c r="EM27" s="817"/>
      <c r="EN27" s="817"/>
      <c r="EO27" s="817"/>
      <c r="EP27" s="817"/>
      <c r="EQ27" s="817"/>
      <c r="ER27" s="817"/>
      <c r="ES27" s="817"/>
      <c r="ET27" s="817"/>
      <c r="EU27" s="817"/>
      <c r="EV27" s="817"/>
      <c r="EW27" s="817"/>
      <c r="EX27" s="817"/>
      <c r="EY27" s="817"/>
      <c r="EZ27" s="817"/>
      <c r="FA27" s="817"/>
      <c r="FB27" s="817"/>
      <c r="FC27" s="817"/>
      <c r="FD27" s="817"/>
      <c r="FE27" s="817"/>
      <c r="FF27" s="817"/>
      <c r="FG27" s="817"/>
      <c r="FH27" s="817"/>
      <c r="FI27" s="817"/>
      <c r="FJ27" s="817"/>
      <c r="FK27" s="817"/>
      <c r="FL27" s="817"/>
      <c r="FM27" s="817"/>
      <c r="FN27" s="817"/>
      <c r="FO27" s="817"/>
      <c r="FP27" s="817"/>
      <c r="FQ27" s="817"/>
      <c r="FR27" s="817"/>
      <c r="FS27" s="817"/>
      <c r="FT27" s="817"/>
      <c r="FU27" s="817"/>
      <c r="FV27" s="817"/>
      <c r="FW27" s="817"/>
      <c r="FX27" s="817"/>
      <c r="FY27" s="817"/>
      <c r="FZ27" s="817"/>
      <c r="GA27" s="817"/>
      <c r="GB27" s="817"/>
      <c r="GC27" s="817"/>
      <c r="GD27" s="817"/>
      <c r="GE27" s="817"/>
      <c r="GF27" s="817"/>
      <c r="GG27" s="817"/>
      <c r="GH27" s="817"/>
      <c r="GI27" s="817"/>
      <c r="GJ27" s="817"/>
      <c r="GK27" s="817"/>
      <c r="GL27" s="817"/>
      <c r="GM27" s="817"/>
      <c r="GN27" s="817"/>
      <c r="GO27" s="817"/>
      <c r="GP27" s="817"/>
      <c r="GQ27" s="817"/>
      <c r="GR27" s="817"/>
      <c r="GS27" s="817"/>
      <c r="GT27" s="817"/>
      <c r="GU27" s="817"/>
      <c r="GV27" s="817"/>
      <c r="GW27" s="817"/>
      <c r="GX27" s="817"/>
      <c r="GY27" s="817"/>
      <c r="GZ27" s="817"/>
      <c r="HA27" s="817"/>
      <c r="HB27" s="817"/>
      <c r="HC27" s="817"/>
      <c r="HD27" s="817"/>
      <c r="HE27" s="817"/>
      <c r="HF27" s="817"/>
      <c r="HG27" s="817"/>
      <c r="HH27" s="817"/>
      <c r="HI27" s="817"/>
      <c r="HJ27" s="817"/>
      <c r="HK27" s="817"/>
      <c r="HL27" s="817"/>
      <c r="HM27" s="817"/>
      <c r="HN27" s="817"/>
      <c r="HO27" s="817"/>
      <c r="HP27" s="817"/>
      <c r="HQ27" s="817"/>
      <c r="HR27" s="817"/>
      <c r="HS27" s="817"/>
      <c r="HT27" s="817"/>
      <c r="HU27" s="817"/>
      <c r="HV27" s="817"/>
      <c r="HW27" s="817"/>
      <c r="HX27" s="817"/>
      <c r="HY27" s="817"/>
      <c r="HZ27" s="817"/>
      <c r="IA27" s="817"/>
      <c r="IB27" s="817"/>
      <c r="IC27" s="817"/>
      <c r="ID27" s="817"/>
      <c r="IE27" s="817"/>
      <c r="IF27" s="817"/>
      <c r="IG27" s="817"/>
      <c r="IH27" s="817"/>
      <c r="II27" s="817"/>
      <c r="IJ27" s="817"/>
      <c r="IK27" s="817"/>
      <c r="IL27" s="817"/>
      <c r="IM27" s="817"/>
      <c r="IN27" s="817"/>
      <c r="IO27" s="817"/>
      <c r="IP27" s="817"/>
      <c r="IQ27" s="817"/>
      <c r="IR27" s="817"/>
      <c r="IS27" s="817"/>
      <c r="IT27" s="817"/>
      <c r="IU27" s="817"/>
      <c r="IV27" s="817"/>
    </row>
    <row r="28" spans="1:256" ht="12.75" customHeight="1" thickTop="1">
      <c r="A28" s="859" t="s">
        <v>832</v>
      </c>
      <c r="B28" s="862"/>
      <c r="C28" s="862"/>
      <c r="D28" s="849"/>
      <c r="E28" s="849"/>
      <c r="F28" s="849"/>
      <c r="G28" s="849"/>
      <c r="H28" s="849"/>
      <c r="I28" s="849"/>
      <c r="J28" s="849"/>
      <c r="K28" s="849"/>
      <c r="L28" s="849"/>
      <c r="M28" s="849"/>
      <c r="N28" s="849"/>
      <c r="O28" s="817"/>
      <c r="P28" s="817"/>
      <c r="Q28" s="817"/>
      <c r="R28" s="817"/>
      <c r="S28" s="817"/>
      <c r="T28" s="817"/>
      <c r="U28" s="817"/>
      <c r="V28" s="817"/>
      <c r="W28" s="817"/>
      <c r="X28" s="817"/>
      <c r="Y28" s="817"/>
      <c r="Z28" s="817"/>
      <c r="AA28" s="817"/>
      <c r="AB28" s="817"/>
      <c r="AC28" s="817"/>
      <c r="AD28" s="817"/>
      <c r="AE28" s="817"/>
      <c r="AF28" s="817"/>
      <c r="AG28" s="817"/>
      <c r="AH28" s="817"/>
      <c r="AI28" s="817"/>
      <c r="AJ28" s="817"/>
      <c r="AK28" s="817"/>
      <c r="AL28" s="817"/>
      <c r="AM28" s="817"/>
      <c r="AN28" s="817"/>
      <c r="AO28" s="817"/>
      <c r="AP28" s="817"/>
      <c r="AQ28" s="817"/>
      <c r="AR28" s="817"/>
      <c r="AS28" s="817"/>
      <c r="AT28" s="817"/>
      <c r="AU28" s="817"/>
      <c r="AV28" s="817"/>
      <c r="AW28" s="817"/>
      <c r="AX28" s="817"/>
      <c r="AY28" s="817"/>
      <c r="AZ28" s="817"/>
      <c r="BA28" s="817"/>
      <c r="BB28" s="817"/>
      <c r="BC28" s="817"/>
      <c r="BD28" s="817"/>
      <c r="BE28" s="817"/>
      <c r="BF28" s="817"/>
      <c r="BG28" s="817"/>
      <c r="BH28" s="817"/>
      <c r="BI28" s="817"/>
      <c r="BJ28" s="817"/>
      <c r="BK28" s="817"/>
      <c r="BL28" s="817"/>
      <c r="BM28" s="817"/>
      <c r="BN28" s="817"/>
      <c r="BO28" s="817"/>
      <c r="BP28" s="817"/>
      <c r="BQ28" s="817"/>
      <c r="BR28" s="817"/>
      <c r="BS28" s="817"/>
      <c r="BT28" s="817"/>
      <c r="BU28" s="817"/>
      <c r="BV28" s="817"/>
      <c r="BW28" s="817"/>
      <c r="BX28" s="817"/>
      <c r="BY28" s="817"/>
      <c r="BZ28" s="817"/>
      <c r="CA28" s="817"/>
      <c r="CB28" s="817"/>
      <c r="CC28" s="817"/>
      <c r="CD28" s="817"/>
      <c r="CE28" s="817"/>
      <c r="CF28" s="817"/>
      <c r="CG28" s="817"/>
      <c r="CH28" s="817"/>
      <c r="CI28" s="817"/>
      <c r="CJ28" s="817"/>
      <c r="CK28" s="817"/>
      <c r="CL28" s="817"/>
      <c r="CM28" s="817"/>
      <c r="CN28" s="817"/>
      <c r="CO28" s="817"/>
      <c r="CP28" s="817"/>
      <c r="CQ28" s="817"/>
      <c r="CR28" s="817"/>
      <c r="CS28" s="817"/>
      <c r="CT28" s="817"/>
      <c r="CU28" s="817"/>
      <c r="CV28" s="817"/>
      <c r="CW28" s="817"/>
      <c r="CX28" s="817"/>
      <c r="CY28" s="817"/>
      <c r="CZ28" s="817"/>
      <c r="DA28" s="817"/>
      <c r="DB28" s="817"/>
      <c r="DC28" s="817"/>
      <c r="DD28" s="817"/>
      <c r="DE28" s="817"/>
      <c r="DF28" s="817"/>
      <c r="DG28" s="817"/>
      <c r="DH28" s="817"/>
      <c r="DI28" s="817"/>
      <c r="DJ28" s="817"/>
      <c r="DK28" s="817"/>
      <c r="DL28" s="817"/>
      <c r="DM28" s="817"/>
      <c r="DN28" s="817"/>
      <c r="DO28" s="817"/>
      <c r="DP28" s="817"/>
      <c r="DQ28" s="817"/>
      <c r="DR28" s="817"/>
      <c r="DS28" s="817"/>
      <c r="DT28" s="817"/>
      <c r="DU28" s="817"/>
      <c r="DV28" s="817"/>
      <c r="DW28" s="817"/>
      <c r="DX28" s="817"/>
      <c r="DY28" s="817"/>
      <c r="DZ28" s="817"/>
      <c r="EA28" s="817"/>
      <c r="EB28" s="817"/>
      <c r="EC28" s="817"/>
      <c r="ED28" s="817"/>
      <c r="EE28" s="817"/>
      <c r="EF28" s="817"/>
      <c r="EG28" s="817"/>
      <c r="EH28" s="817"/>
      <c r="EI28" s="817"/>
      <c r="EJ28" s="817"/>
      <c r="EK28" s="817"/>
      <c r="EL28" s="817"/>
      <c r="EM28" s="817"/>
      <c r="EN28" s="817"/>
      <c r="EO28" s="817"/>
      <c r="EP28" s="817"/>
      <c r="EQ28" s="817"/>
      <c r="ER28" s="817"/>
      <c r="ES28" s="817"/>
      <c r="ET28" s="817"/>
      <c r="EU28" s="817"/>
      <c r="EV28" s="817"/>
      <c r="EW28" s="817"/>
      <c r="EX28" s="817"/>
      <c r="EY28" s="817"/>
      <c r="EZ28" s="817"/>
      <c r="FA28" s="817"/>
      <c r="FB28" s="817"/>
      <c r="FC28" s="817"/>
      <c r="FD28" s="817"/>
      <c r="FE28" s="817"/>
      <c r="FF28" s="817"/>
      <c r="FG28" s="817"/>
      <c r="FH28" s="817"/>
      <c r="FI28" s="817"/>
      <c r="FJ28" s="817"/>
      <c r="FK28" s="817"/>
      <c r="FL28" s="817"/>
      <c r="FM28" s="817"/>
      <c r="FN28" s="817"/>
      <c r="FO28" s="817"/>
      <c r="FP28" s="817"/>
      <c r="FQ28" s="817"/>
      <c r="FR28" s="817"/>
      <c r="FS28" s="817"/>
      <c r="FT28" s="817"/>
      <c r="FU28" s="817"/>
      <c r="FV28" s="817"/>
      <c r="FW28" s="817"/>
      <c r="FX28" s="817"/>
      <c r="FY28" s="817"/>
      <c r="FZ28" s="817"/>
      <c r="GA28" s="817"/>
      <c r="GB28" s="817"/>
      <c r="GC28" s="817"/>
      <c r="GD28" s="817"/>
      <c r="GE28" s="817"/>
      <c r="GF28" s="817"/>
      <c r="GG28" s="817"/>
      <c r="GH28" s="817"/>
      <c r="GI28" s="817"/>
      <c r="GJ28" s="817"/>
      <c r="GK28" s="817"/>
      <c r="GL28" s="817"/>
      <c r="GM28" s="817"/>
      <c r="GN28" s="817"/>
      <c r="GO28" s="817"/>
      <c r="GP28" s="817"/>
      <c r="GQ28" s="817"/>
      <c r="GR28" s="817"/>
      <c r="GS28" s="817"/>
      <c r="GT28" s="817"/>
      <c r="GU28" s="817"/>
      <c r="GV28" s="817"/>
      <c r="GW28" s="817"/>
      <c r="GX28" s="817"/>
      <c r="GY28" s="817"/>
      <c r="GZ28" s="817"/>
      <c r="HA28" s="817"/>
      <c r="HB28" s="817"/>
      <c r="HC28" s="817"/>
      <c r="HD28" s="817"/>
      <c r="HE28" s="817"/>
      <c r="HF28" s="817"/>
      <c r="HG28" s="817"/>
      <c r="HH28" s="817"/>
      <c r="HI28" s="817"/>
      <c r="HJ28" s="817"/>
      <c r="HK28" s="817"/>
      <c r="HL28" s="817"/>
      <c r="HM28" s="817"/>
      <c r="HN28" s="817"/>
      <c r="HO28" s="817"/>
      <c r="HP28" s="817"/>
      <c r="HQ28" s="817"/>
      <c r="HR28" s="817"/>
      <c r="HS28" s="817"/>
      <c r="HT28" s="817"/>
      <c r="HU28" s="817"/>
      <c r="HV28" s="817"/>
      <c r="HW28" s="817"/>
      <c r="HX28" s="817"/>
      <c r="HY28" s="817"/>
      <c r="HZ28" s="817"/>
      <c r="IA28" s="817"/>
      <c r="IB28" s="817"/>
      <c r="IC28" s="817"/>
      <c r="ID28" s="817"/>
      <c r="IE28" s="817"/>
      <c r="IF28" s="817"/>
      <c r="IG28" s="817"/>
      <c r="IH28" s="817"/>
      <c r="II28" s="817"/>
      <c r="IJ28" s="817"/>
      <c r="IK28" s="817"/>
      <c r="IL28" s="817"/>
      <c r="IM28" s="817"/>
      <c r="IN28" s="817"/>
      <c r="IO28" s="817"/>
      <c r="IP28" s="817"/>
      <c r="IQ28" s="817"/>
      <c r="IR28" s="817"/>
      <c r="IS28" s="817"/>
      <c r="IT28" s="817"/>
      <c r="IU28" s="817"/>
      <c r="IV28" s="817"/>
    </row>
    <row r="29" spans="1:256" ht="10.5" customHeight="1">
      <c r="A29" s="803" t="s">
        <v>455</v>
      </c>
      <c r="B29" s="826">
        <v>1.9</v>
      </c>
      <c r="C29" s="826">
        <v>1.6</v>
      </c>
      <c r="D29" s="827">
        <v>0.2</v>
      </c>
      <c r="E29" s="827">
        <v>0</v>
      </c>
      <c r="F29" s="827">
        <v>0</v>
      </c>
      <c r="G29" s="827">
        <v>0</v>
      </c>
      <c r="H29" s="827">
        <v>0</v>
      </c>
      <c r="I29" s="827">
        <v>0</v>
      </c>
      <c r="J29" s="827">
        <v>0</v>
      </c>
      <c r="K29" s="827">
        <v>0</v>
      </c>
      <c r="L29" s="851">
        <v>0</v>
      </c>
      <c r="M29" s="851">
        <v>0</v>
      </c>
      <c r="N29" s="851">
        <v>0</v>
      </c>
      <c r="O29" s="817"/>
      <c r="P29" s="817"/>
      <c r="Q29" s="817"/>
      <c r="R29" s="817"/>
      <c r="S29" s="817"/>
      <c r="T29" s="817"/>
      <c r="U29" s="817"/>
      <c r="V29" s="817"/>
      <c r="W29" s="817"/>
      <c r="X29" s="817"/>
      <c r="Y29" s="817"/>
      <c r="Z29" s="817"/>
      <c r="AA29" s="817"/>
      <c r="AB29" s="817"/>
      <c r="AC29" s="817"/>
      <c r="AD29" s="817"/>
      <c r="AE29" s="817"/>
      <c r="AF29" s="817"/>
      <c r="AG29" s="817"/>
      <c r="AH29" s="817"/>
      <c r="AI29" s="817"/>
      <c r="AJ29" s="817"/>
      <c r="AK29" s="817"/>
      <c r="AL29" s="817"/>
      <c r="AM29" s="817"/>
      <c r="AN29" s="817"/>
      <c r="AO29" s="817"/>
      <c r="AP29" s="817"/>
      <c r="AQ29" s="817"/>
      <c r="AR29" s="817"/>
      <c r="AS29" s="817"/>
      <c r="AT29" s="817"/>
      <c r="AU29" s="817"/>
      <c r="AV29" s="817"/>
      <c r="AW29" s="817"/>
      <c r="AX29" s="817"/>
      <c r="AY29" s="817"/>
      <c r="AZ29" s="817"/>
      <c r="BA29" s="817"/>
      <c r="BB29" s="817"/>
      <c r="BC29" s="817"/>
      <c r="BD29" s="817"/>
      <c r="BE29" s="817"/>
      <c r="BF29" s="817"/>
      <c r="BG29" s="817"/>
      <c r="BH29" s="817"/>
      <c r="BI29" s="817"/>
      <c r="BJ29" s="817"/>
      <c r="BK29" s="817"/>
      <c r="BL29" s="817"/>
      <c r="BM29" s="817"/>
      <c r="BN29" s="817"/>
      <c r="BO29" s="817"/>
      <c r="BP29" s="817"/>
      <c r="BQ29" s="817"/>
      <c r="BR29" s="817"/>
      <c r="BS29" s="817"/>
      <c r="BT29" s="817"/>
      <c r="BU29" s="817"/>
      <c r="BV29" s="817"/>
      <c r="BW29" s="817"/>
      <c r="BX29" s="817"/>
      <c r="BY29" s="817"/>
      <c r="BZ29" s="817"/>
      <c r="CA29" s="817"/>
      <c r="CB29" s="817"/>
      <c r="CC29" s="817"/>
      <c r="CD29" s="817"/>
      <c r="CE29" s="817"/>
      <c r="CF29" s="817"/>
      <c r="CG29" s="817"/>
      <c r="CH29" s="817"/>
      <c r="CI29" s="817"/>
      <c r="CJ29" s="817"/>
      <c r="CK29" s="817"/>
      <c r="CL29" s="817"/>
      <c r="CM29" s="817"/>
      <c r="CN29" s="817"/>
      <c r="CO29" s="817"/>
      <c r="CP29" s="817"/>
      <c r="CQ29" s="817"/>
      <c r="CR29" s="817"/>
      <c r="CS29" s="817"/>
      <c r="CT29" s="817"/>
      <c r="CU29" s="817"/>
      <c r="CV29" s="817"/>
      <c r="CW29" s="817"/>
      <c r="CX29" s="817"/>
      <c r="CY29" s="817"/>
      <c r="CZ29" s="817"/>
      <c r="DA29" s="817"/>
      <c r="DB29" s="817"/>
      <c r="DC29" s="817"/>
      <c r="DD29" s="817"/>
      <c r="DE29" s="817"/>
      <c r="DF29" s="817"/>
      <c r="DG29" s="817"/>
      <c r="DH29" s="817"/>
      <c r="DI29" s="817"/>
      <c r="DJ29" s="817"/>
      <c r="DK29" s="817"/>
      <c r="DL29" s="817"/>
      <c r="DM29" s="817"/>
      <c r="DN29" s="817"/>
      <c r="DO29" s="817"/>
      <c r="DP29" s="817"/>
      <c r="DQ29" s="817"/>
      <c r="DR29" s="817"/>
      <c r="DS29" s="817"/>
      <c r="DT29" s="817"/>
      <c r="DU29" s="817"/>
      <c r="DV29" s="817"/>
      <c r="DW29" s="817"/>
      <c r="DX29" s="817"/>
      <c r="DY29" s="817"/>
      <c r="DZ29" s="817"/>
      <c r="EA29" s="817"/>
      <c r="EB29" s="817"/>
      <c r="EC29" s="817"/>
      <c r="ED29" s="817"/>
      <c r="EE29" s="817"/>
      <c r="EF29" s="817"/>
      <c r="EG29" s="817"/>
      <c r="EH29" s="817"/>
      <c r="EI29" s="817"/>
      <c r="EJ29" s="817"/>
      <c r="EK29" s="817"/>
      <c r="EL29" s="817"/>
      <c r="EM29" s="817"/>
      <c r="EN29" s="817"/>
      <c r="EO29" s="817"/>
      <c r="EP29" s="817"/>
      <c r="EQ29" s="817"/>
      <c r="ER29" s="817"/>
      <c r="ES29" s="817"/>
      <c r="ET29" s="817"/>
      <c r="EU29" s="817"/>
      <c r="EV29" s="817"/>
      <c r="EW29" s="817"/>
      <c r="EX29" s="817"/>
      <c r="EY29" s="817"/>
      <c r="EZ29" s="817"/>
      <c r="FA29" s="817"/>
      <c r="FB29" s="817"/>
      <c r="FC29" s="817"/>
      <c r="FD29" s="817"/>
      <c r="FE29" s="817"/>
      <c r="FF29" s="817"/>
      <c r="FG29" s="817"/>
      <c r="FH29" s="817"/>
      <c r="FI29" s="817"/>
      <c r="FJ29" s="817"/>
      <c r="FK29" s="817"/>
      <c r="FL29" s="817"/>
      <c r="FM29" s="817"/>
      <c r="FN29" s="817"/>
      <c r="FO29" s="817"/>
      <c r="FP29" s="817"/>
      <c r="FQ29" s="817"/>
      <c r="FR29" s="817"/>
      <c r="FS29" s="817"/>
      <c r="FT29" s="817"/>
      <c r="FU29" s="817"/>
      <c r="FV29" s="817"/>
      <c r="FW29" s="817"/>
      <c r="FX29" s="817"/>
      <c r="FY29" s="817"/>
      <c r="FZ29" s="817"/>
      <c r="GA29" s="817"/>
      <c r="GB29" s="817"/>
      <c r="GC29" s="817"/>
      <c r="GD29" s="817"/>
      <c r="GE29" s="817"/>
      <c r="GF29" s="817"/>
      <c r="GG29" s="817"/>
      <c r="GH29" s="817"/>
      <c r="GI29" s="817"/>
      <c r="GJ29" s="817"/>
      <c r="GK29" s="817"/>
      <c r="GL29" s="817"/>
      <c r="GM29" s="817"/>
      <c r="GN29" s="817"/>
      <c r="GO29" s="817"/>
      <c r="GP29" s="817"/>
      <c r="GQ29" s="817"/>
      <c r="GR29" s="817"/>
      <c r="GS29" s="817"/>
      <c r="GT29" s="817"/>
      <c r="GU29" s="817"/>
      <c r="GV29" s="817"/>
      <c r="GW29" s="817"/>
      <c r="GX29" s="817"/>
      <c r="GY29" s="817"/>
      <c r="GZ29" s="817"/>
      <c r="HA29" s="817"/>
      <c r="HB29" s="817"/>
      <c r="HC29" s="817"/>
      <c r="HD29" s="817"/>
      <c r="HE29" s="817"/>
      <c r="HF29" s="817"/>
      <c r="HG29" s="817"/>
      <c r="HH29" s="817"/>
      <c r="HI29" s="817"/>
      <c r="HJ29" s="817"/>
      <c r="HK29" s="817"/>
      <c r="HL29" s="817"/>
      <c r="HM29" s="817"/>
      <c r="HN29" s="817"/>
      <c r="HO29" s="817"/>
      <c r="HP29" s="817"/>
      <c r="HQ29" s="817"/>
      <c r="HR29" s="817"/>
      <c r="HS29" s="817"/>
      <c r="HT29" s="817"/>
      <c r="HU29" s="817"/>
      <c r="HV29" s="817"/>
      <c r="HW29" s="817"/>
      <c r="HX29" s="817"/>
      <c r="HY29" s="817"/>
      <c r="HZ29" s="817"/>
      <c r="IA29" s="817"/>
      <c r="IB29" s="817"/>
      <c r="IC29" s="817"/>
      <c r="ID29" s="817"/>
      <c r="IE29" s="817"/>
      <c r="IF29" s="817"/>
      <c r="IG29" s="817"/>
      <c r="IH29" s="817"/>
      <c r="II29" s="817"/>
      <c r="IJ29" s="817"/>
      <c r="IK29" s="817"/>
      <c r="IL29" s="817"/>
      <c r="IM29" s="817"/>
      <c r="IN29" s="817"/>
      <c r="IO29" s="817"/>
      <c r="IP29" s="817"/>
      <c r="IQ29" s="817"/>
      <c r="IR29" s="817"/>
      <c r="IS29" s="817"/>
      <c r="IT29" s="817"/>
      <c r="IU29" s="817"/>
      <c r="IV29" s="817"/>
    </row>
    <row r="30" spans="1:256" ht="10.5" customHeight="1">
      <c r="A30" s="803" t="s">
        <v>820</v>
      </c>
      <c r="B30" s="826">
        <v>24.6</v>
      </c>
      <c r="C30" s="826">
        <v>20.9</v>
      </c>
      <c r="D30" s="827">
        <v>20.5</v>
      </c>
      <c r="E30" s="827">
        <v>23.4</v>
      </c>
      <c r="F30" s="827">
        <v>136.5</v>
      </c>
      <c r="G30" s="827">
        <v>47.9</v>
      </c>
      <c r="H30" s="827">
        <v>83.4</v>
      </c>
      <c r="I30" s="827">
        <v>94</v>
      </c>
      <c r="J30" s="827">
        <v>69.900000000000006</v>
      </c>
      <c r="K30" s="827">
        <v>57</v>
      </c>
      <c r="L30" s="850">
        <v>32.5</v>
      </c>
      <c r="M30" s="850">
        <v>76.599999999999994</v>
      </c>
      <c r="N30" s="827">
        <v>79.5</v>
      </c>
      <c r="O30" s="817"/>
      <c r="P30" s="817"/>
      <c r="Q30" s="817"/>
      <c r="R30" s="817"/>
      <c r="S30" s="817"/>
      <c r="T30" s="817"/>
      <c r="U30" s="817"/>
      <c r="V30" s="817"/>
      <c r="W30" s="817"/>
      <c r="X30" s="817"/>
      <c r="Y30" s="817"/>
      <c r="Z30" s="817"/>
      <c r="AA30" s="817"/>
      <c r="AB30" s="817"/>
      <c r="AC30" s="817"/>
      <c r="AD30" s="817"/>
      <c r="AE30" s="817"/>
      <c r="AF30" s="817"/>
      <c r="AG30" s="817"/>
      <c r="AH30" s="817"/>
      <c r="AI30" s="817"/>
      <c r="AJ30" s="817"/>
      <c r="AK30" s="817"/>
      <c r="AL30" s="817"/>
      <c r="AM30" s="817"/>
      <c r="AN30" s="817"/>
      <c r="AO30" s="817"/>
      <c r="AP30" s="817"/>
      <c r="AQ30" s="817"/>
      <c r="AR30" s="817"/>
      <c r="AS30" s="817"/>
      <c r="AT30" s="817"/>
      <c r="AU30" s="817"/>
      <c r="AV30" s="817"/>
      <c r="AW30" s="817"/>
      <c r="AX30" s="817"/>
      <c r="AY30" s="817"/>
      <c r="AZ30" s="817"/>
      <c r="BA30" s="817"/>
      <c r="BB30" s="817"/>
      <c r="BC30" s="817"/>
      <c r="BD30" s="817"/>
      <c r="BE30" s="817"/>
      <c r="BF30" s="817"/>
      <c r="BG30" s="817"/>
      <c r="BH30" s="817"/>
      <c r="BI30" s="817"/>
      <c r="BJ30" s="817"/>
      <c r="BK30" s="817"/>
      <c r="BL30" s="817"/>
      <c r="BM30" s="817"/>
      <c r="BN30" s="817"/>
      <c r="BO30" s="817"/>
      <c r="BP30" s="817"/>
      <c r="BQ30" s="817"/>
      <c r="BR30" s="817"/>
      <c r="BS30" s="817"/>
      <c r="BT30" s="817"/>
      <c r="BU30" s="817"/>
      <c r="BV30" s="817"/>
      <c r="BW30" s="817"/>
      <c r="BX30" s="817"/>
      <c r="BY30" s="817"/>
      <c r="BZ30" s="817"/>
      <c r="CA30" s="817"/>
      <c r="CB30" s="817"/>
      <c r="CC30" s="817"/>
      <c r="CD30" s="817"/>
      <c r="CE30" s="817"/>
      <c r="CF30" s="817"/>
      <c r="CG30" s="817"/>
      <c r="CH30" s="817"/>
      <c r="CI30" s="817"/>
      <c r="CJ30" s="817"/>
      <c r="CK30" s="817"/>
      <c r="CL30" s="817"/>
      <c r="CM30" s="817"/>
      <c r="CN30" s="817"/>
      <c r="CO30" s="817"/>
      <c r="CP30" s="817"/>
      <c r="CQ30" s="817"/>
      <c r="CR30" s="817"/>
      <c r="CS30" s="817"/>
      <c r="CT30" s="817"/>
      <c r="CU30" s="817"/>
      <c r="CV30" s="817"/>
      <c r="CW30" s="817"/>
      <c r="CX30" s="817"/>
      <c r="CY30" s="817"/>
      <c r="CZ30" s="817"/>
      <c r="DA30" s="817"/>
      <c r="DB30" s="817"/>
      <c r="DC30" s="817"/>
      <c r="DD30" s="817"/>
      <c r="DE30" s="817"/>
      <c r="DF30" s="817"/>
      <c r="DG30" s="817"/>
      <c r="DH30" s="817"/>
      <c r="DI30" s="817"/>
      <c r="DJ30" s="817"/>
      <c r="DK30" s="817"/>
      <c r="DL30" s="817"/>
      <c r="DM30" s="817"/>
      <c r="DN30" s="817"/>
      <c r="DO30" s="817"/>
      <c r="DP30" s="817"/>
      <c r="DQ30" s="817"/>
      <c r="DR30" s="817"/>
      <c r="DS30" s="817"/>
      <c r="DT30" s="817"/>
      <c r="DU30" s="817"/>
      <c r="DV30" s="817"/>
      <c r="DW30" s="817"/>
      <c r="DX30" s="817"/>
      <c r="DY30" s="817"/>
      <c r="DZ30" s="817"/>
      <c r="EA30" s="817"/>
      <c r="EB30" s="817"/>
      <c r="EC30" s="817"/>
      <c r="ED30" s="817"/>
      <c r="EE30" s="817"/>
      <c r="EF30" s="817"/>
      <c r="EG30" s="817"/>
      <c r="EH30" s="817"/>
      <c r="EI30" s="817"/>
      <c r="EJ30" s="817"/>
      <c r="EK30" s="817"/>
      <c r="EL30" s="817"/>
      <c r="EM30" s="817"/>
      <c r="EN30" s="817"/>
      <c r="EO30" s="817"/>
      <c r="EP30" s="817"/>
      <c r="EQ30" s="817"/>
      <c r="ER30" s="817"/>
      <c r="ES30" s="817"/>
      <c r="ET30" s="817"/>
      <c r="EU30" s="817"/>
      <c r="EV30" s="817"/>
      <c r="EW30" s="817"/>
      <c r="EX30" s="817"/>
      <c r="EY30" s="817"/>
      <c r="EZ30" s="817"/>
      <c r="FA30" s="817"/>
      <c r="FB30" s="817"/>
      <c r="FC30" s="817"/>
      <c r="FD30" s="817"/>
      <c r="FE30" s="817"/>
      <c r="FF30" s="817"/>
      <c r="FG30" s="817"/>
      <c r="FH30" s="817"/>
      <c r="FI30" s="817"/>
      <c r="FJ30" s="817"/>
      <c r="FK30" s="817"/>
      <c r="FL30" s="817"/>
      <c r="FM30" s="817"/>
      <c r="FN30" s="817"/>
      <c r="FO30" s="817"/>
      <c r="FP30" s="817"/>
      <c r="FQ30" s="817"/>
      <c r="FR30" s="817"/>
      <c r="FS30" s="817"/>
      <c r="FT30" s="817"/>
      <c r="FU30" s="817"/>
      <c r="FV30" s="817"/>
      <c r="FW30" s="817"/>
      <c r="FX30" s="817"/>
      <c r="FY30" s="817"/>
      <c r="FZ30" s="817"/>
      <c r="GA30" s="817"/>
      <c r="GB30" s="817"/>
      <c r="GC30" s="817"/>
      <c r="GD30" s="817"/>
      <c r="GE30" s="817"/>
      <c r="GF30" s="817"/>
      <c r="GG30" s="817"/>
      <c r="GH30" s="817"/>
      <c r="GI30" s="817"/>
      <c r="GJ30" s="817"/>
      <c r="GK30" s="817"/>
      <c r="GL30" s="817"/>
      <c r="GM30" s="817"/>
      <c r="GN30" s="817"/>
      <c r="GO30" s="817"/>
      <c r="GP30" s="817"/>
      <c r="GQ30" s="817"/>
      <c r="GR30" s="817"/>
      <c r="GS30" s="817"/>
      <c r="GT30" s="817"/>
      <c r="GU30" s="817"/>
      <c r="GV30" s="817"/>
      <c r="GW30" s="817"/>
      <c r="GX30" s="817"/>
      <c r="GY30" s="817"/>
      <c r="GZ30" s="817"/>
      <c r="HA30" s="817"/>
      <c r="HB30" s="817"/>
      <c r="HC30" s="817"/>
      <c r="HD30" s="817"/>
      <c r="HE30" s="817"/>
      <c r="HF30" s="817"/>
      <c r="HG30" s="817"/>
      <c r="HH30" s="817"/>
      <c r="HI30" s="817"/>
      <c r="HJ30" s="817"/>
      <c r="HK30" s="817"/>
      <c r="HL30" s="817"/>
      <c r="HM30" s="817"/>
      <c r="HN30" s="817"/>
      <c r="HO30" s="817"/>
      <c r="HP30" s="817"/>
      <c r="HQ30" s="817"/>
      <c r="HR30" s="817"/>
      <c r="HS30" s="817"/>
      <c r="HT30" s="817"/>
      <c r="HU30" s="817"/>
      <c r="HV30" s="817"/>
      <c r="HW30" s="817"/>
      <c r="HX30" s="817"/>
      <c r="HY30" s="817"/>
      <c r="HZ30" s="817"/>
      <c r="IA30" s="817"/>
      <c r="IB30" s="817"/>
      <c r="IC30" s="817"/>
      <c r="ID30" s="817"/>
      <c r="IE30" s="817"/>
      <c r="IF30" s="817"/>
      <c r="IG30" s="817"/>
      <c r="IH30" s="817"/>
      <c r="II30" s="817"/>
      <c r="IJ30" s="817"/>
      <c r="IK30" s="817"/>
      <c r="IL30" s="817"/>
      <c r="IM30" s="817"/>
      <c r="IN30" s="817"/>
      <c r="IO30" s="817"/>
      <c r="IP30" s="817"/>
      <c r="IQ30" s="817"/>
      <c r="IR30" s="817"/>
      <c r="IS30" s="817"/>
      <c r="IT30" s="817"/>
      <c r="IU30" s="817"/>
      <c r="IV30" s="817"/>
    </row>
    <row r="31" spans="1:256" ht="10.5" customHeight="1">
      <c r="A31" s="803" t="s">
        <v>821</v>
      </c>
      <c r="B31" s="827">
        <v>3.1</v>
      </c>
      <c r="C31" s="827">
        <v>5.2</v>
      </c>
      <c r="D31" s="827">
        <v>8.4</v>
      </c>
      <c r="E31" s="827">
        <v>10.6</v>
      </c>
      <c r="F31" s="827">
        <v>10.7</v>
      </c>
      <c r="G31" s="827">
        <v>6.4</v>
      </c>
      <c r="H31" s="827">
        <v>5.8</v>
      </c>
      <c r="I31" s="827">
        <v>5.8</v>
      </c>
      <c r="J31" s="827">
        <v>5.8</v>
      </c>
      <c r="K31" s="827">
        <v>5.7</v>
      </c>
      <c r="L31" s="851">
        <v>5.7</v>
      </c>
      <c r="M31" s="851">
        <v>5.7</v>
      </c>
      <c r="N31" s="827">
        <v>5.7</v>
      </c>
      <c r="O31" s="817"/>
      <c r="P31" s="817"/>
      <c r="Q31" s="817"/>
      <c r="R31" s="817"/>
      <c r="S31" s="817"/>
      <c r="T31" s="817"/>
      <c r="U31" s="817"/>
      <c r="V31" s="817"/>
      <c r="W31" s="817"/>
      <c r="X31" s="817"/>
      <c r="Y31" s="817"/>
      <c r="Z31" s="817"/>
      <c r="AA31" s="817"/>
      <c r="AB31" s="817"/>
      <c r="AC31" s="817"/>
      <c r="AD31" s="817"/>
      <c r="AE31" s="817"/>
      <c r="AF31" s="817"/>
      <c r="AG31" s="817"/>
      <c r="AH31" s="817"/>
      <c r="AI31" s="817"/>
      <c r="AJ31" s="817"/>
      <c r="AK31" s="817"/>
      <c r="AL31" s="817"/>
      <c r="AM31" s="817"/>
      <c r="AN31" s="817"/>
      <c r="AO31" s="817"/>
      <c r="AP31" s="817"/>
      <c r="AQ31" s="817"/>
      <c r="AR31" s="817"/>
      <c r="AS31" s="817"/>
      <c r="AT31" s="817"/>
      <c r="AU31" s="817"/>
      <c r="AV31" s="817"/>
      <c r="AW31" s="817"/>
      <c r="AX31" s="817"/>
      <c r="AY31" s="817"/>
      <c r="AZ31" s="817"/>
      <c r="BA31" s="817"/>
      <c r="BB31" s="817"/>
      <c r="BC31" s="817"/>
      <c r="BD31" s="817"/>
      <c r="BE31" s="817"/>
      <c r="BF31" s="817"/>
      <c r="BG31" s="817"/>
      <c r="BH31" s="817"/>
      <c r="BI31" s="817"/>
      <c r="BJ31" s="817"/>
      <c r="BK31" s="817"/>
      <c r="BL31" s="817"/>
      <c r="BM31" s="817"/>
      <c r="BN31" s="817"/>
      <c r="BO31" s="817"/>
      <c r="BP31" s="817"/>
      <c r="BQ31" s="817"/>
      <c r="BR31" s="817"/>
      <c r="BS31" s="817"/>
      <c r="BT31" s="817"/>
      <c r="BU31" s="817"/>
      <c r="BV31" s="817"/>
      <c r="BW31" s="817"/>
      <c r="BX31" s="817"/>
      <c r="BY31" s="817"/>
      <c r="BZ31" s="817"/>
      <c r="CA31" s="817"/>
      <c r="CB31" s="817"/>
      <c r="CC31" s="817"/>
      <c r="CD31" s="817"/>
      <c r="CE31" s="817"/>
      <c r="CF31" s="817"/>
      <c r="CG31" s="817"/>
      <c r="CH31" s="817"/>
      <c r="CI31" s="817"/>
      <c r="CJ31" s="817"/>
      <c r="CK31" s="817"/>
      <c r="CL31" s="817"/>
      <c r="CM31" s="817"/>
      <c r="CN31" s="817"/>
      <c r="CO31" s="817"/>
      <c r="CP31" s="817"/>
      <c r="CQ31" s="817"/>
      <c r="CR31" s="817"/>
      <c r="CS31" s="817"/>
      <c r="CT31" s="817"/>
      <c r="CU31" s="817"/>
      <c r="CV31" s="817"/>
      <c r="CW31" s="817"/>
      <c r="CX31" s="817"/>
      <c r="CY31" s="817"/>
      <c r="CZ31" s="817"/>
      <c r="DA31" s="817"/>
      <c r="DB31" s="817"/>
      <c r="DC31" s="817"/>
      <c r="DD31" s="817"/>
      <c r="DE31" s="817"/>
      <c r="DF31" s="817"/>
      <c r="DG31" s="817"/>
      <c r="DH31" s="817"/>
      <c r="DI31" s="817"/>
      <c r="DJ31" s="817"/>
      <c r="DK31" s="817"/>
      <c r="DL31" s="817"/>
      <c r="DM31" s="817"/>
      <c r="DN31" s="817"/>
      <c r="DO31" s="817"/>
      <c r="DP31" s="817"/>
      <c r="DQ31" s="817"/>
      <c r="DR31" s="817"/>
      <c r="DS31" s="817"/>
      <c r="DT31" s="817"/>
      <c r="DU31" s="817"/>
      <c r="DV31" s="817"/>
      <c r="DW31" s="817"/>
      <c r="DX31" s="817"/>
      <c r="DY31" s="817"/>
      <c r="DZ31" s="817"/>
      <c r="EA31" s="817"/>
      <c r="EB31" s="817"/>
      <c r="EC31" s="817"/>
      <c r="ED31" s="817"/>
      <c r="EE31" s="817"/>
      <c r="EF31" s="817"/>
      <c r="EG31" s="817"/>
      <c r="EH31" s="817"/>
      <c r="EI31" s="817"/>
      <c r="EJ31" s="817"/>
      <c r="EK31" s="817"/>
      <c r="EL31" s="817"/>
      <c r="EM31" s="817"/>
      <c r="EN31" s="817"/>
      <c r="EO31" s="817"/>
      <c r="EP31" s="817"/>
      <c r="EQ31" s="817"/>
      <c r="ER31" s="817"/>
      <c r="ES31" s="817"/>
      <c r="ET31" s="817"/>
      <c r="EU31" s="817"/>
      <c r="EV31" s="817"/>
      <c r="EW31" s="817"/>
      <c r="EX31" s="817"/>
      <c r="EY31" s="817"/>
      <c r="EZ31" s="817"/>
      <c r="FA31" s="817"/>
      <c r="FB31" s="817"/>
      <c r="FC31" s="817"/>
      <c r="FD31" s="817"/>
      <c r="FE31" s="817"/>
      <c r="FF31" s="817"/>
      <c r="FG31" s="817"/>
      <c r="FH31" s="817"/>
      <c r="FI31" s="817"/>
      <c r="FJ31" s="817"/>
      <c r="FK31" s="817"/>
      <c r="FL31" s="817"/>
      <c r="FM31" s="817"/>
      <c r="FN31" s="817"/>
      <c r="FO31" s="817"/>
      <c r="FP31" s="817"/>
      <c r="FQ31" s="817"/>
      <c r="FR31" s="817"/>
      <c r="FS31" s="817"/>
      <c r="FT31" s="817"/>
      <c r="FU31" s="817"/>
      <c r="FV31" s="817"/>
      <c r="FW31" s="817"/>
      <c r="FX31" s="817"/>
      <c r="FY31" s="817"/>
      <c r="FZ31" s="817"/>
      <c r="GA31" s="817"/>
      <c r="GB31" s="817"/>
      <c r="GC31" s="817"/>
      <c r="GD31" s="817"/>
      <c r="GE31" s="817"/>
      <c r="GF31" s="817"/>
      <c r="GG31" s="817"/>
      <c r="GH31" s="817"/>
      <c r="GI31" s="817"/>
      <c r="GJ31" s="817"/>
      <c r="GK31" s="817"/>
      <c r="GL31" s="817"/>
      <c r="GM31" s="817"/>
      <c r="GN31" s="817"/>
      <c r="GO31" s="817"/>
      <c r="GP31" s="817"/>
      <c r="GQ31" s="817"/>
      <c r="GR31" s="817"/>
      <c r="GS31" s="817"/>
      <c r="GT31" s="817"/>
      <c r="GU31" s="817"/>
      <c r="GV31" s="817"/>
      <c r="GW31" s="817"/>
      <c r="GX31" s="817"/>
      <c r="GY31" s="817"/>
      <c r="GZ31" s="817"/>
      <c r="HA31" s="817"/>
      <c r="HB31" s="817"/>
      <c r="HC31" s="817"/>
      <c r="HD31" s="817"/>
      <c r="HE31" s="817"/>
      <c r="HF31" s="817"/>
      <c r="HG31" s="817"/>
      <c r="HH31" s="817"/>
      <c r="HI31" s="817"/>
      <c r="HJ31" s="817"/>
      <c r="HK31" s="817"/>
      <c r="HL31" s="817"/>
      <c r="HM31" s="817"/>
      <c r="HN31" s="817"/>
      <c r="HO31" s="817"/>
      <c r="HP31" s="817"/>
      <c r="HQ31" s="817"/>
      <c r="HR31" s="817"/>
      <c r="HS31" s="817"/>
      <c r="HT31" s="817"/>
      <c r="HU31" s="817"/>
      <c r="HV31" s="817"/>
      <c r="HW31" s="817"/>
      <c r="HX31" s="817"/>
      <c r="HY31" s="817"/>
      <c r="HZ31" s="817"/>
      <c r="IA31" s="817"/>
      <c r="IB31" s="817"/>
      <c r="IC31" s="817"/>
      <c r="ID31" s="817"/>
      <c r="IE31" s="817"/>
      <c r="IF31" s="817"/>
      <c r="IG31" s="817"/>
      <c r="IH31" s="817"/>
      <c r="II31" s="817"/>
      <c r="IJ31" s="817"/>
      <c r="IK31" s="817"/>
      <c r="IL31" s="817"/>
      <c r="IM31" s="817"/>
      <c r="IN31" s="817"/>
      <c r="IO31" s="817"/>
      <c r="IP31" s="817"/>
      <c r="IQ31" s="817"/>
      <c r="IR31" s="817"/>
      <c r="IS31" s="817"/>
      <c r="IT31" s="817"/>
      <c r="IU31" s="817"/>
      <c r="IV31" s="817"/>
    </row>
    <row r="32" spans="1:256" ht="10.5" customHeight="1">
      <c r="A32" s="852" t="s">
        <v>833</v>
      </c>
      <c r="B32" s="842">
        <v>0</v>
      </c>
      <c r="C32" s="842">
        <v>0</v>
      </c>
      <c r="D32" s="842">
        <v>0</v>
      </c>
      <c r="E32" s="842">
        <v>0</v>
      </c>
      <c r="F32" s="842">
        <v>0</v>
      </c>
      <c r="G32" s="842">
        <v>0</v>
      </c>
      <c r="H32" s="842">
        <v>0</v>
      </c>
      <c r="I32" s="842">
        <v>0</v>
      </c>
      <c r="J32" s="842">
        <v>0</v>
      </c>
      <c r="K32" s="842">
        <v>0</v>
      </c>
      <c r="L32" s="843">
        <v>0</v>
      </c>
      <c r="M32" s="843">
        <v>0</v>
      </c>
      <c r="N32" s="843">
        <v>0</v>
      </c>
      <c r="O32" s="817"/>
      <c r="P32" s="817"/>
      <c r="Q32" s="817"/>
      <c r="R32" s="817"/>
      <c r="S32" s="817"/>
      <c r="T32" s="817"/>
      <c r="U32" s="817"/>
      <c r="V32" s="817"/>
      <c r="W32" s="817"/>
      <c r="X32" s="817"/>
      <c r="Y32" s="817"/>
      <c r="Z32" s="817"/>
      <c r="AA32" s="817"/>
      <c r="AB32" s="817"/>
      <c r="AC32" s="817"/>
      <c r="AD32" s="817"/>
      <c r="AE32" s="817"/>
      <c r="AF32" s="817"/>
      <c r="AG32" s="817"/>
      <c r="AH32" s="817"/>
      <c r="AI32" s="817"/>
      <c r="AJ32" s="817"/>
      <c r="AK32" s="817"/>
      <c r="AL32" s="817"/>
      <c r="AM32" s="817"/>
      <c r="AN32" s="817"/>
      <c r="AO32" s="817"/>
      <c r="AP32" s="817"/>
      <c r="AQ32" s="817"/>
      <c r="AR32" s="817"/>
      <c r="AS32" s="817"/>
      <c r="AT32" s="817"/>
      <c r="AU32" s="817"/>
      <c r="AV32" s="817"/>
      <c r="AW32" s="817"/>
      <c r="AX32" s="817"/>
      <c r="AY32" s="817"/>
      <c r="AZ32" s="817"/>
      <c r="BA32" s="817"/>
      <c r="BB32" s="817"/>
      <c r="BC32" s="817"/>
      <c r="BD32" s="817"/>
      <c r="BE32" s="817"/>
      <c r="BF32" s="817"/>
      <c r="BG32" s="817"/>
      <c r="BH32" s="817"/>
      <c r="BI32" s="817"/>
      <c r="BJ32" s="817"/>
      <c r="BK32" s="817"/>
      <c r="BL32" s="817"/>
      <c r="BM32" s="817"/>
      <c r="BN32" s="817"/>
      <c r="BO32" s="817"/>
      <c r="BP32" s="817"/>
      <c r="BQ32" s="817"/>
      <c r="BR32" s="817"/>
      <c r="BS32" s="817"/>
      <c r="BT32" s="817"/>
      <c r="BU32" s="817"/>
      <c r="BV32" s="817"/>
      <c r="BW32" s="817"/>
      <c r="BX32" s="817"/>
      <c r="BY32" s="817"/>
      <c r="BZ32" s="817"/>
      <c r="CA32" s="817"/>
      <c r="CB32" s="817"/>
      <c r="CC32" s="817"/>
      <c r="CD32" s="817"/>
      <c r="CE32" s="817"/>
      <c r="CF32" s="817"/>
      <c r="CG32" s="817"/>
      <c r="CH32" s="817"/>
      <c r="CI32" s="817"/>
      <c r="CJ32" s="817"/>
      <c r="CK32" s="817"/>
      <c r="CL32" s="817"/>
      <c r="CM32" s="817"/>
      <c r="CN32" s="817"/>
      <c r="CO32" s="817"/>
      <c r="CP32" s="817"/>
      <c r="CQ32" s="817"/>
      <c r="CR32" s="817"/>
      <c r="CS32" s="817"/>
      <c r="CT32" s="817"/>
      <c r="CU32" s="817"/>
      <c r="CV32" s="817"/>
      <c r="CW32" s="817"/>
      <c r="CX32" s="817"/>
      <c r="CY32" s="817"/>
      <c r="CZ32" s="817"/>
      <c r="DA32" s="817"/>
      <c r="DB32" s="817"/>
      <c r="DC32" s="817"/>
      <c r="DD32" s="817"/>
      <c r="DE32" s="817"/>
      <c r="DF32" s="817"/>
      <c r="DG32" s="817"/>
      <c r="DH32" s="817"/>
      <c r="DI32" s="817"/>
      <c r="DJ32" s="817"/>
      <c r="DK32" s="817"/>
      <c r="DL32" s="817"/>
      <c r="DM32" s="817"/>
      <c r="DN32" s="817"/>
      <c r="DO32" s="817"/>
      <c r="DP32" s="817"/>
      <c r="DQ32" s="817"/>
      <c r="DR32" s="817"/>
      <c r="DS32" s="817"/>
      <c r="DT32" s="817"/>
      <c r="DU32" s="817"/>
      <c r="DV32" s="817"/>
      <c r="DW32" s="817"/>
      <c r="DX32" s="817"/>
      <c r="DY32" s="817"/>
      <c r="DZ32" s="817"/>
      <c r="EA32" s="817"/>
      <c r="EB32" s="817"/>
      <c r="EC32" s="817"/>
      <c r="ED32" s="817"/>
      <c r="EE32" s="817"/>
      <c r="EF32" s="817"/>
      <c r="EG32" s="817"/>
      <c r="EH32" s="817"/>
      <c r="EI32" s="817"/>
      <c r="EJ32" s="817"/>
      <c r="EK32" s="817"/>
      <c r="EL32" s="817"/>
      <c r="EM32" s="817"/>
      <c r="EN32" s="817"/>
      <c r="EO32" s="817"/>
      <c r="EP32" s="817"/>
      <c r="EQ32" s="817"/>
      <c r="ER32" s="817"/>
      <c r="ES32" s="817"/>
      <c r="ET32" s="817"/>
      <c r="EU32" s="817"/>
      <c r="EV32" s="817"/>
      <c r="EW32" s="817"/>
      <c r="EX32" s="817"/>
      <c r="EY32" s="817"/>
      <c r="EZ32" s="817"/>
      <c r="FA32" s="817"/>
      <c r="FB32" s="817"/>
      <c r="FC32" s="817"/>
      <c r="FD32" s="817"/>
      <c r="FE32" s="817"/>
      <c r="FF32" s="817"/>
      <c r="FG32" s="817"/>
      <c r="FH32" s="817"/>
      <c r="FI32" s="817"/>
      <c r="FJ32" s="817"/>
      <c r="FK32" s="817"/>
      <c r="FL32" s="817"/>
      <c r="FM32" s="817"/>
      <c r="FN32" s="817"/>
      <c r="FO32" s="817"/>
      <c r="FP32" s="817"/>
      <c r="FQ32" s="817"/>
      <c r="FR32" s="817"/>
      <c r="FS32" s="817"/>
      <c r="FT32" s="817"/>
      <c r="FU32" s="817"/>
      <c r="FV32" s="817"/>
      <c r="FW32" s="817"/>
      <c r="FX32" s="817"/>
      <c r="FY32" s="817"/>
      <c r="FZ32" s="817"/>
      <c r="GA32" s="817"/>
      <c r="GB32" s="817"/>
      <c r="GC32" s="817"/>
      <c r="GD32" s="817"/>
      <c r="GE32" s="817"/>
      <c r="GF32" s="817"/>
      <c r="GG32" s="817"/>
      <c r="GH32" s="817"/>
      <c r="GI32" s="817"/>
      <c r="GJ32" s="817"/>
      <c r="GK32" s="817"/>
      <c r="GL32" s="817"/>
      <c r="GM32" s="817"/>
      <c r="GN32" s="817"/>
      <c r="GO32" s="817"/>
      <c r="GP32" s="817"/>
      <c r="GQ32" s="817"/>
      <c r="GR32" s="817"/>
      <c r="GS32" s="817"/>
      <c r="GT32" s="817"/>
      <c r="GU32" s="817"/>
      <c r="GV32" s="817"/>
      <c r="GW32" s="817"/>
      <c r="GX32" s="817"/>
      <c r="GY32" s="817"/>
      <c r="GZ32" s="817"/>
      <c r="HA32" s="817"/>
      <c r="HB32" s="817"/>
      <c r="HC32" s="817"/>
      <c r="HD32" s="817"/>
      <c r="HE32" s="817"/>
      <c r="HF32" s="817"/>
      <c r="HG32" s="817"/>
      <c r="HH32" s="817"/>
      <c r="HI32" s="817"/>
      <c r="HJ32" s="817"/>
      <c r="HK32" s="817"/>
      <c r="HL32" s="817"/>
      <c r="HM32" s="817"/>
      <c r="HN32" s="817"/>
      <c r="HO32" s="817"/>
      <c r="HP32" s="817"/>
      <c r="HQ32" s="817"/>
      <c r="HR32" s="817"/>
      <c r="HS32" s="817"/>
      <c r="HT32" s="817"/>
      <c r="HU32" s="817"/>
      <c r="HV32" s="817"/>
      <c r="HW32" s="817"/>
      <c r="HX32" s="817"/>
      <c r="HY32" s="817"/>
      <c r="HZ32" s="817"/>
      <c r="IA32" s="817"/>
      <c r="IB32" s="817"/>
      <c r="IC32" s="817"/>
      <c r="ID32" s="817"/>
      <c r="IE32" s="817"/>
      <c r="IF32" s="817"/>
      <c r="IG32" s="817"/>
      <c r="IH32" s="817"/>
      <c r="II32" s="817"/>
      <c r="IJ32" s="817"/>
      <c r="IK32" s="817"/>
      <c r="IL32" s="817"/>
      <c r="IM32" s="817"/>
      <c r="IN32" s="817"/>
      <c r="IO32" s="817"/>
      <c r="IP32" s="817"/>
      <c r="IQ32" s="817"/>
      <c r="IR32" s="817"/>
      <c r="IS32" s="817"/>
      <c r="IT32" s="817"/>
      <c r="IU32" s="817"/>
      <c r="IV32" s="817"/>
    </row>
    <row r="33" spans="1:256" s="825" customFormat="1" ht="12.75" customHeight="1" thickBot="1">
      <c r="A33" s="845" t="s">
        <v>834</v>
      </c>
      <c r="B33" s="854">
        <v>29.6</v>
      </c>
      <c r="C33" s="854">
        <v>27.7</v>
      </c>
      <c r="D33" s="855">
        <v>29</v>
      </c>
      <c r="E33" s="855">
        <v>34.200000000000003</v>
      </c>
      <c r="F33" s="856">
        <v>147.4</v>
      </c>
      <c r="G33" s="856">
        <v>54.49</v>
      </c>
      <c r="H33" s="856">
        <v>89.2</v>
      </c>
      <c r="I33" s="856">
        <v>99.8</v>
      </c>
      <c r="J33" s="856">
        <v>75.7</v>
      </c>
      <c r="K33" s="856">
        <v>62.8</v>
      </c>
      <c r="L33" s="857">
        <v>38.200000000000003</v>
      </c>
      <c r="M33" s="857">
        <v>82.3</v>
      </c>
      <c r="N33" s="856">
        <v>85.2</v>
      </c>
      <c r="O33" s="824"/>
      <c r="P33" s="824"/>
      <c r="Q33" s="824"/>
      <c r="R33" s="824"/>
      <c r="S33" s="824"/>
      <c r="T33" s="824"/>
      <c r="U33" s="824"/>
      <c r="V33" s="824"/>
      <c r="W33" s="824"/>
      <c r="X33" s="824"/>
      <c r="Y33" s="824"/>
      <c r="Z33" s="824"/>
      <c r="AA33" s="824"/>
      <c r="AB33" s="824"/>
      <c r="AC33" s="824"/>
      <c r="AD33" s="824"/>
      <c r="AE33" s="824"/>
      <c r="AF33" s="824"/>
      <c r="AG33" s="824"/>
      <c r="AH33" s="824"/>
      <c r="AI33" s="824"/>
      <c r="AJ33" s="824"/>
      <c r="AK33" s="824"/>
      <c r="AL33" s="824"/>
      <c r="AM33" s="824"/>
      <c r="AN33" s="824"/>
      <c r="AO33" s="824"/>
      <c r="AP33" s="824"/>
      <c r="AQ33" s="824"/>
      <c r="AR33" s="824"/>
      <c r="AS33" s="824"/>
      <c r="AT33" s="824"/>
      <c r="AU33" s="824"/>
      <c r="AV33" s="824"/>
      <c r="AW33" s="824"/>
      <c r="AX33" s="824"/>
      <c r="AY33" s="824"/>
      <c r="AZ33" s="824"/>
      <c r="BA33" s="824"/>
      <c r="BB33" s="824"/>
      <c r="BC33" s="824"/>
      <c r="BD33" s="824"/>
      <c r="BE33" s="824"/>
      <c r="BF33" s="824"/>
      <c r="BG33" s="824"/>
      <c r="BH33" s="824"/>
      <c r="BI33" s="824"/>
      <c r="BJ33" s="824"/>
      <c r="BK33" s="824"/>
      <c r="BL33" s="824"/>
      <c r="BM33" s="824"/>
      <c r="BN33" s="824"/>
      <c r="BO33" s="824"/>
      <c r="BP33" s="824"/>
      <c r="BQ33" s="824"/>
      <c r="BR33" s="824"/>
      <c r="BS33" s="824"/>
      <c r="BT33" s="824"/>
      <c r="BU33" s="824"/>
      <c r="BV33" s="824"/>
      <c r="BW33" s="824"/>
      <c r="BX33" s="824"/>
      <c r="BY33" s="824"/>
      <c r="BZ33" s="824"/>
      <c r="CA33" s="824"/>
      <c r="CB33" s="824"/>
      <c r="CC33" s="824"/>
      <c r="CD33" s="824"/>
      <c r="CE33" s="824"/>
      <c r="CF33" s="824"/>
      <c r="CG33" s="824"/>
      <c r="CH33" s="824"/>
      <c r="CI33" s="824"/>
      <c r="CJ33" s="824"/>
      <c r="CK33" s="824"/>
      <c r="CL33" s="824"/>
      <c r="CM33" s="824"/>
      <c r="CN33" s="824"/>
      <c r="CO33" s="824"/>
      <c r="CP33" s="824"/>
      <c r="CQ33" s="824"/>
      <c r="CR33" s="824"/>
      <c r="CS33" s="824"/>
      <c r="CT33" s="824"/>
      <c r="CU33" s="824"/>
      <c r="CV33" s="824"/>
      <c r="CW33" s="824"/>
      <c r="CX33" s="824"/>
      <c r="CY33" s="824"/>
      <c r="CZ33" s="824"/>
      <c r="DA33" s="824"/>
      <c r="DB33" s="824"/>
      <c r="DC33" s="824"/>
      <c r="DD33" s="824"/>
      <c r="DE33" s="824"/>
      <c r="DF33" s="824"/>
      <c r="DG33" s="824"/>
      <c r="DH33" s="824"/>
      <c r="DI33" s="824"/>
      <c r="DJ33" s="824"/>
      <c r="DK33" s="824"/>
      <c r="DL33" s="824"/>
      <c r="DM33" s="824"/>
      <c r="DN33" s="824"/>
      <c r="DO33" s="824"/>
      <c r="DP33" s="824"/>
      <c r="DQ33" s="824"/>
      <c r="DR33" s="824"/>
      <c r="DS33" s="824"/>
      <c r="DT33" s="824"/>
      <c r="DU33" s="824"/>
      <c r="DV33" s="824"/>
      <c r="DW33" s="824"/>
      <c r="DX33" s="824"/>
      <c r="DY33" s="824"/>
      <c r="DZ33" s="824"/>
      <c r="EA33" s="824"/>
      <c r="EB33" s="824"/>
      <c r="EC33" s="824"/>
      <c r="ED33" s="824"/>
      <c r="EE33" s="824"/>
      <c r="EF33" s="824"/>
      <c r="EG33" s="824"/>
      <c r="EH33" s="824"/>
      <c r="EI33" s="824"/>
      <c r="EJ33" s="824"/>
      <c r="EK33" s="824"/>
      <c r="EL33" s="824"/>
      <c r="EM33" s="824"/>
      <c r="EN33" s="824"/>
      <c r="EO33" s="824"/>
      <c r="EP33" s="824"/>
      <c r="EQ33" s="824"/>
      <c r="ER33" s="824"/>
      <c r="ES33" s="824"/>
      <c r="ET33" s="824"/>
      <c r="EU33" s="824"/>
      <c r="EV33" s="824"/>
      <c r="EW33" s="824"/>
      <c r="EX33" s="824"/>
      <c r="EY33" s="824"/>
      <c r="EZ33" s="824"/>
      <c r="FA33" s="824"/>
      <c r="FB33" s="824"/>
      <c r="FC33" s="824"/>
      <c r="FD33" s="824"/>
      <c r="FE33" s="824"/>
      <c r="FF33" s="824"/>
      <c r="FG33" s="824"/>
      <c r="FH33" s="824"/>
      <c r="FI33" s="824"/>
      <c r="FJ33" s="824"/>
      <c r="FK33" s="824"/>
      <c r="FL33" s="824"/>
      <c r="FM33" s="824"/>
      <c r="FN33" s="824"/>
      <c r="FO33" s="824"/>
      <c r="FP33" s="824"/>
      <c r="FQ33" s="824"/>
      <c r="FR33" s="824"/>
      <c r="FS33" s="824"/>
      <c r="FT33" s="824"/>
      <c r="FU33" s="824"/>
      <c r="FV33" s="824"/>
      <c r="FW33" s="824"/>
      <c r="FX33" s="824"/>
      <c r="FY33" s="824"/>
      <c r="FZ33" s="824"/>
      <c r="GA33" s="824"/>
      <c r="GB33" s="824"/>
      <c r="GC33" s="824"/>
      <c r="GD33" s="824"/>
      <c r="GE33" s="824"/>
      <c r="GF33" s="824"/>
      <c r="GG33" s="824"/>
      <c r="GH33" s="824"/>
      <c r="GI33" s="824"/>
      <c r="GJ33" s="824"/>
      <c r="GK33" s="824"/>
      <c r="GL33" s="824"/>
      <c r="GM33" s="824"/>
      <c r="GN33" s="824"/>
      <c r="GO33" s="824"/>
      <c r="GP33" s="824"/>
      <c r="GQ33" s="824"/>
      <c r="GR33" s="824"/>
      <c r="GS33" s="824"/>
      <c r="GT33" s="824"/>
      <c r="GU33" s="824"/>
      <c r="GV33" s="824"/>
      <c r="GW33" s="824"/>
      <c r="GX33" s="824"/>
      <c r="GY33" s="824"/>
      <c r="GZ33" s="824"/>
      <c r="HA33" s="824"/>
      <c r="HB33" s="824"/>
      <c r="HC33" s="824"/>
      <c r="HD33" s="824"/>
      <c r="HE33" s="824"/>
      <c r="HF33" s="824"/>
      <c r="HG33" s="824"/>
      <c r="HH33" s="824"/>
      <c r="HI33" s="824"/>
      <c r="HJ33" s="824"/>
      <c r="HK33" s="824"/>
      <c r="HL33" s="824"/>
      <c r="HM33" s="824"/>
      <c r="HN33" s="824"/>
      <c r="HO33" s="824"/>
      <c r="HP33" s="824"/>
      <c r="HQ33" s="824"/>
      <c r="HR33" s="824"/>
      <c r="HS33" s="824"/>
      <c r="HT33" s="824"/>
      <c r="HU33" s="824"/>
      <c r="HV33" s="824"/>
      <c r="HW33" s="824"/>
      <c r="HX33" s="824"/>
      <c r="HY33" s="824"/>
      <c r="HZ33" s="824"/>
      <c r="IA33" s="824"/>
      <c r="IB33" s="824"/>
      <c r="IC33" s="824"/>
      <c r="ID33" s="824"/>
      <c r="IE33" s="824"/>
      <c r="IF33" s="824"/>
      <c r="IG33" s="824"/>
      <c r="IH33" s="824"/>
      <c r="II33" s="824"/>
      <c r="IJ33" s="824"/>
      <c r="IK33" s="824"/>
      <c r="IL33" s="824"/>
      <c r="IM33" s="824"/>
      <c r="IN33" s="824"/>
      <c r="IO33" s="824"/>
      <c r="IP33" s="824"/>
      <c r="IQ33" s="824"/>
      <c r="IR33" s="824"/>
      <c r="IS33" s="824"/>
      <c r="IT33" s="824"/>
      <c r="IU33" s="824"/>
      <c r="IV33" s="824"/>
    </row>
    <row r="34" spans="1:256" s="825" customFormat="1" ht="12" customHeight="1" thickTop="1">
      <c r="A34" s="818" t="s">
        <v>835</v>
      </c>
      <c r="B34" s="837">
        <v>13.8</v>
      </c>
      <c r="C34" s="837">
        <v>12.1</v>
      </c>
      <c r="D34" s="838">
        <v>12.9</v>
      </c>
      <c r="E34" s="838">
        <v>15.2</v>
      </c>
      <c r="F34" s="863">
        <v>65.8</v>
      </c>
      <c r="G34" s="863">
        <v>23.6</v>
      </c>
      <c r="H34" s="863">
        <v>38.4</v>
      </c>
      <c r="I34" s="863">
        <v>43.4</v>
      </c>
      <c r="J34" s="863">
        <v>31.3</v>
      </c>
      <c r="K34" s="863">
        <v>18.3</v>
      </c>
      <c r="L34" s="864">
        <v>16.3</v>
      </c>
      <c r="M34" s="864">
        <v>36.200000000000003</v>
      </c>
      <c r="N34" s="863">
        <v>39.5</v>
      </c>
      <c r="O34" s="824"/>
      <c r="P34" s="824"/>
      <c r="Q34" s="824"/>
      <c r="R34" s="824"/>
      <c r="S34" s="824"/>
      <c r="T34" s="824"/>
      <c r="U34" s="824"/>
      <c r="V34" s="824"/>
      <c r="W34" s="824"/>
      <c r="X34" s="824"/>
      <c r="Y34" s="824"/>
      <c r="Z34" s="824"/>
      <c r="AA34" s="824"/>
      <c r="AB34" s="824"/>
      <c r="AC34" s="824"/>
      <c r="AD34" s="824"/>
      <c r="AE34" s="824"/>
      <c r="AF34" s="824"/>
      <c r="AG34" s="824"/>
      <c r="AH34" s="824"/>
      <c r="AI34" s="824"/>
      <c r="AJ34" s="824"/>
      <c r="AK34" s="824"/>
      <c r="AL34" s="824"/>
      <c r="AM34" s="824"/>
      <c r="AN34" s="824"/>
      <c r="AO34" s="824"/>
      <c r="AP34" s="824"/>
      <c r="AQ34" s="824"/>
      <c r="AR34" s="824"/>
      <c r="AS34" s="824"/>
      <c r="AT34" s="824"/>
      <c r="AU34" s="824"/>
      <c r="AV34" s="824"/>
      <c r="AW34" s="824"/>
      <c r="AX34" s="824"/>
      <c r="AY34" s="824"/>
      <c r="AZ34" s="824"/>
      <c r="BA34" s="824"/>
      <c r="BB34" s="824"/>
      <c r="BC34" s="824"/>
      <c r="BD34" s="824"/>
      <c r="BE34" s="824"/>
      <c r="BF34" s="824"/>
      <c r="BG34" s="824"/>
      <c r="BH34" s="824"/>
      <c r="BI34" s="824"/>
      <c r="BJ34" s="824"/>
      <c r="BK34" s="824"/>
      <c r="BL34" s="824"/>
      <c r="BM34" s="824"/>
      <c r="BN34" s="824"/>
      <c r="BO34" s="824"/>
      <c r="BP34" s="824"/>
      <c r="BQ34" s="824"/>
      <c r="BR34" s="824"/>
      <c r="BS34" s="824"/>
      <c r="BT34" s="824"/>
      <c r="BU34" s="824"/>
      <c r="BV34" s="824"/>
      <c r="BW34" s="824"/>
      <c r="BX34" s="824"/>
      <c r="BY34" s="824"/>
      <c r="BZ34" s="824"/>
      <c r="CA34" s="824"/>
      <c r="CB34" s="824"/>
      <c r="CC34" s="824"/>
      <c r="CD34" s="824"/>
      <c r="CE34" s="824"/>
      <c r="CF34" s="824"/>
      <c r="CG34" s="824"/>
      <c r="CH34" s="824"/>
      <c r="CI34" s="824"/>
      <c r="CJ34" s="824"/>
      <c r="CK34" s="824"/>
      <c r="CL34" s="824"/>
      <c r="CM34" s="824"/>
      <c r="CN34" s="824"/>
      <c r="CO34" s="824"/>
      <c r="CP34" s="824"/>
      <c r="CQ34" s="824"/>
      <c r="CR34" s="824"/>
      <c r="CS34" s="824"/>
      <c r="CT34" s="824"/>
      <c r="CU34" s="824"/>
      <c r="CV34" s="824"/>
      <c r="CW34" s="824"/>
      <c r="CX34" s="824"/>
      <c r="CY34" s="824"/>
      <c r="CZ34" s="824"/>
      <c r="DA34" s="824"/>
      <c r="DB34" s="824"/>
      <c r="DC34" s="824"/>
      <c r="DD34" s="824"/>
      <c r="DE34" s="824"/>
      <c r="DF34" s="824"/>
      <c r="DG34" s="824"/>
      <c r="DH34" s="824"/>
      <c r="DI34" s="824"/>
      <c r="DJ34" s="824"/>
      <c r="DK34" s="824"/>
      <c r="DL34" s="824"/>
      <c r="DM34" s="824"/>
      <c r="DN34" s="824"/>
      <c r="DO34" s="824"/>
      <c r="DP34" s="824"/>
      <c r="DQ34" s="824"/>
      <c r="DR34" s="824"/>
      <c r="DS34" s="824"/>
      <c r="DT34" s="824"/>
      <c r="DU34" s="824"/>
      <c r="DV34" s="824"/>
      <c r="DW34" s="824"/>
      <c r="DX34" s="824"/>
      <c r="DY34" s="824"/>
      <c r="DZ34" s="824"/>
      <c r="EA34" s="824"/>
      <c r="EB34" s="824"/>
      <c r="EC34" s="824"/>
      <c r="ED34" s="824"/>
      <c r="EE34" s="824"/>
      <c r="EF34" s="824"/>
      <c r="EG34" s="824"/>
      <c r="EH34" s="824"/>
      <c r="EI34" s="824"/>
      <c r="EJ34" s="824"/>
      <c r="EK34" s="824"/>
      <c r="EL34" s="824"/>
      <c r="EM34" s="824"/>
      <c r="EN34" s="824"/>
      <c r="EO34" s="824"/>
      <c r="EP34" s="824"/>
      <c r="EQ34" s="824"/>
      <c r="ER34" s="824"/>
      <c r="ES34" s="824"/>
      <c r="ET34" s="824"/>
      <c r="EU34" s="824"/>
      <c r="EV34" s="824"/>
      <c r="EW34" s="824"/>
      <c r="EX34" s="824"/>
      <c r="EY34" s="824"/>
      <c r="EZ34" s="824"/>
      <c r="FA34" s="824"/>
      <c r="FB34" s="824"/>
      <c r="FC34" s="824"/>
      <c r="FD34" s="824"/>
      <c r="FE34" s="824"/>
      <c r="FF34" s="824"/>
      <c r="FG34" s="824"/>
      <c r="FH34" s="824"/>
      <c r="FI34" s="824"/>
      <c r="FJ34" s="824"/>
      <c r="FK34" s="824"/>
      <c r="FL34" s="824"/>
      <c r="FM34" s="824"/>
      <c r="FN34" s="824"/>
      <c r="FO34" s="824"/>
      <c r="FP34" s="824"/>
      <c r="FQ34" s="824"/>
      <c r="FR34" s="824"/>
      <c r="FS34" s="824"/>
      <c r="FT34" s="824"/>
      <c r="FU34" s="824"/>
      <c r="FV34" s="824"/>
      <c r="FW34" s="824"/>
      <c r="FX34" s="824"/>
      <c r="FY34" s="824"/>
      <c r="FZ34" s="824"/>
      <c r="GA34" s="824"/>
      <c r="GB34" s="824"/>
      <c r="GC34" s="824"/>
      <c r="GD34" s="824"/>
      <c r="GE34" s="824"/>
      <c r="GF34" s="824"/>
      <c r="GG34" s="824"/>
      <c r="GH34" s="824"/>
      <c r="GI34" s="824"/>
      <c r="GJ34" s="824"/>
      <c r="GK34" s="824"/>
      <c r="GL34" s="824"/>
      <c r="GM34" s="824"/>
      <c r="GN34" s="824"/>
      <c r="GO34" s="824"/>
      <c r="GP34" s="824"/>
      <c r="GQ34" s="824"/>
      <c r="GR34" s="824"/>
      <c r="GS34" s="824"/>
      <c r="GT34" s="824"/>
      <c r="GU34" s="824"/>
      <c r="GV34" s="824"/>
      <c r="GW34" s="824"/>
      <c r="GX34" s="824"/>
      <c r="GY34" s="824"/>
      <c r="GZ34" s="824"/>
      <c r="HA34" s="824"/>
      <c r="HB34" s="824"/>
      <c r="HC34" s="824"/>
      <c r="HD34" s="824"/>
      <c r="HE34" s="824"/>
      <c r="HF34" s="824"/>
      <c r="HG34" s="824"/>
      <c r="HH34" s="824"/>
      <c r="HI34" s="824"/>
      <c r="HJ34" s="824"/>
      <c r="HK34" s="824"/>
      <c r="HL34" s="824"/>
      <c r="HM34" s="824"/>
      <c r="HN34" s="824"/>
      <c r="HO34" s="824"/>
      <c r="HP34" s="824"/>
      <c r="HQ34" s="824"/>
      <c r="HR34" s="824"/>
      <c r="HS34" s="824"/>
      <c r="HT34" s="824"/>
      <c r="HU34" s="824"/>
      <c r="HV34" s="824"/>
      <c r="HW34" s="824"/>
      <c r="HX34" s="824"/>
      <c r="HY34" s="824"/>
      <c r="HZ34" s="824"/>
      <c r="IA34" s="824"/>
      <c r="IB34" s="824"/>
      <c r="IC34" s="824"/>
      <c r="ID34" s="824"/>
      <c r="IE34" s="824"/>
      <c r="IF34" s="824"/>
      <c r="IG34" s="824"/>
      <c r="IH34" s="824"/>
      <c r="II34" s="824"/>
      <c r="IJ34" s="824"/>
      <c r="IK34" s="824"/>
      <c r="IL34" s="824"/>
      <c r="IM34" s="824"/>
      <c r="IN34" s="824"/>
      <c r="IO34" s="824"/>
      <c r="IP34" s="824"/>
      <c r="IQ34" s="824"/>
      <c r="IR34" s="824"/>
      <c r="IS34" s="824"/>
      <c r="IT34" s="824"/>
      <c r="IU34" s="824"/>
      <c r="IV34" s="824"/>
    </row>
    <row r="35" spans="1:256" s="825" customFormat="1" ht="12" customHeight="1">
      <c r="A35" s="840" t="s">
        <v>836</v>
      </c>
      <c r="B35" s="841">
        <v>160</v>
      </c>
      <c r="C35" s="841">
        <v>141</v>
      </c>
      <c r="D35" s="842">
        <v>150</v>
      </c>
      <c r="E35" s="842">
        <v>177</v>
      </c>
      <c r="F35" s="865">
        <v>765</v>
      </c>
      <c r="G35" s="865">
        <v>274.2</v>
      </c>
      <c r="H35" s="865">
        <v>447.3</v>
      </c>
      <c r="I35" s="865">
        <v>504.7</v>
      </c>
      <c r="J35" s="865">
        <v>364.3</v>
      </c>
      <c r="K35" s="865">
        <v>212.5</v>
      </c>
      <c r="L35" s="866">
        <v>189.4</v>
      </c>
      <c r="M35" s="866">
        <v>421.1</v>
      </c>
      <c r="N35" s="865">
        <v>459.9</v>
      </c>
      <c r="O35" s="824"/>
      <c r="P35" s="824"/>
      <c r="Q35" s="824"/>
      <c r="R35" s="824"/>
      <c r="S35" s="824"/>
      <c r="T35" s="824"/>
      <c r="U35" s="824"/>
      <c r="V35" s="824"/>
      <c r="W35" s="824"/>
      <c r="X35" s="824"/>
      <c r="Y35" s="824"/>
      <c r="Z35" s="824"/>
      <c r="AA35" s="824"/>
      <c r="AB35" s="824"/>
      <c r="AC35" s="824"/>
      <c r="AD35" s="824"/>
      <c r="AE35" s="824"/>
      <c r="AF35" s="824"/>
      <c r="AG35" s="824"/>
      <c r="AH35" s="824"/>
      <c r="AI35" s="824"/>
      <c r="AJ35" s="824"/>
      <c r="AK35" s="824"/>
      <c r="AL35" s="824"/>
      <c r="AM35" s="824"/>
      <c r="AN35" s="824"/>
      <c r="AO35" s="824"/>
      <c r="AP35" s="824"/>
      <c r="AQ35" s="824"/>
      <c r="AR35" s="824"/>
      <c r="AS35" s="824"/>
      <c r="AT35" s="824"/>
      <c r="AU35" s="824"/>
      <c r="AV35" s="824"/>
      <c r="AW35" s="824"/>
      <c r="AX35" s="824"/>
      <c r="AY35" s="824"/>
      <c r="AZ35" s="824"/>
      <c r="BA35" s="824"/>
      <c r="BB35" s="824"/>
      <c r="BC35" s="824"/>
      <c r="BD35" s="824"/>
      <c r="BE35" s="824"/>
      <c r="BF35" s="824"/>
      <c r="BG35" s="824"/>
      <c r="BH35" s="824"/>
      <c r="BI35" s="824"/>
      <c r="BJ35" s="824"/>
      <c r="BK35" s="824"/>
      <c r="BL35" s="824"/>
      <c r="BM35" s="824"/>
      <c r="BN35" s="824"/>
      <c r="BO35" s="824"/>
      <c r="BP35" s="824"/>
      <c r="BQ35" s="824"/>
      <c r="BR35" s="824"/>
      <c r="BS35" s="824"/>
      <c r="BT35" s="824"/>
      <c r="BU35" s="824"/>
      <c r="BV35" s="824"/>
      <c r="BW35" s="824"/>
      <c r="BX35" s="824"/>
      <c r="BY35" s="824"/>
      <c r="BZ35" s="824"/>
      <c r="CA35" s="824"/>
      <c r="CB35" s="824"/>
      <c r="CC35" s="824"/>
      <c r="CD35" s="824"/>
      <c r="CE35" s="824"/>
      <c r="CF35" s="824"/>
      <c r="CG35" s="824"/>
      <c r="CH35" s="824"/>
      <c r="CI35" s="824"/>
      <c r="CJ35" s="824"/>
      <c r="CK35" s="824"/>
      <c r="CL35" s="824"/>
      <c r="CM35" s="824"/>
      <c r="CN35" s="824"/>
      <c r="CO35" s="824"/>
      <c r="CP35" s="824"/>
      <c r="CQ35" s="824"/>
      <c r="CR35" s="824"/>
      <c r="CS35" s="824"/>
      <c r="CT35" s="824"/>
      <c r="CU35" s="824"/>
      <c r="CV35" s="824"/>
      <c r="CW35" s="824"/>
      <c r="CX35" s="824"/>
      <c r="CY35" s="824"/>
      <c r="CZ35" s="824"/>
      <c r="DA35" s="824"/>
      <c r="DB35" s="824"/>
      <c r="DC35" s="824"/>
      <c r="DD35" s="824"/>
      <c r="DE35" s="824"/>
      <c r="DF35" s="824"/>
      <c r="DG35" s="824"/>
      <c r="DH35" s="824"/>
      <c r="DI35" s="824"/>
      <c r="DJ35" s="824"/>
      <c r="DK35" s="824"/>
      <c r="DL35" s="824"/>
      <c r="DM35" s="824"/>
      <c r="DN35" s="824"/>
      <c r="DO35" s="824"/>
      <c r="DP35" s="824"/>
      <c r="DQ35" s="824"/>
      <c r="DR35" s="824"/>
      <c r="DS35" s="824"/>
      <c r="DT35" s="824"/>
      <c r="DU35" s="824"/>
      <c r="DV35" s="824"/>
      <c r="DW35" s="824"/>
      <c r="DX35" s="824"/>
      <c r="DY35" s="824"/>
      <c r="DZ35" s="824"/>
      <c r="EA35" s="824"/>
      <c r="EB35" s="824"/>
      <c r="EC35" s="824"/>
      <c r="ED35" s="824"/>
      <c r="EE35" s="824"/>
      <c r="EF35" s="824"/>
      <c r="EG35" s="824"/>
      <c r="EH35" s="824"/>
      <c r="EI35" s="824"/>
      <c r="EJ35" s="824"/>
      <c r="EK35" s="824"/>
      <c r="EL35" s="824"/>
      <c r="EM35" s="824"/>
      <c r="EN35" s="824"/>
      <c r="EO35" s="824"/>
      <c r="EP35" s="824"/>
      <c r="EQ35" s="824"/>
      <c r="ER35" s="824"/>
      <c r="ES35" s="824"/>
      <c r="ET35" s="824"/>
      <c r="EU35" s="824"/>
      <c r="EV35" s="824"/>
      <c r="EW35" s="824"/>
      <c r="EX35" s="824"/>
      <c r="EY35" s="824"/>
      <c r="EZ35" s="824"/>
      <c r="FA35" s="824"/>
      <c r="FB35" s="824"/>
      <c r="FC35" s="824"/>
      <c r="FD35" s="824"/>
      <c r="FE35" s="824"/>
      <c r="FF35" s="824"/>
      <c r="FG35" s="824"/>
      <c r="FH35" s="824"/>
      <c r="FI35" s="824"/>
      <c r="FJ35" s="824"/>
      <c r="FK35" s="824"/>
      <c r="FL35" s="824"/>
      <c r="FM35" s="824"/>
      <c r="FN35" s="824"/>
      <c r="FO35" s="824"/>
      <c r="FP35" s="824"/>
      <c r="FQ35" s="824"/>
      <c r="FR35" s="824"/>
      <c r="FS35" s="824"/>
      <c r="FT35" s="824"/>
      <c r="FU35" s="824"/>
      <c r="FV35" s="824"/>
      <c r="FW35" s="824"/>
      <c r="FX35" s="824"/>
      <c r="FY35" s="824"/>
      <c r="FZ35" s="824"/>
      <c r="GA35" s="824"/>
      <c r="GB35" s="824"/>
      <c r="GC35" s="824"/>
      <c r="GD35" s="824"/>
      <c r="GE35" s="824"/>
      <c r="GF35" s="824"/>
      <c r="GG35" s="824"/>
      <c r="GH35" s="824"/>
      <c r="GI35" s="824"/>
      <c r="GJ35" s="824"/>
      <c r="GK35" s="824"/>
      <c r="GL35" s="824"/>
      <c r="GM35" s="824"/>
      <c r="GN35" s="824"/>
      <c r="GO35" s="824"/>
      <c r="GP35" s="824"/>
      <c r="GQ35" s="824"/>
      <c r="GR35" s="824"/>
      <c r="GS35" s="824"/>
      <c r="GT35" s="824"/>
      <c r="GU35" s="824"/>
      <c r="GV35" s="824"/>
      <c r="GW35" s="824"/>
      <c r="GX35" s="824"/>
      <c r="GY35" s="824"/>
      <c r="GZ35" s="824"/>
      <c r="HA35" s="824"/>
      <c r="HB35" s="824"/>
      <c r="HC35" s="824"/>
      <c r="HD35" s="824"/>
      <c r="HE35" s="824"/>
      <c r="HF35" s="824"/>
      <c r="HG35" s="824"/>
      <c r="HH35" s="824"/>
      <c r="HI35" s="824"/>
      <c r="HJ35" s="824"/>
      <c r="HK35" s="824"/>
      <c r="HL35" s="824"/>
      <c r="HM35" s="824"/>
      <c r="HN35" s="824"/>
      <c r="HO35" s="824"/>
      <c r="HP35" s="824"/>
      <c r="HQ35" s="824"/>
      <c r="HR35" s="824"/>
      <c r="HS35" s="824"/>
      <c r="HT35" s="824"/>
      <c r="HU35" s="824"/>
      <c r="HV35" s="824"/>
      <c r="HW35" s="824"/>
      <c r="HX35" s="824"/>
      <c r="HY35" s="824"/>
      <c r="HZ35" s="824"/>
      <c r="IA35" s="824"/>
      <c r="IB35" s="824"/>
      <c r="IC35" s="824"/>
      <c r="ID35" s="824"/>
      <c r="IE35" s="824"/>
      <c r="IF35" s="824"/>
      <c r="IG35" s="824"/>
      <c r="IH35" s="824"/>
      <c r="II35" s="824"/>
      <c r="IJ35" s="824"/>
      <c r="IK35" s="824"/>
      <c r="IL35" s="824"/>
      <c r="IM35" s="824"/>
      <c r="IN35" s="824"/>
      <c r="IO35" s="824"/>
      <c r="IP35" s="824"/>
      <c r="IQ35" s="824"/>
      <c r="IR35" s="824"/>
      <c r="IS35" s="824"/>
      <c r="IT35" s="824"/>
      <c r="IU35" s="824"/>
      <c r="IV35" s="824"/>
    </row>
    <row r="36" spans="1:256" s="825" customFormat="1" ht="12" customHeight="1">
      <c r="A36" s="818" t="s">
        <v>837</v>
      </c>
      <c r="B36" s="837">
        <v>13.1</v>
      </c>
      <c r="C36" s="837">
        <v>11.6</v>
      </c>
      <c r="D36" s="838">
        <v>12.3</v>
      </c>
      <c r="E36" s="838">
        <v>14.5</v>
      </c>
      <c r="F36" s="863">
        <v>54.7</v>
      </c>
      <c r="G36" s="863">
        <v>22.2</v>
      </c>
      <c r="H36" s="863">
        <v>36.299999999999997</v>
      </c>
      <c r="I36" s="863">
        <v>40.9</v>
      </c>
      <c r="J36" s="863">
        <v>30.1</v>
      </c>
      <c r="K36" s="863">
        <v>17.600000000000001</v>
      </c>
      <c r="L36" s="864">
        <v>15.7</v>
      </c>
      <c r="M36" s="864">
        <v>34.6</v>
      </c>
      <c r="N36" s="863">
        <v>38</v>
      </c>
      <c r="O36" s="824"/>
      <c r="P36" s="824"/>
      <c r="Q36" s="824"/>
      <c r="R36" s="824"/>
      <c r="S36" s="824"/>
      <c r="T36" s="824"/>
      <c r="U36" s="824"/>
      <c r="V36" s="824"/>
      <c r="W36" s="824"/>
      <c r="X36" s="824"/>
      <c r="Y36" s="824"/>
      <c r="Z36" s="824"/>
      <c r="AA36" s="824"/>
      <c r="AB36" s="824"/>
      <c r="AC36" s="824"/>
      <c r="AD36" s="824"/>
      <c r="AE36" s="824"/>
      <c r="AF36" s="824"/>
      <c r="AG36" s="824"/>
      <c r="AH36" s="824"/>
      <c r="AI36" s="824"/>
      <c r="AJ36" s="824"/>
      <c r="AK36" s="824"/>
      <c r="AL36" s="824"/>
      <c r="AM36" s="824"/>
      <c r="AN36" s="824"/>
      <c r="AO36" s="824"/>
      <c r="AP36" s="824"/>
      <c r="AQ36" s="824"/>
      <c r="AR36" s="824"/>
      <c r="AS36" s="824"/>
      <c r="AT36" s="824"/>
      <c r="AU36" s="824"/>
      <c r="AV36" s="824"/>
      <c r="AW36" s="824"/>
      <c r="AX36" s="824"/>
      <c r="AY36" s="824"/>
      <c r="AZ36" s="824"/>
      <c r="BA36" s="824"/>
      <c r="BB36" s="824"/>
      <c r="BC36" s="824"/>
      <c r="BD36" s="824"/>
      <c r="BE36" s="824"/>
      <c r="BF36" s="824"/>
      <c r="BG36" s="824"/>
      <c r="BH36" s="824"/>
      <c r="BI36" s="824"/>
      <c r="BJ36" s="824"/>
      <c r="BK36" s="824"/>
      <c r="BL36" s="824"/>
      <c r="BM36" s="824"/>
      <c r="BN36" s="824"/>
      <c r="BO36" s="824"/>
      <c r="BP36" s="824"/>
      <c r="BQ36" s="824"/>
      <c r="BR36" s="824"/>
      <c r="BS36" s="824"/>
      <c r="BT36" s="824"/>
      <c r="BU36" s="824"/>
      <c r="BV36" s="824"/>
      <c r="BW36" s="824"/>
      <c r="BX36" s="824"/>
      <c r="BY36" s="824"/>
      <c r="BZ36" s="824"/>
      <c r="CA36" s="824"/>
      <c r="CB36" s="824"/>
      <c r="CC36" s="824"/>
      <c r="CD36" s="824"/>
      <c r="CE36" s="824"/>
      <c r="CF36" s="824"/>
      <c r="CG36" s="824"/>
      <c r="CH36" s="824"/>
      <c r="CI36" s="824"/>
      <c r="CJ36" s="824"/>
      <c r="CK36" s="824"/>
      <c r="CL36" s="824"/>
      <c r="CM36" s="824"/>
      <c r="CN36" s="824"/>
      <c r="CO36" s="824"/>
      <c r="CP36" s="824"/>
      <c r="CQ36" s="824"/>
      <c r="CR36" s="824"/>
      <c r="CS36" s="824"/>
      <c r="CT36" s="824"/>
      <c r="CU36" s="824"/>
      <c r="CV36" s="824"/>
      <c r="CW36" s="824"/>
      <c r="CX36" s="824"/>
      <c r="CY36" s="824"/>
      <c r="CZ36" s="824"/>
      <c r="DA36" s="824"/>
      <c r="DB36" s="824"/>
      <c r="DC36" s="824"/>
      <c r="DD36" s="824"/>
      <c r="DE36" s="824"/>
      <c r="DF36" s="824"/>
      <c r="DG36" s="824"/>
      <c r="DH36" s="824"/>
      <c r="DI36" s="824"/>
      <c r="DJ36" s="824"/>
      <c r="DK36" s="824"/>
      <c r="DL36" s="824"/>
      <c r="DM36" s="824"/>
      <c r="DN36" s="824"/>
      <c r="DO36" s="824"/>
      <c r="DP36" s="824"/>
      <c r="DQ36" s="824"/>
      <c r="DR36" s="824"/>
      <c r="DS36" s="824"/>
      <c r="DT36" s="824"/>
      <c r="DU36" s="824"/>
      <c r="DV36" s="824"/>
      <c r="DW36" s="824"/>
      <c r="DX36" s="824"/>
      <c r="DY36" s="824"/>
      <c r="DZ36" s="824"/>
      <c r="EA36" s="824"/>
      <c r="EB36" s="824"/>
      <c r="EC36" s="824"/>
      <c r="ED36" s="824"/>
      <c r="EE36" s="824"/>
      <c r="EF36" s="824"/>
      <c r="EG36" s="824"/>
      <c r="EH36" s="824"/>
      <c r="EI36" s="824"/>
      <c r="EJ36" s="824"/>
      <c r="EK36" s="824"/>
      <c r="EL36" s="824"/>
      <c r="EM36" s="824"/>
      <c r="EN36" s="824"/>
      <c r="EO36" s="824"/>
      <c r="EP36" s="824"/>
      <c r="EQ36" s="824"/>
      <c r="ER36" s="824"/>
      <c r="ES36" s="824"/>
      <c r="ET36" s="824"/>
      <c r="EU36" s="824"/>
      <c r="EV36" s="824"/>
      <c r="EW36" s="824"/>
      <c r="EX36" s="824"/>
      <c r="EY36" s="824"/>
      <c r="EZ36" s="824"/>
      <c r="FA36" s="824"/>
      <c r="FB36" s="824"/>
      <c r="FC36" s="824"/>
      <c r="FD36" s="824"/>
      <c r="FE36" s="824"/>
      <c r="FF36" s="824"/>
      <c r="FG36" s="824"/>
      <c r="FH36" s="824"/>
      <c r="FI36" s="824"/>
      <c r="FJ36" s="824"/>
      <c r="FK36" s="824"/>
      <c r="FL36" s="824"/>
      <c r="FM36" s="824"/>
      <c r="FN36" s="824"/>
      <c r="FO36" s="824"/>
      <c r="FP36" s="824"/>
      <c r="FQ36" s="824"/>
      <c r="FR36" s="824"/>
      <c r="FS36" s="824"/>
      <c r="FT36" s="824"/>
      <c r="FU36" s="824"/>
      <c r="FV36" s="824"/>
      <c r="FW36" s="824"/>
      <c r="FX36" s="824"/>
      <c r="FY36" s="824"/>
      <c r="FZ36" s="824"/>
      <c r="GA36" s="824"/>
      <c r="GB36" s="824"/>
      <c r="GC36" s="824"/>
      <c r="GD36" s="824"/>
      <c r="GE36" s="824"/>
      <c r="GF36" s="824"/>
      <c r="GG36" s="824"/>
      <c r="GH36" s="824"/>
      <c r="GI36" s="824"/>
      <c r="GJ36" s="824"/>
      <c r="GK36" s="824"/>
      <c r="GL36" s="824"/>
      <c r="GM36" s="824"/>
      <c r="GN36" s="824"/>
      <c r="GO36" s="824"/>
      <c r="GP36" s="824"/>
      <c r="GQ36" s="824"/>
      <c r="GR36" s="824"/>
      <c r="GS36" s="824"/>
      <c r="GT36" s="824"/>
      <c r="GU36" s="824"/>
      <c r="GV36" s="824"/>
      <c r="GW36" s="824"/>
      <c r="GX36" s="824"/>
      <c r="GY36" s="824"/>
      <c r="GZ36" s="824"/>
      <c r="HA36" s="824"/>
      <c r="HB36" s="824"/>
      <c r="HC36" s="824"/>
      <c r="HD36" s="824"/>
      <c r="HE36" s="824"/>
      <c r="HF36" s="824"/>
      <c r="HG36" s="824"/>
      <c r="HH36" s="824"/>
      <c r="HI36" s="824"/>
      <c r="HJ36" s="824"/>
      <c r="HK36" s="824"/>
      <c r="HL36" s="824"/>
      <c r="HM36" s="824"/>
      <c r="HN36" s="824"/>
      <c r="HO36" s="824"/>
      <c r="HP36" s="824"/>
      <c r="HQ36" s="824"/>
      <c r="HR36" s="824"/>
      <c r="HS36" s="824"/>
      <c r="HT36" s="824"/>
      <c r="HU36" s="824"/>
      <c r="HV36" s="824"/>
      <c r="HW36" s="824"/>
      <c r="HX36" s="824"/>
      <c r="HY36" s="824"/>
      <c r="HZ36" s="824"/>
      <c r="IA36" s="824"/>
      <c r="IB36" s="824"/>
      <c r="IC36" s="824"/>
      <c r="ID36" s="824"/>
      <c r="IE36" s="824"/>
      <c r="IF36" s="824"/>
      <c r="IG36" s="824"/>
      <c r="IH36" s="824"/>
      <c r="II36" s="824"/>
      <c r="IJ36" s="824"/>
      <c r="IK36" s="824"/>
      <c r="IL36" s="824"/>
      <c r="IM36" s="824"/>
      <c r="IN36" s="824"/>
      <c r="IO36" s="824"/>
      <c r="IP36" s="824"/>
      <c r="IQ36" s="824"/>
      <c r="IR36" s="824"/>
      <c r="IS36" s="824"/>
      <c r="IT36" s="824"/>
      <c r="IU36" s="824"/>
      <c r="IV36" s="824"/>
    </row>
    <row r="37" spans="1:256" s="825" customFormat="1" ht="12" customHeight="1" thickBot="1">
      <c r="A37" s="845" t="s">
        <v>838</v>
      </c>
      <c r="B37" s="846">
        <v>153</v>
      </c>
      <c r="C37" s="846">
        <v>135</v>
      </c>
      <c r="D37" s="847">
        <v>143</v>
      </c>
      <c r="E37" s="847">
        <v>169</v>
      </c>
      <c r="F37" s="867">
        <v>636</v>
      </c>
      <c r="G37" s="867">
        <v>258.5</v>
      </c>
      <c r="H37" s="867">
        <v>421.8</v>
      </c>
      <c r="I37" s="867">
        <v>475.5</v>
      </c>
      <c r="J37" s="867">
        <v>350.5</v>
      </c>
      <c r="K37" s="867">
        <v>204.6</v>
      </c>
      <c r="L37" s="868">
        <v>182.3</v>
      </c>
      <c r="M37" s="868">
        <v>401.8</v>
      </c>
      <c r="N37" s="867">
        <v>442.4</v>
      </c>
      <c r="O37" s="824"/>
      <c r="P37" s="824"/>
      <c r="Q37" s="824"/>
      <c r="R37" s="824"/>
      <c r="S37" s="824"/>
      <c r="T37" s="824"/>
      <c r="U37" s="824"/>
      <c r="V37" s="824"/>
      <c r="W37" s="824"/>
      <c r="X37" s="824"/>
      <c r="Y37" s="824"/>
      <c r="Z37" s="824"/>
      <c r="AA37" s="824"/>
      <c r="AB37" s="824"/>
      <c r="AC37" s="824"/>
      <c r="AD37" s="824"/>
      <c r="AE37" s="824"/>
      <c r="AF37" s="824"/>
      <c r="AG37" s="824"/>
      <c r="AH37" s="824"/>
      <c r="AI37" s="824"/>
      <c r="AJ37" s="824"/>
      <c r="AK37" s="824"/>
      <c r="AL37" s="824"/>
      <c r="AM37" s="824"/>
      <c r="AN37" s="824"/>
      <c r="AO37" s="824"/>
      <c r="AP37" s="824"/>
      <c r="AQ37" s="824"/>
      <c r="AR37" s="824"/>
      <c r="AS37" s="824"/>
      <c r="AT37" s="824"/>
      <c r="AU37" s="824"/>
      <c r="AV37" s="824"/>
      <c r="AW37" s="824"/>
      <c r="AX37" s="824"/>
      <c r="AY37" s="824"/>
      <c r="AZ37" s="824"/>
      <c r="BA37" s="824"/>
      <c r="BB37" s="824"/>
      <c r="BC37" s="824"/>
      <c r="BD37" s="824"/>
      <c r="BE37" s="824"/>
      <c r="BF37" s="824"/>
      <c r="BG37" s="824"/>
      <c r="BH37" s="824"/>
      <c r="BI37" s="824"/>
      <c r="BJ37" s="824"/>
      <c r="BK37" s="824"/>
      <c r="BL37" s="824"/>
      <c r="BM37" s="824"/>
      <c r="BN37" s="824"/>
      <c r="BO37" s="824"/>
      <c r="BP37" s="824"/>
      <c r="BQ37" s="824"/>
      <c r="BR37" s="824"/>
      <c r="BS37" s="824"/>
      <c r="BT37" s="824"/>
      <c r="BU37" s="824"/>
      <c r="BV37" s="824"/>
      <c r="BW37" s="824"/>
      <c r="BX37" s="824"/>
      <c r="BY37" s="824"/>
      <c r="BZ37" s="824"/>
      <c r="CA37" s="824"/>
      <c r="CB37" s="824"/>
      <c r="CC37" s="824"/>
      <c r="CD37" s="824"/>
      <c r="CE37" s="824"/>
      <c r="CF37" s="824"/>
      <c r="CG37" s="824"/>
      <c r="CH37" s="824"/>
      <c r="CI37" s="824"/>
      <c r="CJ37" s="824"/>
      <c r="CK37" s="824"/>
      <c r="CL37" s="824"/>
      <c r="CM37" s="824"/>
      <c r="CN37" s="824"/>
      <c r="CO37" s="824"/>
      <c r="CP37" s="824"/>
      <c r="CQ37" s="824"/>
      <c r="CR37" s="824"/>
      <c r="CS37" s="824"/>
      <c r="CT37" s="824"/>
      <c r="CU37" s="824"/>
      <c r="CV37" s="824"/>
      <c r="CW37" s="824"/>
      <c r="CX37" s="824"/>
      <c r="CY37" s="824"/>
      <c r="CZ37" s="824"/>
      <c r="DA37" s="824"/>
      <c r="DB37" s="824"/>
      <c r="DC37" s="824"/>
      <c r="DD37" s="824"/>
      <c r="DE37" s="824"/>
      <c r="DF37" s="824"/>
      <c r="DG37" s="824"/>
      <c r="DH37" s="824"/>
      <c r="DI37" s="824"/>
      <c r="DJ37" s="824"/>
      <c r="DK37" s="824"/>
      <c r="DL37" s="824"/>
      <c r="DM37" s="824"/>
      <c r="DN37" s="824"/>
      <c r="DO37" s="824"/>
      <c r="DP37" s="824"/>
      <c r="DQ37" s="824"/>
      <c r="DR37" s="824"/>
      <c r="DS37" s="824"/>
      <c r="DT37" s="824"/>
      <c r="DU37" s="824"/>
      <c r="DV37" s="824"/>
      <c r="DW37" s="824"/>
      <c r="DX37" s="824"/>
      <c r="DY37" s="824"/>
      <c r="DZ37" s="824"/>
      <c r="EA37" s="824"/>
      <c r="EB37" s="824"/>
      <c r="EC37" s="824"/>
      <c r="ED37" s="824"/>
      <c r="EE37" s="824"/>
      <c r="EF37" s="824"/>
      <c r="EG37" s="824"/>
      <c r="EH37" s="824"/>
      <c r="EI37" s="824"/>
      <c r="EJ37" s="824"/>
      <c r="EK37" s="824"/>
      <c r="EL37" s="824"/>
      <c r="EM37" s="824"/>
      <c r="EN37" s="824"/>
      <c r="EO37" s="824"/>
      <c r="EP37" s="824"/>
      <c r="EQ37" s="824"/>
      <c r="ER37" s="824"/>
      <c r="ES37" s="824"/>
      <c r="ET37" s="824"/>
      <c r="EU37" s="824"/>
      <c r="EV37" s="824"/>
      <c r="EW37" s="824"/>
      <c r="EX37" s="824"/>
      <c r="EY37" s="824"/>
      <c r="EZ37" s="824"/>
      <c r="FA37" s="824"/>
      <c r="FB37" s="824"/>
      <c r="FC37" s="824"/>
      <c r="FD37" s="824"/>
      <c r="FE37" s="824"/>
      <c r="FF37" s="824"/>
      <c r="FG37" s="824"/>
      <c r="FH37" s="824"/>
      <c r="FI37" s="824"/>
      <c r="FJ37" s="824"/>
      <c r="FK37" s="824"/>
      <c r="FL37" s="824"/>
      <c r="FM37" s="824"/>
      <c r="FN37" s="824"/>
      <c r="FO37" s="824"/>
      <c r="FP37" s="824"/>
      <c r="FQ37" s="824"/>
      <c r="FR37" s="824"/>
      <c r="FS37" s="824"/>
      <c r="FT37" s="824"/>
      <c r="FU37" s="824"/>
      <c r="FV37" s="824"/>
      <c r="FW37" s="824"/>
      <c r="FX37" s="824"/>
      <c r="FY37" s="824"/>
      <c r="FZ37" s="824"/>
      <c r="GA37" s="824"/>
      <c r="GB37" s="824"/>
      <c r="GC37" s="824"/>
      <c r="GD37" s="824"/>
      <c r="GE37" s="824"/>
      <c r="GF37" s="824"/>
      <c r="GG37" s="824"/>
      <c r="GH37" s="824"/>
      <c r="GI37" s="824"/>
      <c r="GJ37" s="824"/>
      <c r="GK37" s="824"/>
      <c r="GL37" s="824"/>
      <c r="GM37" s="824"/>
      <c r="GN37" s="824"/>
      <c r="GO37" s="824"/>
      <c r="GP37" s="824"/>
      <c r="GQ37" s="824"/>
      <c r="GR37" s="824"/>
      <c r="GS37" s="824"/>
      <c r="GT37" s="824"/>
      <c r="GU37" s="824"/>
      <c r="GV37" s="824"/>
      <c r="GW37" s="824"/>
      <c r="GX37" s="824"/>
      <c r="GY37" s="824"/>
      <c r="GZ37" s="824"/>
      <c r="HA37" s="824"/>
      <c r="HB37" s="824"/>
      <c r="HC37" s="824"/>
      <c r="HD37" s="824"/>
      <c r="HE37" s="824"/>
      <c r="HF37" s="824"/>
      <c r="HG37" s="824"/>
      <c r="HH37" s="824"/>
      <c r="HI37" s="824"/>
      <c r="HJ37" s="824"/>
      <c r="HK37" s="824"/>
      <c r="HL37" s="824"/>
      <c r="HM37" s="824"/>
      <c r="HN37" s="824"/>
      <c r="HO37" s="824"/>
      <c r="HP37" s="824"/>
      <c r="HQ37" s="824"/>
      <c r="HR37" s="824"/>
      <c r="HS37" s="824"/>
      <c r="HT37" s="824"/>
      <c r="HU37" s="824"/>
      <c r="HV37" s="824"/>
      <c r="HW37" s="824"/>
      <c r="HX37" s="824"/>
      <c r="HY37" s="824"/>
      <c r="HZ37" s="824"/>
      <c r="IA37" s="824"/>
      <c r="IB37" s="824"/>
      <c r="IC37" s="824"/>
      <c r="ID37" s="824"/>
      <c r="IE37" s="824"/>
      <c r="IF37" s="824"/>
      <c r="IG37" s="824"/>
      <c r="IH37" s="824"/>
      <c r="II37" s="824"/>
      <c r="IJ37" s="824"/>
      <c r="IK37" s="824"/>
      <c r="IL37" s="824"/>
      <c r="IM37" s="824"/>
      <c r="IN37" s="824"/>
      <c r="IO37" s="824"/>
      <c r="IP37" s="824"/>
      <c r="IQ37" s="824"/>
      <c r="IR37" s="824"/>
      <c r="IS37" s="824"/>
      <c r="IT37" s="824"/>
      <c r="IU37" s="824"/>
      <c r="IV37" s="824"/>
    </row>
    <row r="38" spans="1:256" s="825" customFormat="1" ht="12.75" customHeight="1" thickTop="1">
      <c r="A38" s="818" t="s">
        <v>839</v>
      </c>
      <c r="B38" s="862"/>
      <c r="C38" s="862"/>
      <c r="D38" s="849"/>
      <c r="E38" s="849"/>
      <c r="F38" s="869"/>
      <c r="G38" s="869"/>
      <c r="H38" s="869"/>
      <c r="I38" s="869"/>
      <c r="J38" s="869"/>
      <c r="K38" s="869"/>
      <c r="L38" s="869"/>
      <c r="M38" s="869"/>
      <c r="N38" s="869"/>
      <c r="O38" s="824"/>
      <c r="P38" s="824"/>
      <c r="Q38" s="824"/>
      <c r="R38" s="824"/>
      <c r="S38" s="824"/>
      <c r="T38" s="824"/>
      <c r="U38" s="824"/>
      <c r="V38" s="824"/>
      <c r="W38" s="824"/>
      <c r="X38" s="824"/>
      <c r="Y38" s="824"/>
      <c r="Z38" s="824"/>
      <c r="AA38" s="824"/>
      <c r="AB38" s="824"/>
      <c r="AC38" s="824"/>
      <c r="AD38" s="824"/>
      <c r="AE38" s="824"/>
      <c r="AF38" s="824"/>
      <c r="AG38" s="824"/>
      <c r="AH38" s="824"/>
      <c r="AI38" s="824"/>
      <c r="AJ38" s="824"/>
      <c r="AK38" s="824"/>
      <c r="AL38" s="824"/>
      <c r="AM38" s="824"/>
      <c r="AN38" s="824"/>
      <c r="AO38" s="824"/>
      <c r="AP38" s="824"/>
      <c r="AQ38" s="824"/>
      <c r="AR38" s="824"/>
      <c r="AS38" s="824"/>
      <c r="AT38" s="824"/>
      <c r="AU38" s="824"/>
      <c r="AV38" s="824"/>
      <c r="AW38" s="824"/>
      <c r="AX38" s="824"/>
      <c r="AY38" s="824"/>
      <c r="AZ38" s="824"/>
      <c r="BA38" s="824"/>
      <c r="BB38" s="824"/>
      <c r="BC38" s="824"/>
      <c r="BD38" s="824"/>
      <c r="BE38" s="824"/>
      <c r="BF38" s="824"/>
      <c r="BG38" s="824"/>
      <c r="BH38" s="824"/>
      <c r="BI38" s="824"/>
      <c r="BJ38" s="824"/>
      <c r="BK38" s="824"/>
      <c r="BL38" s="824"/>
      <c r="BM38" s="824"/>
      <c r="BN38" s="824"/>
      <c r="BO38" s="824"/>
      <c r="BP38" s="824"/>
      <c r="BQ38" s="824"/>
      <c r="BR38" s="824"/>
      <c r="BS38" s="824"/>
      <c r="BT38" s="824"/>
      <c r="BU38" s="824"/>
      <c r="BV38" s="824"/>
      <c r="BW38" s="824"/>
      <c r="BX38" s="824"/>
      <c r="BY38" s="824"/>
      <c r="BZ38" s="824"/>
      <c r="CA38" s="824"/>
      <c r="CB38" s="824"/>
      <c r="CC38" s="824"/>
      <c r="CD38" s="824"/>
      <c r="CE38" s="824"/>
      <c r="CF38" s="824"/>
      <c r="CG38" s="824"/>
      <c r="CH38" s="824"/>
      <c r="CI38" s="824"/>
      <c r="CJ38" s="824"/>
      <c r="CK38" s="824"/>
      <c r="CL38" s="824"/>
      <c r="CM38" s="824"/>
      <c r="CN38" s="824"/>
      <c r="CO38" s="824"/>
      <c r="CP38" s="824"/>
      <c r="CQ38" s="824"/>
      <c r="CR38" s="824"/>
      <c r="CS38" s="824"/>
      <c r="CT38" s="824"/>
      <c r="CU38" s="824"/>
      <c r="CV38" s="824"/>
      <c r="CW38" s="824"/>
      <c r="CX38" s="824"/>
      <c r="CY38" s="824"/>
      <c r="CZ38" s="824"/>
      <c r="DA38" s="824"/>
      <c r="DB38" s="824"/>
      <c r="DC38" s="824"/>
      <c r="DD38" s="824"/>
      <c r="DE38" s="824"/>
      <c r="DF38" s="824"/>
      <c r="DG38" s="824"/>
      <c r="DH38" s="824"/>
      <c r="DI38" s="824"/>
      <c r="DJ38" s="824"/>
      <c r="DK38" s="824"/>
      <c r="DL38" s="824"/>
      <c r="DM38" s="824"/>
      <c r="DN38" s="824"/>
      <c r="DO38" s="824"/>
      <c r="DP38" s="824"/>
      <c r="DQ38" s="824"/>
      <c r="DR38" s="824"/>
      <c r="DS38" s="824"/>
      <c r="DT38" s="824"/>
      <c r="DU38" s="824"/>
      <c r="DV38" s="824"/>
      <c r="DW38" s="824"/>
      <c r="DX38" s="824"/>
      <c r="DY38" s="824"/>
      <c r="DZ38" s="824"/>
      <c r="EA38" s="824"/>
      <c r="EB38" s="824"/>
      <c r="EC38" s="824"/>
      <c r="ED38" s="824"/>
      <c r="EE38" s="824"/>
      <c r="EF38" s="824"/>
      <c r="EG38" s="824"/>
      <c r="EH38" s="824"/>
      <c r="EI38" s="824"/>
      <c r="EJ38" s="824"/>
      <c r="EK38" s="824"/>
      <c r="EL38" s="824"/>
      <c r="EM38" s="824"/>
      <c r="EN38" s="824"/>
      <c r="EO38" s="824"/>
      <c r="EP38" s="824"/>
      <c r="EQ38" s="824"/>
      <c r="ER38" s="824"/>
      <c r="ES38" s="824"/>
      <c r="ET38" s="824"/>
      <c r="EU38" s="824"/>
      <c r="EV38" s="824"/>
      <c r="EW38" s="824"/>
      <c r="EX38" s="824"/>
      <c r="EY38" s="824"/>
      <c r="EZ38" s="824"/>
      <c r="FA38" s="824"/>
      <c r="FB38" s="824"/>
      <c r="FC38" s="824"/>
      <c r="FD38" s="824"/>
      <c r="FE38" s="824"/>
      <c r="FF38" s="824"/>
      <c r="FG38" s="824"/>
      <c r="FH38" s="824"/>
      <c r="FI38" s="824"/>
      <c r="FJ38" s="824"/>
      <c r="FK38" s="824"/>
      <c r="FL38" s="824"/>
      <c r="FM38" s="824"/>
      <c r="FN38" s="824"/>
      <c r="FO38" s="824"/>
      <c r="FP38" s="824"/>
      <c r="FQ38" s="824"/>
      <c r="FR38" s="824"/>
      <c r="FS38" s="824"/>
      <c r="FT38" s="824"/>
      <c r="FU38" s="824"/>
      <c r="FV38" s="824"/>
      <c r="FW38" s="824"/>
      <c r="FX38" s="824"/>
      <c r="FY38" s="824"/>
      <c r="FZ38" s="824"/>
      <c r="GA38" s="824"/>
      <c r="GB38" s="824"/>
      <c r="GC38" s="824"/>
      <c r="GD38" s="824"/>
      <c r="GE38" s="824"/>
      <c r="GF38" s="824"/>
      <c r="GG38" s="824"/>
      <c r="GH38" s="824"/>
      <c r="GI38" s="824"/>
      <c r="GJ38" s="824"/>
      <c r="GK38" s="824"/>
      <c r="GL38" s="824"/>
      <c r="GM38" s="824"/>
      <c r="GN38" s="824"/>
      <c r="GO38" s="824"/>
      <c r="GP38" s="824"/>
      <c r="GQ38" s="824"/>
      <c r="GR38" s="824"/>
      <c r="GS38" s="824"/>
      <c r="GT38" s="824"/>
      <c r="GU38" s="824"/>
      <c r="GV38" s="824"/>
      <c r="GW38" s="824"/>
      <c r="GX38" s="824"/>
      <c r="GY38" s="824"/>
      <c r="GZ38" s="824"/>
      <c r="HA38" s="824"/>
      <c r="HB38" s="824"/>
      <c r="HC38" s="824"/>
      <c r="HD38" s="824"/>
      <c r="HE38" s="824"/>
      <c r="HF38" s="824"/>
      <c r="HG38" s="824"/>
      <c r="HH38" s="824"/>
      <c r="HI38" s="824"/>
      <c r="HJ38" s="824"/>
      <c r="HK38" s="824"/>
      <c r="HL38" s="824"/>
      <c r="HM38" s="824"/>
      <c r="HN38" s="824"/>
      <c r="HO38" s="824"/>
      <c r="HP38" s="824"/>
      <c r="HQ38" s="824"/>
      <c r="HR38" s="824"/>
      <c r="HS38" s="824"/>
      <c r="HT38" s="824"/>
      <c r="HU38" s="824"/>
      <c r="HV38" s="824"/>
      <c r="HW38" s="824"/>
      <c r="HX38" s="824"/>
      <c r="HY38" s="824"/>
      <c r="HZ38" s="824"/>
      <c r="IA38" s="824"/>
      <c r="IB38" s="824"/>
      <c r="IC38" s="824"/>
      <c r="ID38" s="824"/>
      <c r="IE38" s="824"/>
      <c r="IF38" s="824"/>
      <c r="IG38" s="824"/>
      <c r="IH38" s="824"/>
      <c r="II38" s="824"/>
      <c r="IJ38" s="824"/>
      <c r="IK38" s="824"/>
      <c r="IL38" s="824"/>
      <c r="IM38" s="824"/>
      <c r="IN38" s="824"/>
      <c r="IO38" s="824"/>
      <c r="IP38" s="824"/>
      <c r="IQ38" s="824"/>
      <c r="IR38" s="824"/>
      <c r="IS38" s="824"/>
      <c r="IT38" s="824"/>
      <c r="IU38" s="824"/>
      <c r="IV38" s="824"/>
    </row>
    <row r="39" spans="1:256" ht="10.5" customHeight="1">
      <c r="A39" s="803" t="s">
        <v>455</v>
      </c>
      <c r="B39" s="826">
        <v>30.3</v>
      </c>
      <c r="C39" s="826">
        <v>32.5</v>
      </c>
      <c r="D39" s="827">
        <v>33.1</v>
      </c>
      <c r="E39" s="827">
        <v>30.9</v>
      </c>
      <c r="F39" s="827">
        <v>27.2</v>
      </c>
      <c r="G39" s="827">
        <v>20.2</v>
      </c>
      <c r="H39" s="827">
        <v>20.3</v>
      </c>
      <c r="I39" s="827">
        <v>18.3</v>
      </c>
      <c r="J39" s="827">
        <v>11.7</v>
      </c>
      <c r="K39" s="827">
        <v>10.5</v>
      </c>
      <c r="L39" s="851">
        <v>7.1</v>
      </c>
      <c r="M39" s="851">
        <v>4.5999999999999996</v>
      </c>
      <c r="N39" s="827">
        <v>3</v>
      </c>
      <c r="O39" s="817"/>
      <c r="P39" s="817"/>
      <c r="Q39" s="817"/>
      <c r="R39" s="817"/>
      <c r="S39" s="817"/>
      <c r="T39" s="817"/>
      <c r="U39" s="817"/>
      <c r="V39" s="817"/>
      <c r="W39" s="817"/>
      <c r="X39" s="817"/>
      <c r="Y39" s="817"/>
      <c r="Z39" s="817"/>
      <c r="AA39" s="817"/>
      <c r="AB39" s="817"/>
      <c r="AC39" s="817"/>
      <c r="AD39" s="817"/>
      <c r="AE39" s="817"/>
      <c r="AF39" s="817"/>
      <c r="AG39" s="817"/>
      <c r="AH39" s="817"/>
      <c r="AI39" s="817"/>
      <c r="AJ39" s="817"/>
      <c r="AK39" s="817"/>
      <c r="AL39" s="817"/>
      <c r="AM39" s="817"/>
      <c r="AN39" s="817"/>
      <c r="AO39" s="817"/>
      <c r="AP39" s="817"/>
      <c r="AQ39" s="817"/>
      <c r="AR39" s="817"/>
      <c r="AS39" s="817"/>
      <c r="AT39" s="817"/>
      <c r="AU39" s="817"/>
      <c r="AV39" s="817"/>
      <c r="AW39" s="817"/>
      <c r="AX39" s="817"/>
      <c r="AY39" s="817"/>
      <c r="AZ39" s="817"/>
      <c r="BA39" s="817"/>
      <c r="BB39" s="817"/>
      <c r="BC39" s="817"/>
      <c r="BD39" s="817"/>
      <c r="BE39" s="817"/>
      <c r="BF39" s="817"/>
      <c r="BG39" s="817"/>
      <c r="BH39" s="817"/>
      <c r="BI39" s="817"/>
      <c r="BJ39" s="817"/>
      <c r="BK39" s="817"/>
      <c r="BL39" s="817"/>
      <c r="BM39" s="817"/>
      <c r="BN39" s="817"/>
      <c r="BO39" s="817"/>
      <c r="BP39" s="817"/>
      <c r="BQ39" s="817"/>
      <c r="BR39" s="817"/>
      <c r="BS39" s="817"/>
      <c r="BT39" s="817"/>
      <c r="BU39" s="817"/>
      <c r="BV39" s="817"/>
      <c r="BW39" s="817"/>
      <c r="BX39" s="817"/>
      <c r="BY39" s="817"/>
      <c r="BZ39" s="817"/>
      <c r="CA39" s="817"/>
      <c r="CB39" s="817"/>
      <c r="CC39" s="817"/>
      <c r="CD39" s="817"/>
      <c r="CE39" s="817"/>
      <c r="CF39" s="817"/>
      <c r="CG39" s="817"/>
      <c r="CH39" s="817"/>
      <c r="CI39" s="817"/>
      <c r="CJ39" s="817"/>
      <c r="CK39" s="817"/>
      <c r="CL39" s="817"/>
      <c r="CM39" s="817"/>
      <c r="CN39" s="817"/>
      <c r="CO39" s="817"/>
      <c r="CP39" s="817"/>
      <c r="CQ39" s="817"/>
      <c r="CR39" s="817"/>
      <c r="CS39" s="817"/>
      <c r="CT39" s="817"/>
      <c r="CU39" s="817"/>
      <c r="CV39" s="817"/>
      <c r="CW39" s="817"/>
      <c r="CX39" s="817"/>
      <c r="CY39" s="817"/>
      <c r="CZ39" s="817"/>
      <c r="DA39" s="817"/>
      <c r="DB39" s="817"/>
      <c r="DC39" s="817"/>
      <c r="DD39" s="817"/>
      <c r="DE39" s="817"/>
      <c r="DF39" s="817"/>
      <c r="DG39" s="817"/>
      <c r="DH39" s="817"/>
      <c r="DI39" s="817"/>
      <c r="DJ39" s="817"/>
      <c r="DK39" s="817"/>
      <c r="DL39" s="817"/>
      <c r="DM39" s="817"/>
      <c r="DN39" s="817"/>
      <c r="DO39" s="817"/>
      <c r="DP39" s="817"/>
      <c r="DQ39" s="817"/>
      <c r="DR39" s="817"/>
      <c r="DS39" s="817"/>
      <c r="DT39" s="817"/>
      <c r="DU39" s="817"/>
      <c r="DV39" s="817"/>
      <c r="DW39" s="817"/>
      <c r="DX39" s="817"/>
      <c r="DY39" s="817"/>
      <c r="DZ39" s="817"/>
      <c r="EA39" s="817"/>
      <c r="EB39" s="817"/>
      <c r="EC39" s="817"/>
      <c r="ED39" s="817"/>
      <c r="EE39" s="817"/>
      <c r="EF39" s="817"/>
      <c r="EG39" s="817"/>
      <c r="EH39" s="817"/>
      <c r="EI39" s="817"/>
      <c r="EJ39" s="817"/>
      <c r="EK39" s="817"/>
      <c r="EL39" s="817"/>
      <c r="EM39" s="817"/>
      <c r="EN39" s="817"/>
      <c r="EO39" s="817"/>
      <c r="EP39" s="817"/>
      <c r="EQ39" s="817"/>
      <c r="ER39" s="817"/>
      <c r="ES39" s="817"/>
      <c r="ET39" s="817"/>
      <c r="EU39" s="817"/>
      <c r="EV39" s="817"/>
      <c r="EW39" s="817"/>
      <c r="EX39" s="817"/>
      <c r="EY39" s="817"/>
      <c r="EZ39" s="817"/>
      <c r="FA39" s="817"/>
      <c r="FB39" s="817"/>
      <c r="FC39" s="817"/>
      <c r="FD39" s="817"/>
      <c r="FE39" s="817"/>
      <c r="FF39" s="817"/>
      <c r="FG39" s="817"/>
      <c r="FH39" s="817"/>
      <c r="FI39" s="817"/>
      <c r="FJ39" s="817"/>
      <c r="FK39" s="817"/>
      <c r="FL39" s="817"/>
      <c r="FM39" s="817"/>
      <c r="FN39" s="817"/>
      <c r="FO39" s="817"/>
      <c r="FP39" s="817"/>
      <c r="FQ39" s="817"/>
      <c r="FR39" s="817"/>
      <c r="FS39" s="817"/>
      <c r="FT39" s="817"/>
      <c r="FU39" s="817"/>
      <c r="FV39" s="817"/>
      <c r="FW39" s="817"/>
      <c r="FX39" s="817"/>
      <c r="FY39" s="817"/>
      <c r="FZ39" s="817"/>
      <c r="GA39" s="817"/>
      <c r="GB39" s="817"/>
      <c r="GC39" s="817"/>
      <c r="GD39" s="817"/>
      <c r="GE39" s="817"/>
      <c r="GF39" s="817"/>
      <c r="GG39" s="817"/>
      <c r="GH39" s="817"/>
      <c r="GI39" s="817"/>
      <c r="GJ39" s="817"/>
      <c r="GK39" s="817"/>
      <c r="GL39" s="817"/>
      <c r="GM39" s="817"/>
      <c r="GN39" s="817"/>
      <c r="GO39" s="817"/>
      <c r="GP39" s="817"/>
      <c r="GQ39" s="817"/>
      <c r="GR39" s="817"/>
      <c r="GS39" s="817"/>
      <c r="GT39" s="817"/>
      <c r="GU39" s="817"/>
      <c r="GV39" s="817"/>
      <c r="GW39" s="817"/>
      <c r="GX39" s="817"/>
      <c r="GY39" s="817"/>
      <c r="GZ39" s="817"/>
      <c r="HA39" s="817"/>
      <c r="HB39" s="817"/>
      <c r="HC39" s="817"/>
      <c r="HD39" s="817"/>
      <c r="HE39" s="817"/>
      <c r="HF39" s="817"/>
      <c r="HG39" s="817"/>
      <c r="HH39" s="817"/>
      <c r="HI39" s="817"/>
      <c r="HJ39" s="817"/>
      <c r="HK39" s="817"/>
      <c r="HL39" s="817"/>
      <c r="HM39" s="817"/>
      <c r="HN39" s="817"/>
      <c r="HO39" s="817"/>
      <c r="HP39" s="817"/>
      <c r="HQ39" s="817"/>
      <c r="HR39" s="817"/>
      <c r="HS39" s="817"/>
      <c r="HT39" s="817"/>
      <c r="HU39" s="817"/>
      <c r="HV39" s="817"/>
      <c r="HW39" s="817"/>
      <c r="HX39" s="817"/>
      <c r="HY39" s="817"/>
      <c r="HZ39" s="817"/>
      <c r="IA39" s="817"/>
      <c r="IB39" s="817"/>
      <c r="IC39" s="817"/>
      <c r="ID39" s="817"/>
      <c r="IE39" s="817"/>
      <c r="IF39" s="817"/>
      <c r="IG39" s="817"/>
      <c r="IH39" s="817"/>
      <c r="II39" s="817"/>
      <c r="IJ39" s="817"/>
      <c r="IK39" s="817"/>
      <c r="IL39" s="817"/>
      <c r="IM39" s="817"/>
      <c r="IN39" s="817"/>
      <c r="IO39" s="817"/>
      <c r="IP39" s="817"/>
      <c r="IQ39" s="817"/>
      <c r="IR39" s="817"/>
      <c r="IS39" s="817"/>
      <c r="IT39" s="817"/>
      <c r="IU39" s="817"/>
      <c r="IV39" s="817"/>
    </row>
    <row r="40" spans="1:256" ht="10.5" customHeight="1">
      <c r="A40" s="803" t="s">
        <v>820</v>
      </c>
      <c r="B40" s="826">
        <v>149.19999999999999</v>
      </c>
      <c r="C40" s="826">
        <v>172.3</v>
      </c>
      <c r="D40" s="827">
        <v>236.5</v>
      </c>
      <c r="E40" s="827">
        <v>367.9</v>
      </c>
      <c r="F40" s="827">
        <v>344.8</v>
      </c>
      <c r="G40" s="827">
        <v>268.89999999999998</v>
      </c>
      <c r="H40" s="827">
        <v>322.2</v>
      </c>
      <c r="I40" s="827">
        <v>325.60000000000002</v>
      </c>
      <c r="J40" s="827">
        <v>276.8</v>
      </c>
      <c r="K40" s="827">
        <v>351.2</v>
      </c>
      <c r="L40" s="850">
        <v>335.3</v>
      </c>
      <c r="M40" s="850">
        <v>372.3</v>
      </c>
      <c r="N40" s="827">
        <v>369.1</v>
      </c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  <c r="AA40" s="817"/>
      <c r="AB40" s="817"/>
      <c r="AC40" s="817"/>
      <c r="AD40" s="817"/>
      <c r="AE40" s="817"/>
      <c r="AF40" s="817"/>
      <c r="AG40" s="817"/>
      <c r="AH40" s="817"/>
      <c r="AI40" s="817"/>
      <c r="AJ40" s="817"/>
      <c r="AK40" s="817"/>
      <c r="AL40" s="817"/>
      <c r="AM40" s="817"/>
      <c r="AN40" s="817"/>
      <c r="AO40" s="817"/>
      <c r="AP40" s="817"/>
      <c r="AQ40" s="817"/>
      <c r="AR40" s="817"/>
      <c r="AS40" s="817"/>
      <c r="AT40" s="817"/>
      <c r="AU40" s="817"/>
      <c r="AV40" s="817"/>
      <c r="AW40" s="817"/>
      <c r="AX40" s="817"/>
      <c r="AY40" s="817"/>
      <c r="AZ40" s="817"/>
      <c r="BA40" s="817"/>
      <c r="BB40" s="817"/>
      <c r="BC40" s="817"/>
      <c r="BD40" s="817"/>
      <c r="BE40" s="817"/>
      <c r="BF40" s="817"/>
      <c r="BG40" s="817"/>
      <c r="BH40" s="817"/>
      <c r="BI40" s="817"/>
      <c r="BJ40" s="817"/>
      <c r="BK40" s="817"/>
      <c r="BL40" s="817"/>
      <c r="BM40" s="817"/>
      <c r="BN40" s="817"/>
      <c r="BO40" s="817"/>
      <c r="BP40" s="817"/>
      <c r="BQ40" s="817"/>
      <c r="BR40" s="817"/>
      <c r="BS40" s="817"/>
      <c r="BT40" s="817"/>
      <c r="BU40" s="817"/>
      <c r="BV40" s="817"/>
      <c r="BW40" s="817"/>
      <c r="BX40" s="817"/>
      <c r="BY40" s="817"/>
      <c r="BZ40" s="817"/>
      <c r="CA40" s="817"/>
      <c r="CB40" s="817"/>
      <c r="CC40" s="817"/>
      <c r="CD40" s="817"/>
      <c r="CE40" s="817"/>
      <c r="CF40" s="817"/>
      <c r="CG40" s="817"/>
      <c r="CH40" s="817"/>
      <c r="CI40" s="817"/>
      <c r="CJ40" s="817"/>
      <c r="CK40" s="817"/>
      <c r="CL40" s="817"/>
      <c r="CM40" s="817"/>
      <c r="CN40" s="817"/>
      <c r="CO40" s="817"/>
      <c r="CP40" s="817"/>
      <c r="CQ40" s="817"/>
      <c r="CR40" s="817"/>
      <c r="CS40" s="817"/>
      <c r="CT40" s="817"/>
      <c r="CU40" s="817"/>
      <c r="CV40" s="817"/>
      <c r="CW40" s="817"/>
      <c r="CX40" s="817"/>
      <c r="CY40" s="817"/>
      <c r="CZ40" s="817"/>
      <c r="DA40" s="817"/>
      <c r="DB40" s="817"/>
      <c r="DC40" s="817"/>
      <c r="DD40" s="817"/>
      <c r="DE40" s="817"/>
      <c r="DF40" s="817"/>
      <c r="DG40" s="817"/>
      <c r="DH40" s="817"/>
      <c r="DI40" s="817"/>
      <c r="DJ40" s="817"/>
      <c r="DK40" s="817"/>
      <c r="DL40" s="817"/>
      <c r="DM40" s="817"/>
      <c r="DN40" s="817"/>
      <c r="DO40" s="817"/>
      <c r="DP40" s="817"/>
      <c r="DQ40" s="817"/>
      <c r="DR40" s="817"/>
      <c r="DS40" s="817"/>
      <c r="DT40" s="817"/>
      <c r="DU40" s="817"/>
      <c r="DV40" s="817"/>
      <c r="DW40" s="817"/>
      <c r="DX40" s="817"/>
      <c r="DY40" s="817"/>
      <c r="DZ40" s="817"/>
      <c r="EA40" s="817"/>
      <c r="EB40" s="817"/>
      <c r="EC40" s="817"/>
      <c r="ED40" s="817"/>
      <c r="EE40" s="817"/>
      <c r="EF40" s="817"/>
      <c r="EG40" s="817"/>
      <c r="EH40" s="817"/>
      <c r="EI40" s="817"/>
      <c r="EJ40" s="817"/>
      <c r="EK40" s="817"/>
      <c r="EL40" s="817"/>
      <c r="EM40" s="817"/>
      <c r="EN40" s="817"/>
      <c r="EO40" s="817"/>
      <c r="EP40" s="817"/>
      <c r="EQ40" s="817"/>
      <c r="ER40" s="817"/>
      <c r="ES40" s="817"/>
      <c r="ET40" s="817"/>
      <c r="EU40" s="817"/>
      <c r="EV40" s="817"/>
      <c r="EW40" s="817"/>
      <c r="EX40" s="817"/>
      <c r="EY40" s="817"/>
      <c r="EZ40" s="817"/>
      <c r="FA40" s="817"/>
      <c r="FB40" s="817"/>
      <c r="FC40" s="817"/>
      <c r="FD40" s="817"/>
      <c r="FE40" s="817"/>
      <c r="FF40" s="817"/>
      <c r="FG40" s="817"/>
      <c r="FH40" s="817"/>
      <c r="FI40" s="817"/>
      <c r="FJ40" s="817"/>
      <c r="FK40" s="817"/>
      <c r="FL40" s="817"/>
      <c r="FM40" s="817"/>
      <c r="FN40" s="817"/>
      <c r="FO40" s="817"/>
      <c r="FP40" s="817"/>
      <c r="FQ40" s="817"/>
      <c r="FR40" s="817"/>
      <c r="FS40" s="817"/>
      <c r="FT40" s="817"/>
      <c r="FU40" s="817"/>
      <c r="FV40" s="817"/>
      <c r="FW40" s="817"/>
      <c r="FX40" s="817"/>
      <c r="FY40" s="817"/>
      <c r="FZ40" s="817"/>
      <c r="GA40" s="817"/>
      <c r="GB40" s="817"/>
      <c r="GC40" s="817"/>
      <c r="GD40" s="817"/>
      <c r="GE40" s="817"/>
      <c r="GF40" s="817"/>
      <c r="GG40" s="817"/>
      <c r="GH40" s="817"/>
      <c r="GI40" s="817"/>
      <c r="GJ40" s="817"/>
      <c r="GK40" s="817"/>
      <c r="GL40" s="817"/>
      <c r="GM40" s="817"/>
      <c r="GN40" s="817"/>
      <c r="GO40" s="817"/>
      <c r="GP40" s="817"/>
      <c r="GQ40" s="817"/>
      <c r="GR40" s="817"/>
      <c r="GS40" s="817"/>
      <c r="GT40" s="817"/>
      <c r="GU40" s="817"/>
      <c r="GV40" s="817"/>
      <c r="GW40" s="817"/>
      <c r="GX40" s="817"/>
      <c r="GY40" s="817"/>
      <c r="GZ40" s="817"/>
      <c r="HA40" s="817"/>
      <c r="HB40" s="817"/>
      <c r="HC40" s="817"/>
      <c r="HD40" s="817"/>
      <c r="HE40" s="817"/>
      <c r="HF40" s="817"/>
      <c r="HG40" s="817"/>
      <c r="HH40" s="817"/>
      <c r="HI40" s="817"/>
      <c r="HJ40" s="817"/>
      <c r="HK40" s="817"/>
      <c r="HL40" s="817"/>
      <c r="HM40" s="817"/>
      <c r="HN40" s="817"/>
      <c r="HO40" s="817"/>
      <c r="HP40" s="817"/>
      <c r="HQ40" s="817"/>
      <c r="HR40" s="817"/>
      <c r="HS40" s="817"/>
      <c r="HT40" s="817"/>
      <c r="HU40" s="817"/>
      <c r="HV40" s="817"/>
      <c r="HW40" s="817"/>
      <c r="HX40" s="817"/>
      <c r="HY40" s="817"/>
      <c r="HZ40" s="817"/>
      <c r="IA40" s="817"/>
      <c r="IB40" s="817"/>
      <c r="IC40" s="817"/>
      <c r="ID40" s="817"/>
      <c r="IE40" s="817"/>
      <c r="IF40" s="817"/>
      <c r="IG40" s="817"/>
      <c r="IH40" s="817"/>
      <c r="II40" s="817"/>
      <c r="IJ40" s="817"/>
      <c r="IK40" s="817"/>
      <c r="IL40" s="817"/>
      <c r="IM40" s="817"/>
      <c r="IN40" s="817"/>
      <c r="IO40" s="817"/>
      <c r="IP40" s="817"/>
      <c r="IQ40" s="817"/>
      <c r="IR40" s="817"/>
      <c r="IS40" s="817"/>
      <c r="IT40" s="817"/>
      <c r="IU40" s="817"/>
      <c r="IV40" s="817"/>
    </row>
    <row r="41" spans="1:256" ht="10.5" customHeight="1">
      <c r="A41" s="803" t="s">
        <v>821</v>
      </c>
      <c r="B41" s="826">
        <v>26.4</v>
      </c>
      <c r="C41" s="826">
        <v>19.399999999999999</v>
      </c>
      <c r="D41" s="827">
        <v>11.6</v>
      </c>
      <c r="E41" s="827">
        <v>9.6999999999999993</v>
      </c>
      <c r="F41" s="827">
        <v>5.4</v>
      </c>
      <c r="G41" s="827">
        <v>5.4</v>
      </c>
      <c r="H41" s="827">
        <v>4.2</v>
      </c>
      <c r="I41" s="827">
        <v>4.8</v>
      </c>
      <c r="J41" s="827">
        <v>46.9</v>
      </c>
      <c r="K41" s="827">
        <v>9.1</v>
      </c>
      <c r="L41" s="851">
        <v>8.1</v>
      </c>
      <c r="M41" s="850">
        <v>4.5999999999999996</v>
      </c>
      <c r="N41" s="827">
        <v>3.4</v>
      </c>
      <c r="O41" s="817"/>
      <c r="P41" s="817"/>
      <c r="Q41" s="817"/>
      <c r="R41" s="817"/>
      <c r="S41" s="817"/>
      <c r="T41" s="817"/>
      <c r="U41" s="817"/>
      <c r="V41" s="817"/>
      <c r="W41" s="817"/>
      <c r="X41" s="817"/>
      <c r="Y41" s="817"/>
      <c r="Z41" s="817"/>
      <c r="AA41" s="817"/>
      <c r="AB41" s="817"/>
      <c r="AC41" s="817"/>
      <c r="AD41" s="817"/>
      <c r="AE41" s="817"/>
      <c r="AF41" s="817"/>
      <c r="AG41" s="817"/>
      <c r="AH41" s="817"/>
      <c r="AI41" s="817"/>
      <c r="AJ41" s="817"/>
      <c r="AK41" s="817"/>
      <c r="AL41" s="817"/>
      <c r="AM41" s="817"/>
      <c r="AN41" s="817"/>
      <c r="AO41" s="817"/>
      <c r="AP41" s="817"/>
      <c r="AQ41" s="817"/>
      <c r="AR41" s="817"/>
      <c r="AS41" s="817"/>
      <c r="AT41" s="817"/>
      <c r="AU41" s="817"/>
      <c r="AV41" s="817"/>
      <c r="AW41" s="817"/>
      <c r="AX41" s="817"/>
      <c r="AY41" s="817"/>
      <c r="AZ41" s="817"/>
      <c r="BA41" s="817"/>
      <c r="BB41" s="817"/>
      <c r="BC41" s="817"/>
      <c r="BD41" s="817"/>
      <c r="BE41" s="817"/>
      <c r="BF41" s="817"/>
      <c r="BG41" s="817"/>
      <c r="BH41" s="817"/>
      <c r="BI41" s="817"/>
      <c r="BJ41" s="817"/>
      <c r="BK41" s="817"/>
      <c r="BL41" s="817"/>
      <c r="BM41" s="817"/>
      <c r="BN41" s="817"/>
      <c r="BO41" s="817"/>
      <c r="BP41" s="817"/>
      <c r="BQ41" s="817"/>
      <c r="BR41" s="817"/>
      <c r="BS41" s="817"/>
      <c r="BT41" s="817"/>
      <c r="BU41" s="817"/>
      <c r="BV41" s="817"/>
      <c r="BW41" s="817"/>
      <c r="BX41" s="817"/>
      <c r="BY41" s="817"/>
      <c r="BZ41" s="817"/>
      <c r="CA41" s="817"/>
      <c r="CB41" s="817"/>
      <c r="CC41" s="817"/>
      <c r="CD41" s="817"/>
      <c r="CE41" s="817"/>
      <c r="CF41" s="817"/>
      <c r="CG41" s="817"/>
      <c r="CH41" s="817"/>
      <c r="CI41" s="817"/>
      <c r="CJ41" s="817"/>
      <c r="CK41" s="817"/>
      <c r="CL41" s="817"/>
      <c r="CM41" s="817"/>
      <c r="CN41" s="817"/>
      <c r="CO41" s="817"/>
      <c r="CP41" s="817"/>
      <c r="CQ41" s="817"/>
      <c r="CR41" s="817"/>
      <c r="CS41" s="817"/>
      <c r="CT41" s="817"/>
      <c r="CU41" s="817"/>
      <c r="CV41" s="817"/>
      <c r="CW41" s="817"/>
      <c r="CX41" s="817"/>
      <c r="CY41" s="817"/>
      <c r="CZ41" s="817"/>
      <c r="DA41" s="817"/>
      <c r="DB41" s="817"/>
      <c r="DC41" s="817"/>
      <c r="DD41" s="817"/>
      <c r="DE41" s="817"/>
      <c r="DF41" s="817"/>
      <c r="DG41" s="817"/>
      <c r="DH41" s="817"/>
      <c r="DI41" s="817"/>
      <c r="DJ41" s="817"/>
      <c r="DK41" s="817"/>
      <c r="DL41" s="817"/>
      <c r="DM41" s="817"/>
      <c r="DN41" s="817"/>
      <c r="DO41" s="817"/>
      <c r="DP41" s="817"/>
      <c r="DQ41" s="817"/>
      <c r="DR41" s="817"/>
      <c r="DS41" s="817"/>
      <c r="DT41" s="817"/>
      <c r="DU41" s="817"/>
      <c r="DV41" s="817"/>
      <c r="DW41" s="817"/>
      <c r="DX41" s="817"/>
      <c r="DY41" s="817"/>
      <c r="DZ41" s="817"/>
      <c r="EA41" s="817"/>
      <c r="EB41" s="817"/>
      <c r="EC41" s="817"/>
      <c r="ED41" s="817"/>
      <c r="EE41" s="817"/>
      <c r="EF41" s="817"/>
      <c r="EG41" s="817"/>
      <c r="EH41" s="817"/>
      <c r="EI41" s="817"/>
      <c r="EJ41" s="817"/>
      <c r="EK41" s="817"/>
      <c r="EL41" s="817"/>
      <c r="EM41" s="817"/>
      <c r="EN41" s="817"/>
      <c r="EO41" s="817"/>
      <c r="EP41" s="817"/>
      <c r="EQ41" s="817"/>
      <c r="ER41" s="817"/>
      <c r="ES41" s="817"/>
      <c r="ET41" s="817"/>
      <c r="EU41" s="817"/>
      <c r="EV41" s="817"/>
      <c r="EW41" s="817"/>
      <c r="EX41" s="817"/>
      <c r="EY41" s="817"/>
      <c r="EZ41" s="817"/>
      <c r="FA41" s="817"/>
      <c r="FB41" s="817"/>
      <c r="FC41" s="817"/>
      <c r="FD41" s="817"/>
      <c r="FE41" s="817"/>
      <c r="FF41" s="817"/>
      <c r="FG41" s="817"/>
      <c r="FH41" s="817"/>
      <c r="FI41" s="817"/>
      <c r="FJ41" s="817"/>
      <c r="FK41" s="817"/>
      <c r="FL41" s="817"/>
      <c r="FM41" s="817"/>
      <c r="FN41" s="817"/>
      <c r="FO41" s="817"/>
      <c r="FP41" s="817"/>
      <c r="FQ41" s="817"/>
      <c r="FR41" s="817"/>
      <c r="FS41" s="817"/>
      <c r="FT41" s="817"/>
      <c r="FU41" s="817"/>
      <c r="FV41" s="817"/>
      <c r="FW41" s="817"/>
      <c r="FX41" s="817"/>
      <c r="FY41" s="817"/>
      <c r="FZ41" s="817"/>
      <c r="GA41" s="817"/>
      <c r="GB41" s="817"/>
      <c r="GC41" s="817"/>
      <c r="GD41" s="817"/>
      <c r="GE41" s="817"/>
      <c r="GF41" s="817"/>
      <c r="GG41" s="817"/>
      <c r="GH41" s="817"/>
      <c r="GI41" s="817"/>
      <c r="GJ41" s="817"/>
      <c r="GK41" s="817"/>
      <c r="GL41" s="817"/>
      <c r="GM41" s="817"/>
      <c r="GN41" s="817"/>
      <c r="GO41" s="817"/>
      <c r="GP41" s="817"/>
      <c r="GQ41" s="817"/>
      <c r="GR41" s="817"/>
      <c r="GS41" s="817"/>
      <c r="GT41" s="817"/>
      <c r="GU41" s="817"/>
      <c r="GV41" s="817"/>
      <c r="GW41" s="817"/>
      <c r="GX41" s="817"/>
      <c r="GY41" s="817"/>
      <c r="GZ41" s="817"/>
      <c r="HA41" s="817"/>
      <c r="HB41" s="817"/>
      <c r="HC41" s="817"/>
      <c r="HD41" s="817"/>
      <c r="HE41" s="817"/>
      <c r="HF41" s="817"/>
      <c r="HG41" s="817"/>
      <c r="HH41" s="817"/>
      <c r="HI41" s="817"/>
      <c r="HJ41" s="817"/>
      <c r="HK41" s="817"/>
      <c r="HL41" s="817"/>
      <c r="HM41" s="817"/>
      <c r="HN41" s="817"/>
      <c r="HO41" s="817"/>
      <c r="HP41" s="817"/>
      <c r="HQ41" s="817"/>
      <c r="HR41" s="817"/>
      <c r="HS41" s="817"/>
      <c r="HT41" s="817"/>
      <c r="HU41" s="817"/>
      <c r="HV41" s="817"/>
      <c r="HW41" s="817"/>
      <c r="HX41" s="817"/>
      <c r="HY41" s="817"/>
      <c r="HZ41" s="817"/>
      <c r="IA41" s="817"/>
      <c r="IB41" s="817"/>
      <c r="IC41" s="817"/>
      <c r="ID41" s="817"/>
      <c r="IE41" s="817"/>
      <c r="IF41" s="817"/>
      <c r="IG41" s="817"/>
      <c r="IH41" s="817"/>
      <c r="II41" s="817"/>
      <c r="IJ41" s="817"/>
      <c r="IK41" s="817"/>
      <c r="IL41" s="817"/>
      <c r="IM41" s="817"/>
      <c r="IN41" s="817"/>
      <c r="IO41" s="817"/>
      <c r="IP41" s="817"/>
      <c r="IQ41" s="817"/>
      <c r="IR41" s="817"/>
      <c r="IS41" s="817"/>
      <c r="IT41" s="817"/>
      <c r="IU41" s="817"/>
      <c r="IV41" s="817"/>
    </row>
    <row r="42" spans="1:256" ht="10.5" customHeight="1">
      <c r="A42" s="852" t="s">
        <v>833</v>
      </c>
      <c r="B42" s="842">
        <v>0</v>
      </c>
      <c r="C42" s="843">
        <v>0.1</v>
      </c>
      <c r="D42" s="842">
        <v>0</v>
      </c>
      <c r="E42" s="842">
        <v>0</v>
      </c>
      <c r="F42" s="842">
        <v>0</v>
      </c>
      <c r="G42" s="842">
        <v>0</v>
      </c>
      <c r="H42" s="842">
        <v>0</v>
      </c>
      <c r="I42" s="842">
        <f>0.3-0.3</f>
        <v>0</v>
      </c>
      <c r="J42" s="842">
        <v>0</v>
      </c>
      <c r="K42" s="842">
        <v>0</v>
      </c>
      <c r="L42" s="843">
        <v>0</v>
      </c>
      <c r="M42" s="843">
        <v>0</v>
      </c>
      <c r="N42" s="843">
        <v>0</v>
      </c>
      <c r="O42" s="817"/>
      <c r="P42" s="817"/>
      <c r="Q42" s="817"/>
      <c r="R42" s="817"/>
      <c r="S42" s="817"/>
      <c r="T42" s="817"/>
      <c r="U42" s="817"/>
      <c r="V42" s="817"/>
      <c r="W42" s="817"/>
      <c r="X42" s="817"/>
      <c r="Y42" s="817"/>
      <c r="Z42" s="817"/>
      <c r="AA42" s="817"/>
      <c r="AB42" s="817"/>
      <c r="AC42" s="817"/>
      <c r="AD42" s="817"/>
      <c r="AE42" s="817"/>
      <c r="AF42" s="817"/>
      <c r="AG42" s="817"/>
      <c r="AH42" s="817"/>
      <c r="AI42" s="817"/>
      <c r="AJ42" s="817"/>
      <c r="AK42" s="817"/>
      <c r="AL42" s="817"/>
      <c r="AM42" s="817"/>
      <c r="AN42" s="817"/>
      <c r="AO42" s="817"/>
      <c r="AP42" s="817"/>
      <c r="AQ42" s="817"/>
      <c r="AR42" s="817"/>
      <c r="AS42" s="817"/>
      <c r="AT42" s="817"/>
      <c r="AU42" s="817"/>
      <c r="AV42" s="817"/>
      <c r="AW42" s="817"/>
      <c r="AX42" s="817"/>
      <c r="AY42" s="817"/>
      <c r="AZ42" s="817"/>
      <c r="BA42" s="817"/>
      <c r="BB42" s="817"/>
      <c r="BC42" s="817"/>
      <c r="BD42" s="817"/>
      <c r="BE42" s="817"/>
      <c r="BF42" s="817"/>
      <c r="BG42" s="817"/>
      <c r="BH42" s="817"/>
      <c r="BI42" s="817"/>
      <c r="BJ42" s="817"/>
      <c r="BK42" s="817"/>
      <c r="BL42" s="817"/>
      <c r="BM42" s="817"/>
      <c r="BN42" s="817"/>
      <c r="BO42" s="817"/>
      <c r="BP42" s="817"/>
      <c r="BQ42" s="817"/>
      <c r="BR42" s="817"/>
      <c r="BS42" s="817"/>
      <c r="BT42" s="817"/>
      <c r="BU42" s="817"/>
      <c r="BV42" s="817"/>
      <c r="BW42" s="817"/>
      <c r="BX42" s="817"/>
      <c r="BY42" s="817"/>
      <c r="BZ42" s="817"/>
      <c r="CA42" s="817"/>
      <c r="CB42" s="817"/>
      <c r="CC42" s="817"/>
      <c r="CD42" s="817"/>
      <c r="CE42" s="817"/>
      <c r="CF42" s="817"/>
      <c r="CG42" s="817"/>
      <c r="CH42" s="817"/>
      <c r="CI42" s="817"/>
      <c r="CJ42" s="817"/>
      <c r="CK42" s="817"/>
      <c r="CL42" s="817"/>
      <c r="CM42" s="817"/>
      <c r="CN42" s="817"/>
      <c r="CO42" s="817"/>
      <c r="CP42" s="817"/>
      <c r="CQ42" s="817"/>
      <c r="CR42" s="817"/>
      <c r="CS42" s="817"/>
      <c r="CT42" s="817"/>
      <c r="CU42" s="817"/>
      <c r="CV42" s="817"/>
      <c r="CW42" s="817"/>
      <c r="CX42" s="817"/>
      <c r="CY42" s="817"/>
      <c r="CZ42" s="817"/>
      <c r="DA42" s="817"/>
      <c r="DB42" s="817"/>
      <c r="DC42" s="817"/>
      <c r="DD42" s="817"/>
      <c r="DE42" s="817"/>
      <c r="DF42" s="817"/>
      <c r="DG42" s="817"/>
      <c r="DH42" s="817"/>
      <c r="DI42" s="817"/>
      <c r="DJ42" s="817"/>
      <c r="DK42" s="817"/>
      <c r="DL42" s="817"/>
      <c r="DM42" s="817"/>
      <c r="DN42" s="817"/>
      <c r="DO42" s="817"/>
      <c r="DP42" s="817"/>
      <c r="DQ42" s="817"/>
      <c r="DR42" s="817"/>
      <c r="DS42" s="817"/>
      <c r="DT42" s="817"/>
      <c r="DU42" s="817"/>
      <c r="DV42" s="817"/>
      <c r="DW42" s="817"/>
      <c r="DX42" s="817"/>
      <c r="DY42" s="817"/>
      <c r="DZ42" s="817"/>
      <c r="EA42" s="817"/>
      <c r="EB42" s="817"/>
      <c r="EC42" s="817"/>
      <c r="ED42" s="817"/>
      <c r="EE42" s="817"/>
      <c r="EF42" s="817"/>
      <c r="EG42" s="817"/>
      <c r="EH42" s="817"/>
      <c r="EI42" s="817"/>
      <c r="EJ42" s="817"/>
      <c r="EK42" s="817"/>
      <c r="EL42" s="817"/>
      <c r="EM42" s="817"/>
      <c r="EN42" s="817"/>
      <c r="EO42" s="817"/>
      <c r="EP42" s="817"/>
      <c r="EQ42" s="817"/>
      <c r="ER42" s="817"/>
      <c r="ES42" s="817"/>
      <c r="ET42" s="817"/>
      <c r="EU42" s="817"/>
      <c r="EV42" s="817"/>
      <c r="EW42" s="817"/>
      <c r="EX42" s="817"/>
      <c r="EY42" s="817"/>
      <c r="EZ42" s="817"/>
      <c r="FA42" s="817"/>
      <c r="FB42" s="817"/>
      <c r="FC42" s="817"/>
      <c r="FD42" s="817"/>
      <c r="FE42" s="817"/>
      <c r="FF42" s="817"/>
      <c r="FG42" s="817"/>
      <c r="FH42" s="817"/>
      <c r="FI42" s="817"/>
      <c r="FJ42" s="817"/>
      <c r="FK42" s="817"/>
      <c r="FL42" s="817"/>
      <c r="FM42" s="817"/>
      <c r="FN42" s="817"/>
      <c r="FO42" s="817"/>
      <c r="FP42" s="817"/>
      <c r="FQ42" s="817"/>
      <c r="FR42" s="817"/>
      <c r="FS42" s="817"/>
      <c r="FT42" s="817"/>
      <c r="FU42" s="817"/>
      <c r="FV42" s="817"/>
      <c r="FW42" s="817"/>
      <c r="FX42" s="817"/>
      <c r="FY42" s="817"/>
      <c r="FZ42" s="817"/>
      <c r="GA42" s="817"/>
      <c r="GB42" s="817"/>
      <c r="GC42" s="817"/>
      <c r="GD42" s="817"/>
      <c r="GE42" s="817"/>
      <c r="GF42" s="817"/>
      <c r="GG42" s="817"/>
      <c r="GH42" s="817"/>
      <c r="GI42" s="817"/>
      <c r="GJ42" s="817"/>
      <c r="GK42" s="817"/>
      <c r="GL42" s="817"/>
      <c r="GM42" s="817"/>
      <c r="GN42" s="817"/>
      <c r="GO42" s="817"/>
      <c r="GP42" s="817"/>
      <c r="GQ42" s="817"/>
      <c r="GR42" s="817"/>
      <c r="GS42" s="817"/>
      <c r="GT42" s="817"/>
      <c r="GU42" s="817"/>
      <c r="GV42" s="817"/>
      <c r="GW42" s="817"/>
      <c r="GX42" s="817"/>
      <c r="GY42" s="817"/>
      <c r="GZ42" s="817"/>
      <c r="HA42" s="817"/>
      <c r="HB42" s="817"/>
      <c r="HC42" s="817"/>
      <c r="HD42" s="817"/>
      <c r="HE42" s="817"/>
      <c r="HF42" s="817"/>
      <c r="HG42" s="817"/>
      <c r="HH42" s="817"/>
      <c r="HI42" s="817"/>
      <c r="HJ42" s="817"/>
      <c r="HK42" s="817"/>
      <c r="HL42" s="817"/>
      <c r="HM42" s="817"/>
      <c r="HN42" s="817"/>
      <c r="HO42" s="817"/>
      <c r="HP42" s="817"/>
      <c r="HQ42" s="817"/>
      <c r="HR42" s="817"/>
      <c r="HS42" s="817"/>
      <c r="HT42" s="817"/>
      <c r="HU42" s="817"/>
      <c r="HV42" s="817"/>
      <c r="HW42" s="817"/>
      <c r="HX42" s="817"/>
      <c r="HY42" s="817"/>
      <c r="HZ42" s="817"/>
      <c r="IA42" s="817"/>
      <c r="IB42" s="817"/>
      <c r="IC42" s="817"/>
      <c r="ID42" s="817"/>
      <c r="IE42" s="817"/>
      <c r="IF42" s="817"/>
      <c r="IG42" s="817"/>
      <c r="IH42" s="817"/>
      <c r="II42" s="817"/>
      <c r="IJ42" s="817"/>
      <c r="IK42" s="817"/>
      <c r="IL42" s="817"/>
      <c r="IM42" s="817"/>
      <c r="IN42" s="817"/>
      <c r="IO42" s="817"/>
      <c r="IP42" s="817"/>
      <c r="IQ42" s="817"/>
      <c r="IR42" s="817"/>
      <c r="IS42" s="817"/>
      <c r="IT42" s="817"/>
      <c r="IU42" s="817"/>
      <c r="IV42" s="817"/>
    </row>
    <row r="43" spans="1:256" s="825" customFormat="1" ht="12.75" customHeight="1" thickBot="1">
      <c r="A43" s="845" t="s">
        <v>823</v>
      </c>
      <c r="B43" s="854">
        <v>205.9</v>
      </c>
      <c r="C43" s="854">
        <v>224.3</v>
      </c>
      <c r="D43" s="855">
        <v>281.3</v>
      </c>
      <c r="E43" s="855">
        <v>408.5</v>
      </c>
      <c r="F43" s="856">
        <v>377.4</v>
      </c>
      <c r="G43" s="856">
        <v>294.5</v>
      </c>
      <c r="H43" s="856">
        <v>346.7</v>
      </c>
      <c r="I43" s="856">
        <v>348.7</v>
      </c>
      <c r="J43" s="856">
        <v>335.4</v>
      </c>
      <c r="K43" s="856">
        <v>370.8</v>
      </c>
      <c r="L43" s="857">
        <v>350.5</v>
      </c>
      <c r="M43" s="857">
        <v>381.4</v>
      </c>
      <c r="N43" s="856">
        <v>375.5</v>
      </c>
      <c r="O43" s="824"/>
      <c r="P43" s="824"/>
      <c r="Q43" s="824"/>
      <c r="R43" s="824"/>
      <c r="S43" s="824"/>
      <c r="T43" s="824"/>
      <c r="U43" s="824"/>
      <c r="V43" s="824"/>
      <c r="W43" s="824"/>
      <c r="X43" s="824"/>
      <c r="Y43" s="824"/>
      <c r="Z43" s="824"/>
      <c r="AA43" s="824"/>
      <c r="AB43" s="824"/>
      <c r="AC43" s="824"/>
      <c r="AD43" s="824"/>
      <c r="AE43" s="824"/>
      <c r="AF43" s="824"/>
      <c r="AG43" s="824"/>
      <c r="AH43" s="824"/>
      <c r="AI43" s="824"/>
      <c r="AJ43" s="824"/>
      <c r="AK43" s="824"/>
      <c r="AL43" s="824"/>
      <c r="AM43" s="824"/>
      <c r="AN43" s="824"/>
      <c r="AO43" s="824"/>
      <c r="AP43" s="824"/>
      <c r="AQ43" s="824"/>
      <c r="AR43" s="824"/>
      <c r="AS43" s="824"/>
      <c r="AT43" s="824"/>
      <c r="AU43" s="824"/>
      <c r="AV43" s="824"/>
      <c r="AW43" s="824"/>
      <c r="AX43" s="824"/>
      <c r="AY43" s="824"/>
      <c r="AZ43" s="824"/>
      <c r="BA43" s="824"/>
      <c r="BB43" s="824"/>
      <c r="BC43" s="824"/>
      <c r="BD43" s="824"/>
      <c r="BE43" s="824"/>
      <c r="BF43" s="824"/>
      <c r="BG43" s="824"/>
      <c r="BH43" s="824"/>
      <c r="BI43" s="824"/>
      <c r="BJ43" s="824"/>
      <c r="BK43" s="824"/>
      <c r="BL43" s="824"/>
      <c r="BM43" s="824"/>
      <c r="BN43" s="824"/>
      <c r="BO43" s="824"/>
      <c r="BP43" s="824"/>
      <c r="BQ43" s="824"/>
      <c r="BR43" s="824"/>
      <c r="BS43" s="824"/>
      <c r="BT43" s="824"/>
      <c r="BU43" s="824"/>
      <c r="BV43" s="824"/>
      <c r="BW43" s="824"/>
      <c r="BX43" s="824"/>
      <c r="BY43" s="824"/>
      <c r="BZ43" s="824"/>
      <c r="CA43" s="824"/>
      <c r="CB43" s="824"/>
      <c r="CC43" s="824"/>
      <c r="CD43" s="824"/>
      <c r="CE43" s="824"/>
      <c r="CF43" s="824"/>
      <c r="CG43" s="824"/>
      <c r="CH43" s="824"/>
      <c r="CI43" s="824"/>
      <c r="CJ43" s="824"/>
      <c r="CK43" s="824"/>
      <c r="CL43" s="824"/>
      <c r="CM43" s="824"/>
      <c r="CN43" s="824"/>
      <c r="CO43" s="824"/>
      <c r="CP43" s="824"/>
      <c r="CQ43" s="824"/>
      <c r="CR43" s="824"/>
      <c r="CS43" s="824"/>
      <c r="CT43" s="824"/>
      <c r="CU43" s="824"/>
      <c r="CV43" s="824"/>
      <c r="CW43" s="824"/>
      <c r="CX43" s="824"/>
      <c r="CY43" s="824"/>
      <c r="CZ43" s="824"/>
      <c r="DA43" s="824"/>
      <c r="DB43" s="824"/>
      <c r="DC43" s="824"/>
      <c r="DD43" s="824"/>
      <c r="DE43" s="824"/>
      <c r="DF43" s="824"/>
      <c r="DG43" s="824"/>
      <c r="DH43" s="824"/>
      <c r="DI43" s="824"/>
      <c r="DJ43" s="824"/>
      <c r="DK43" s="824"/>
      <c r="DL43" s="824"/>
      <c r="DM43" s="824"/>
      <c r="DN43" s="824"/>
      <c r="DO43" s="824"/>
      <c r="DP43" s="824"/>
      <c r="DQ43" s="824"/>
      <c r="DR43" s="824"/>
      <c r="DS43" s="824"/>
      <c r="DT43" s="824"/>
      <c r="DU43" s="824"/>
      <c r="DV43" s="824"/>
      <c r="DW43" s="824"/>
      <c r="DX43" s="824"/>
      <c r="DY43" s="824"/>
      <c r="DZ43" s="824"/>
      <c r="EA43" s="824"/>
      <c r="EB43" s="824"/>
      <c r="EC43" s="824"/>
      <c r="ED43" s="824"/>
      <c r="EE43" s="824"/>
      <c r="EF43" s="824"/>
      <c r="EG43" s="824"/>
      <c r="EH43" s="824"/>
      <c r="EI43" s="824"/>
      <c r="EJ43" s="824"/>
      <c r="EK43" s="824"/>
      <c r="EL43" s="824"/>
      <c r="EM43" s="824"/>
      <c r="EN43" s="824"/>
      <c r="EO43" s="824"/>
      <c r="EP43" s="824"/>
      <c r="EQ43" s="824"/>
      <c r="ER43" s="824"/>
      <c r="ES43" s="824"/>
      <c r="ET43" s="824"/>
      <c r="EU43" s="824"/>
      <c r="EV43" s="824"/>
      <c r="EW43" s="824"/>
      <c r="EX43" s="824"/>
      <c r="EY43" s="824"/>
      <c r="EZ43" s="824"/>
      <c r="FA43" s="824"/>
      <c r="FB43" s="824"/>
      <c r="FC43" s="824"/>
      <c r="FD43" s="824"/>
      <c r="FE43" s="824"/>
      <c r="FF43" s="824"/>
      <c r="FG43" s="824"/>
      <c r="FH43" s="824"/>
      <c r="FI43" s="824"/>
      <c r="FJ43" s="824"/>
      <c r="FK43" s="824"/>
      <c r="FL43" s="824"/>
      <c r="FM43" s="824"/>
      <c r="FN43" s="824"/>
      <c r="FO43" s="824"/>
      <c r="FP43" s="824"/>
      <c r="FQ43" s="824"/>
      <c r="FR43" s="824"/>
      <c r="FS43" s="824"/>
      <c r="FT43" s="824"/>
      <c r="FU43" s="824"/>
      <c r="FV43" s="824"/>
      <c r="FW43" s="824"/>
      <c r="FX43" s="824"/>
      <c r="FY43" s="824"/>
      <c r="FZ43" s="824"/>
      <c r="GA43" s="824"/>
      <c r="GB43" s="824"/>
      <c r="GC43" s="824"/>
      <c r="GD43" s="824"/>
      <c r="GE43" s="824"/>
      <c r="GF43" s="824"/>
      <c r="GG43" s="824"/>
      <c r="GH43" s="824"/>
      <c r="GI43" s="824"/>
      <c r="GJ43" s="824"/>
      <c r="GK43" s="824"/>
      <c r="GL43" s="824"/>
      <c r="GM43" s="824"/>
      <c r="GN43" s="824"/>
      <c r="GO43" s="824"/>
      <c r="GP43" s="824"/>
      <c r="GQ43" s="824"/>
      <c r="GR43" s="824"/>
      <c r="GS43" s="824"/>
      <c r="GT43" s="824"/>
      <c r="GU43" s="824"/>
      <c r="GV43" s="824"/>
      <c r="GW43" s="824"/>
      <c r="GX43" s="824"/>
      <c r="GY43" s="824"/>
      <c r="GZ43" s="824"/>
      <c r="HA43" s="824"/>
      <c r="HB43" s="824"/>
      <c r="HC43" s="824"/>
      <c r="HD43" s="824"/>
      <c r="HE43" s="824"/>
      <c r="HF43" s="824"/>
      <c r="HG43" s="824"/>
      <c r="HH43" s="824"/>
      <c r="HI43" s="824"/>
      <c r="HJ43" s="824"/>
      <c r="HK43" s="824"/>
      <c r="HL43" s="824"/>
      <c r="HM43" s="824"/>
      <c r="HN43" s="824"/>
      <c r="HO43" s="824"/>
      <c r="HP43" s="824"/>
      <c r="HQ43" s="824"/>
      <c r="HR43" s="824"/>
      <c r="HS43" s="824"/>
      <c r="HT43" s="824"/>
      <c r="HU43" s="824"/>
      <c r="HV43" s="824"/>
      <c r="HW43" s="824"/>
      <c r="HX43" s="824"/>
      <c r="HY43" s="824"/>
      <c r="HZ43" s="824"/>
      <c r="IA43" s="824"/>
      <c r="IB43" s="824"/>
      <c r="IC43" s="824"/>
      <c r="ID43" s="824"/>
      <c r="IE43" s="824"/>
      <c r="IF43" s="824"/>
      <c r="IG43" s="824"/>
      <c r="IH43" s="824"/>
      <c r="II43" s="824"/>
      <c r="IJ43" s="824"/>
      <c r="IK43" s="824"/>
      <c r="IL43" s="824"/>
      <c r="IM43" s="824"/>
      <c r="IN43" s="824"/>
      <c r="IO43" s="824"/>
      <c r="IP43" s="824"/>
      <c r="IQ43" s="824"/>
      <c r="IR43" s="824"/>
      <c r="IS43" s="824"/>
      <c r="IT43" s="824"/>
      <c r="IU43" s="824"/>
      <c r="IV43" s="824"/>
    </row>
    <row r="44" spans="1:256" ht="12" customHeight="1" thickTop="1">
      <c r="A44" s="859" t="s">
        <v>840</v>
      </c>
      <c r="B44" s="837">
        <v>86.8</v>
      </c>
      <c r="C44" s="837">
        <v>94.7</v>
      </c>
      <c r="D44" s="838">
        <v>120.1</v>
      </c>
      <c r="E44" s="838">
        <v>190.9</v>
      </c>
      <c r="F44" s="838">
        <v>182.5</v>
      </c>
      <c r="G44" s="838">
        <v>144.4</v>
      </c>
      <c r="H44" s="838">
        <v>168.9</v>
      </c>
      <c r="I44" s="838">
        <v>170.1</v>
      </c>
      <c r="J44" s="838">
        <v>163.69999999999999</v>
      </c>
      <c r="K44" s="838">
        <v>181.9</v>
      </c>
      <c r="L44" s="844">
        <v>170.4</v>
      </c>
      <c r="M44" s="844">
        <v>184.4</v>
      </c>
      <c r="N44" s="838">
        <v>182.8</v>
      </c>
      <c r="O44" s="817"/>
      <c r="P44" s="817"/>
      <c r="Q44" s="817"/>
      <c r="R44" s="817"/>
      <c r="S44" s="817"/>
      <c r="T44" s="817"/>
      <c r="U44" s="817"/>
      <c r="V44" s="817"/>
      <c r="W44" s="817"/>
      <c r="X44" s="817"/>
      <c r="Y44" s="817"/>
      <c r="Z44" s="817"/>
      <c r="AA44" s="817"/>
      <c r="AB44" s="817"/>
      <c r="AC44" s="817"/>
      <c r="AD44" s="817"/>
      <c r="AE44" s="817"/>
      <c r="AF44" s="817"/>
      <c r="AG44" s="817"/>
      <c r="AH44" s="817"/>
      <c r="AI44" s="817"/>
      <c r="AJ44" s="817"/>
      <c r="AK44" s="817"/>
      <c r="AL44" s="817"/>
      <c r="AM44" s="817"/>
      <c r="AN44" s="817"/>
      <c r="AO44" s="817"/>
      <c r="AP44" s="817"/>
      <c r="AQ44" s="817"/>
      <c r="AR44" s="817"/>
      <c r="AS44" s="817"/>
      <c r="AT44" s="817"/>
      <c r="AU44" s="817"/>
      <c r="AV44" s="817"/>
      <c r="AW44" s="817"/>
      <c r="AX44" s="817"/>
      <c r="AY44" s="817"/>
      <c r="AZ44" s="817"/>
      <c r="BA44" s="817"/>
      <c r="BB44" s="817"/>
      <c r="BC44" s="817"/>
      <c r="BD44" s="817"/>
      <c r="BE44" s="817"/>
      <c r="BF44" s="817"/>
      <c r="BG44" s="817"/>
      <c r="BH44" s="817"/>
      <c r="BI44" s="817"/>
      <c r="BJ44" s="817"/>
      <c r="BK44" s="817"/>
      <c r="BL44" s="817"/>
      <c r="BM44" s="817"/>
      <c r="BN44" s="817"/>
      <c r="BO44" s="817"/>
      <c r="BP44" s="817"/>
      <c r="BQ44" s="817"/>
      <c r="BR44" s="817"/>
      <c r="BS44" s="817"/>
      <c r="BT44" s="817"/>
      <c r="BU44" s="817"/>
      <c r="BV44" s="817"/>
      <c r="BW44" s="817"/>
      <c r="BX44" s="817"/>
      <c r="BY44" s="817"/>
      <c r="BZ44" s="817"/>
      <c r="CA44" s="817"/>
      <c r="CB44" s="817"/>
      <c r="CC44" s="817"/>
      <c r="CD44" s="817"/>
      <c r="CE44" s="817"/>
      <c r="CF44" s="817"/>
      <c r="CG44" s="817"/>
      <c r="CH44" s="817"/>
      <c r="CI44" s="817"/>
      <c r="CJ44" s="817"/>
      <c r="CK44" s="817"/>
      <c r="CL44" s="817"/>
      <c r="CM44" s="817"/>
      <c r="CN44" s="817"/>
      <c r="CO44" s="817"/>
      <c r="CP44" s="817"/>
      <c r="CQ44" s="817"/>
      <c r="CR44" s="817"/>
      <c r="CS44" s="817"/>
      <c r="CT44" s="817"/>
      <c r="CU44" s="817"/>
      <c r="CV44" s="817"/>
      <c r="CW44" s="817"/>
      <c r="CX44" s="817"/>
      <c r="CY44" s="817"/>
      <c r="CZ44" s="817"/>
      <c r="DA44" s="817"/>
      <c r="DB44" s="817"/>
      <c r="DC44" s="817"/>
      <c r="DD44" s="817"/>
      <c r="DE44" s="817"/>
      <c r="DF44" s="817"/>
      <c r="DG44" s="817"/>
      <c r="DH44" s="817"/>
      <c r="DI44" s="817"/>
      <c r="DJ44" s="817"/>
      <c r="DK44" s="817"/>
      <c r="DL44" s="817"/>
      <c r="DM44" s="817"/>
      <c r="DN44" s="817"/>
      <c r="DO44" s="817"/>
      <c r="DP44" s="817"/>
      <c r="DQ44" s="817"/>
      <c r="DR44" s="817"/>
      <c r="DS44" s="817"/>
      <c r="DT44" s="817"/>
      <c r="DU44" s="817"/>
      <c r="DV44" s="817"/>
      <c r="DW44" s="817"/>
      <c r="DX44" s="817"/>
      <c r="DY44" s="817"/>
      <c r="DZ44" s="817"/>
      <c r="EA44" s="817"/>
      <c r="EB44" s="817"/>
      <c r="EC44" s="817"/>
      <c r="ED44" s="817"/>
      <c r="EE44" s="817"/>
      <c r="EF44" s="817"/>
      <c r="EG44" s="817"/>
      <c r="EH44" s="817"/>
      <c r="EI44" s="817"/>
      <c r="EJ44" s="817"/>
      <c r="EK44" s="817"/>
      <c r="EL44" s="817"/>
      <c r="EM44" s="817"/>
      <c r="EN44" s="817"/>
      <c r="EO44" s="817"/>
      <c r="EP44" s="817"/>
      <c r="EQ44" s="817"/>
      <c r="ER44" s="817"/>
      <c r="ES44" s="817"/>
      <c r="ET44" s="817"/>
      <c r="EU44" s="817"/>
      <c r="EV44" s="817"/>
      <c r="EW44" s="817"/>
      <c r="EX44" s="817"/>
      <c r="EY44" s="817"/>
      <c r="EZ44" s="817"/>
      <c r="FA44" s="817"/>
      <c r="FB44" s="817"/>
      <c r="FC44" s="817"/>
      <c r="FD44" s="817"/>
      <c r="FE44" s="817"/>
      <c r="FF44" s="817"/>
      <c r="FG44" s="817"/>
      <c r="FH44" s="817"/>
      <c r="FI44" s="817"/>
      <c r="FJ44" s="817"/>
      <c r="FK44" s="817"/>
      <c r="FL44" s="817"/>
      <c r="FM44" s="817"/>
      <c r="FN44" s="817"/>
      <c r="FO44" s="817"/>
      <c r="FP44" s="817"/>
      <c r="FQ44" s="817"/>
      <c r="FR44" s="817"/>
      <c r="FS44" s="817"/>
      <c r="FT44" s="817"/>
      <c r="FU44" s="817"/>
      <c r="FV44" s="817"/>
      <c r="FW44" s="817"/>
      <c r="FX44" s="817"/>
      <c r="FY44" s="817"/>
      <c r="FZ44" s="817"/>
      <c r="GA44" s="817"/>
      <c r="GB44" s="817"/>
      <c r="GC44" s="817"/>
      <c r="GD44" s="817"/>
      <c r="GE44" s="817"/>
      <c r="GF44" s="817"/>
      <c r="GG44" s="817"/>
      <c r="GH44" s="817"/>
      <c r="GI44" s="817"/>
      <c r="GJ44" s="817"/>
      <c r="GK44" s="817"/>
      <c r="GL44" s="817"/>
      <c r="GM44" s="817"/>
      <c r="GN44" s="817"/>
      <c r="GO44" s="817"/>
      <c r="GP44" s="817"/>
      <c r="GQ44" s="817"/>
      <c r="GR44" s="817"/>
      <c r="GS44" s="817"/>
      <c r="GT44" s="817"/>
      <c r="GU44" s="817"/>
      <c r="GV44" s="817"/>
      <c r="GW44" s="817"/>
      <c r="GX44" s="817"/>
      <c r="GY44" s="817"/>
      <c r="GZ44" s="817"/>
      <c r="HA44" s="817"/>
      <c r="HB44" s="817"/>
      <c r="HC44" s="817"/>
      <c r="HD44" s="817"/>
      <c r="HE44" s="817"/>
      <c r="HF44" s="817"/>
      <c r="HG44" s="817"/>
      <c r="HH44" s="817"/>
      <c r="HI44" s="817"/>
      <c r="HJ44" s="817"/>
      <c r="HK44" s="817"/>
      <c r="HL44" s="817"/>
      <c r="HM44" s="817"/>
      <c r="HN44" s="817"/>
      <c r="HO44" s="817"/>
      <c r="HP44" s="817"/>
      <c r="HQ44" s="817"/>
      <c r="HR44" s="817"/>
      <c r="HS44" s="817"/>
      <c r="HT44" s="817"/>
      <c r="HU44" s="817"/>
      <c r="HV44" s="817"/>
      <c r="HW44" s="817"/>
      <c r="HX44" s="817"/>
      <c r="HY44" s="817"/>
      <c r="HZ44" s="817"/>
      <c r="IA44" s="817"/>
      <c r="IB44" s="817"/>
      <c r="IC44" s="817"/>
      <c r="ID44" s="817"/>
      <c r="IE44" s="817"/>
      <c r="IF44" s="817"/>
      <c r="IG44" s="817"/>
      <c r="IH44" s="817"/>
      <c r="II44" s="817"/>
      <c r="IJ44" s="817"/>
      <c r="IK44" s="817"/>
      <c r="IL44" s="817"/>
      <c r="IM44" s="817"/>
      <c r="IN44" s="817"/>
      <c r="IO44" s="817"/>
      <c r="IP44" s="817"/>
      <c r="IQ44" s="817"/>
      <c r="IR44" s="817"/>
      <c r="IS44" s="817"/>
      <c r="IT44" s="817"/>
      <c r="IU44" s="817"/>
      <c r="IV44" s="817"/>
    </row>
    <row r="45" spans="1:256" ht="12.75" customHeight="1">
      <c r="A45" s="860" t="s">
        <v>829</v>
      </c>
      <c r="B45" s="841">
        <v>1010</v>
      </c>
      <c r="C45" s="841">
        <v>1102</v>
      </c>
      <c r="D45" s="842">
        <v>1397</v>
      </c>
      <c r="E45" s="842">
        <v>2220</v>
      </c>
      <c r="F45" s="842">
        <v>2122</v>
      </c>
      <c r="G45" s="842">
        <v>1679.3</v>
      </c>
      <c r="H45" s="842">
        <v>1964.9</v>
      </c>
      <c r="I45" s="842">
        <v>1977.8</v>
      </c>
      <c r="J45" s="842">
        <v>1904.1</v>
      </c>
      <c r="K45" s="842">
        <v>2115.3000000000002</v>
      </c>
      <c r="L45" s="853">
        <v>1981.9</v>
      </c>
      <c r="M45" s="853">
        <v>2144.4</v>
      </c>
      <c r="N45" s="842">
        <v>2126.4</v>
      </c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817"/>
      <c r="AB45" s="817"/>
      <c r="AC45" s="817"/>
      <c r="AD45" s="817"/>
      <c r="AE45" s="817"/>
      <c r="AF45" s="817"/>
      <c r="AG45" s="817"/>
      <c r="AH45" s="817"/>
      <c r="AI45" s="817"/>
      <c r="AJ45" s="817"/>
      <c r="AK45" s="817"/>
      <c r="AL45" s="817"/>
      <c r="AM45" s="817"/>
      <c r="AN45" s="817"/>
      <c r="AO45" s="817"/>
      <c r="AP45" s="817"/>
      <c r="AQ45" s="817"/>
      <c r="AR45" s="817"/>
      <c r="AS45" s="817"/>
      <c r="AT45" s="817"/>
      <c r="AU45" s="817"/>
      <c r="AV45" s="817"/>
      <c r="AW45" s="817"/>
      <c r="AX45" s="817"/>
      <c r="AY45" s="817"/>
      <c r="AZ45" s="817"/>
      <c r="BA45" s="817"/>
      <c r="BB45" s="817"/>
      <c r="BC45" s="817"/>
      <c r="BD45" s="817"/>
      <c r="BE45" s="817"/>
      <c r="BF45" s="817"/>
      <c r="BG45" s="817"/>
      <c r="BH45" s="817"/>
      <c r="BI45" s="817"/>
      <c r="BJ45" s="817"/>
      <c r="BK45" s="817"/>
      <c r="BL45" s="817"/>
      <c r="BM45" s="817"/>
      <c r="BN45" s="817"/>
      <c r="BO45" s="817"/>
      <c r="BP45" s="817"/>
      <c r="BQ45" s="817"/>
      <c r="BR45" s="817"/>
      <c r="BS45" s="817"/>
      <c r="BT45" s="817"/>
      <c r="BU45" s="817"/>
      <c r="BV45" s="817"/>
      <c r="BW45" s="817"/>
      <c r="BX45" s="817"/>
      <c r="BY45" s="817"/>
      <c r="BZ45" s="817"/>
      <c r="CA45" s="817"/>
      <c r="CB45" s="817"/>
      <c r="CC45" s="817"/>
      <c r="CD45" s="817"/>
      <c r="CE45" s="817"/>
      <c r="CF45" s="817"/>
      <c r="CG45" s="817"/>
      <c r="CH45" s="817"/>
      <c r="CI45" s="817"/>
      <c r="CJ45" s="817"/>
      <c r="CK45" s="817"/>
      <c r="CL45" s="817"/>
      <c r="CM45" s="817"/>
      <c r="CN45" s="817"/>
      <c r="CO45" s="817"/>
      <c r="CP45" s="817"/>
      <c r="CQ45" s="817"/>
      <c r="CR45" s="817"/>
      <c r="CS45" s="817"/>
      <c r="CT45" s="817"/>
      <c r="CU45" s="817"/>
      <c r="CV45" s="817"/>
      <c r="CW45" s="817"/>
      <c r="CX45" s="817"/>
      <c r="CY45" s="817"/>
      <c r="CZ45" s="817"/>
      <c r="DA45" s="817"/>
      <c r="DB45" s="817"/>
      <c r="DC45" s="817"/>
      <c r="DD45" s="817"/>
      <c r="DE45" s="817"/>
      <c r="DF45" s="817"/>
      <c r="DG45" s="817"/>
      <c r="DH45" s="817"/>
      <c r="DI45" s="817"/>
      <c r="DJ45" s="817"/>
      <c r="DK45" s="817"/>
      <c r="DL45" s="817"/>
      <c r="DM45" s="817"/>
      <c r="DN45" s="817"/>
      <c r="DO45" s="817"/>
      <c r="DP45" s="817"/>
      <c r="DQ45" s="817"/>
      <c r="DR45" s="817"/>
      <c r="DS45" s="817"/>
      <c r="DT45" s="817"/>
      <c r="DU45" s="817"/>
      <c r="DV45" s="817"/>
      <c r="DW45" s="817"/>
      <c r="DX45" s="817"/>
      <c r="DY45" s="817"/>
      <c r="DZ45" s="817"/>
      <c r="EA45" s="817"/>
      <c r="EB45" s="817"/>
      <c r="EC45" s="817"/>
      <c r="ED45" s="817"/>
      <c r="EE45" s="817"/>
      <c r="EF45" s="817"/>
      <c r="EG45" s="817"/>
      <c r="EH45" s="817"/>
      <c r="EI45" s="817"/>
      <c r="EJ45" s="817"/>
      <c r="EK45" s="817"/>
      <c r="EL45" s="817"/>
      <c r="EM45" s="817"/>
      <c r="EN45" s="817"/>
      <c r="EO45" s="817"/>
      <c r="EP45" s="817"/>
      <c r="EQ45" s="817"/>
      <c r="ER45" s="817"/>
      <c r="ES45" s="817"/>
      <c r="ET45" s="817"/>
      <c r="EU45" s="817"/>
      <c r="EV45" s="817"/>
      <c r="EW45" s="817"/>
      <c r="EX45" s="817"/>
      <c r="EY45" s="817"/>
      <c r="EZ45" s="817"/>
      <c r="FA45" s="817"/>
      <c r="FB45" s="817"/>
      <c r="FC45" s="817"/>
      <c r="FD45" s="817"/>
      <c r="FE45" s="817"/>
      <c r="FF45" s="817"/>
      <c r="FG45" s="817"/>
      <c r="FH45" s="817"/>
      <c r="FI45" s="817"/>
      <c r="FJ45" s="817"/>
      <c r="FK45" s="817"/>
      <c r="FL45" s="817"/>
      <c r="FM45" s="817"/>
      <c r="FN45" s="817"/>
      <c r="FO45" s="817"/>
      <c r="FP45" s="817"/>
      <c r="FQ45" s="817"/>
      <c r="FR45" s="817"/>
      <c r="FS45" s="817"/>
      <c r="FT45" s="817"/>
      <c r="FU45" s="817"/>
      <c r="FV45" s="817"/>
      <c r="FW45" s="817"/>
      <c r="FX45" s="817"/>
      <c r="FY45" s="817"/>
      <c r="FZ45" s="817"/>
      <c r="GA45" s="817"/>
      <c r="GB45" s="817"/>
      <c r="GC45" s="817"/>
      <c r="GD45" s="817"/>
      <c r="GE45" s="817"/>
      <c r="GF45" s="817"/>
      <c r="GG45" s="817"/>
      <c r="GH45" s="817"/>
      <c r="GI45" s="817"/>
      <c r="GJ45" s="817"/>
      <c r="GK45" s="817"/>
      <c r="GL45" s="817"/>
      <c r="GM45" s="817"/>
      <c r="GN45" s="817"/>
      <c r="GO45" s="817"/>
      <c r="GP45" s="817"/>
      <c r="GQ45" s="817"/>
      <c r="GR45" s="817"/>
      <c r="GS45" s="817"/>
      <c r="GT45" s="817"/>
      <c r="GU45" s="817"/>
      <c r="GV45" s="817"/>
      <c r="GW45" s="817"/>
      <c r="GX45" s="817"/>
      <c r="GY45" s="817"/>
      <c r="GZ45" s="817"/>
      <c r="HA45" s="817"/>
      <c r="HB45" s="817"/>
      <c r="HC45" s="817"/>
      <c r="HD45" s="817"/>
      <c r="HE45" s="817"/>
      <c r="HF45" s="817"/>
      <c r="HG45" s="817"/>
      <c r="HH45" s="817"/>
      <c r="HI45" s="817"/>
      <c r="HJ45" s="817"/>
      <c r="HK45" s="817"/>
      <c r="HL45" s="817"/>
      <c r="HM45" s="817"/>
      <c r="HN45" s="817"/>
      <c r="HO45" s="817"/>
      <c r="HP45" s="817"/>
      <c r="HQ45" s="817"/>
      <c r="HR45" s="817"/>
      <c r="HS45" s="817"/>
      <c r="HT45" s="817"/>
      <c r="HU45" s="817"/>
      <c r="HV45" s="817"/>
      <c r="HW45" s="817"/>
      <c r="HX45" s="817"/>
      <c r="HY45" s="817"/>
      <c r="HZ45" s="817"/>
      <c r="IA45" s="817"/>
      <c r="IB45" s="817"/>
      <c r="IC45" s="817"/>
      <c r="ID45" s="817"/>
      <c r="IE45" s="817"/>
      <c r="IF45" s="817"/>
      <c r="IG45" s="817"/>
      <c r="IH45" s="817"/>
      <c r="II45" s="817"/>
      <c r="IJ45" s="817"/>
      <c r="IK45" s="817"/>
      <c r="IL45" s="817"/>
      <c r="IM45" s="817"/>
      <c r="IN45" s="817"/>
      <c r="IO45" s="817"/>
      <c r="IP45" s="817"/>
      <c r="IQ45" s="817"/>
      <c r="IR45" s="817"/>
      <c r="IS45" s="817"/>
      <c r="IT45" s="817"/>
      <c r="IU45" s="817"/>
      <c r="IV45" s="817"/>
    </row>
    <row r="46" spans="1:256" s="825" customFormat="1" ht="12" customHeight="1">
      <c r="A46" s="818" t="s">
        <v>841</v>
      </c>
      <c r="B46" s="837">
        <v>73.599999999999994</v>
      </c>
      <c r="C46" s="837">
        <v>81</v>
      </c>
      <c r="D46" s="838">
        <v>103.2</v>
      </c>
      <c r="E46" s="838">
        <v>172.4</v>
      </c>
      <c r="F46" s="863">
        <v>86.4</v>
      </c>
      <c r="G46" s="863">
        <v>83.1</v>
      </c>
      <c r="H46" s="863">
        <v>123.7</v>
      </c>
      <c r="I46" s="863">
        <v>95.6</v>
      </c>
      <c r="J46" s="863">
        <v>144.6</v>
      </c>
      <c r="K46" s="863">
        <v>162.19999999999999</v>
      </c>
      <c r="L46" s="870">
        <v>128.69999999999999</v>
      </c>
      <c r="M46" s="864">
        <v>22.8</v>
      </c>
      <c r="N46" s="863">
        <v>130</v>
      </c>
      <c r="O46" s="824"/>
      <c r="P46" s="824"/>
      <c r="Q46" s="824"/>
      <c r="R46" s="824"/>
      <c r="S46" s="824"/>
      <c r="T46" s="824"/>
      <c r="U46" s="824"/>
      <c r="V46" s="824"/>
      <c r="W46" s="824"/>
      <c r="X46" s="824"/>
      <c r="Y46" s="824"/>
      <c r="Z46" s="824"/>
      <c r="AA46" s="824"/>
      <c r="AB46" s="824"/>
      <c r="AC46" s="824"/>
      <c r="AD46" s="824"/>
      <c r="AE46" s="824"/>
      <c r="AF46" s="824"/>
      <c r="AG46" s="824"/>
      <c r="AH46" s="824"/>
      <c r="AI46" s="824"/>
      <c r="AJ46" s="824"/>
      <c r="AK46" s="824"/>
      <c r="AL46" s="824"/>
      <c r="AM46" s="824"/>
      <c r="AN46" s="824"/>
      <c r="AO46" s="824"/>
      <c r="AP46" s="824"/>
      <c r="AQ46" s="824"/>
      <c r="AR46" s="824"/>
      <c r="AS46" s="824"/>
      <c r="AT46" s="824"/>
      <c r="AU46" s="824"/>
      <c r="AV46" s="824"/>
      <c r="AW46" s="824"/>
      <c r="AX46" s="824"/>
      <c r="AY46" s="824"/>
      <c r="AZ46" s="824"/>
      <c r="BA46" s="824"/>
      <c r="BB46" s="824"/>
      <c r="BC46" s="824"/>
      <c r="BD46" s="824"/>
      <c r="BE46" s="824"/>
      <c r="BF46" s="824"/>
      <c r="BG46" s="824"/>
      <c r="BH46" s="824"/>
      <c r="BI46" s="824"/>
      <c r="BJ46" s="824"/>
      <c r="BK46" s="824"/>
      <c r="BL46" s="824"/>
      <c r="BM46" s="824"/>
      <c r="BN46" s="824"/>
      <c r="BO46" s="824"/>
      <c r="BP46" s="824"/>
      <c r="BQ46" s="824"/>
      <c r="BR46" s="824"/>
      <c r="BS46" s="824"/>
      <c r="BT46" s="824"/>
      <c r="BU46" s="824"/>
      <c r="BV46" s="824"/>
      <c r="BW46" s="824"/>
      <c r="BX46" s="824"/>
      <c r="BY46" s="824"/>
      <c r="BZ46" s="824"/>
      <c r="CA46" s="824"/>
      <c r="CB46" s="824"/>
      <c r="CC46" s="824"/>
      <c r="CD46" s="824"/>
      <c r="CE46" s="824"/>
      <c r="CF46" s="824"/>
      <c r="CG46" s="824"/>
      <c r="CH46" s="824"/>
      <c r="CI46" s="824"/>
      <c r="CJ46" s="824"/>
      <c r="CK46" s="824"/>
      <c r="CL46" s="824"/>
      <c r="CM46" s="824"/>
      <c r="CN46" s="824"/>
      <c r="CO46" s="824"/>
      <c r="CP46" s="824"/>
      <c r="CQ46" s="824"/>
      <c r="CR46" s="824"/>
      <c r="CS46" s="824"/>
      <c r="CT46" s="824"/>
      <c r="CU46" s="824"/>
      <c r="CV46" s="824"/>
      <c r="CW46" s="824"/>
      <c r="CX46" s="824"/>
      <c r="CY46" s="824"/>
      <c r="CZ46" s="824"/>
      <c r="DA46" s="824"/>
      <c r="DB46" s="824"/>
      <c r="DC46" s="824"/>
      <c r="DD46" s="824"/>
      <c r="DE46" s="824"/>
      <c r="DF46" s="824"/>
      <c r="DG46" s="824"/>
      <c r="DH46" s="824"/>
      <c r="DI46" s="824"/>
      <c r="DJ46" s="824"/>
      <c r="DK46" s="824"/>
      <c r="DL46" s="824"/>
      <c r="DM46" s="824"/>
      <c r="DN46" s="824"/>
      <c r="DO46" s="824"/>
      <c r="DP46" s="824"/>
      <c r="DQ46" s="824"/>
      <c r="DR46" s="824"/>
      <c r="DS46" s="824"/>
      <c r="DT46" s="824"/>
      <c r="DU46" s="824"/>
      <c r="DV46" s="824"/>
      <c r="DW46" s="824"/>
      <c r="DX46" s="824"/>
      <c r="DY46" s="824"/>
      <c r="DZ46" s="824"/>
      <c r="EA46" s="824"/>
      <c r="EB46" s="824"/>
      <c r="EC46" s="824"/>
      <c r="ED46" s="824"/>
      <c r="EE46" s="824"/>
      <c r="EF46" s="824"/>
      <c r="EG46" s="824"/>
      <c r="EH46" s="824"/>
      <c r="EI46" s="824"/>
      <c r="EJ46" s="824"/>
      <c r="EK46" s="824"/>
      <c r="EL46" s="824"/>
      <c r="EM46" s="824"/>
      <c r="EN46" s="824"/>
      <c r="EO46" s="824"/>
      <c r="EP46" s="824"/>
      <c r="EQ46" s="824"/>
      <c r="ER46" s="824"/>
      <c r="ES46" s="824"/>
      <c r="ET46" s="824"/>
      <c r="EU46" s="824"/>
      <c r="EV46" s="824"/>
      <c r="EW46" s="824"/>
      <c r="EX46" s="824"/>
      <c r="EY46" s="824"/>
      <c r="EZ46" s="824"/>
      <c r="FA46" s="824"/>
      <c r="FB46" s="824"/>
      <c r="FC46" s="824"/>
      <c r="FD46" s="824"/>
      <c r="FE46" s="824"/>
      <c r="FF46" s="824"/>
      <c r="FG46" s="824"/>
      <c r="FH46" s="824"/>
      <c r="FI46" s="824"/>
      <c r="FJ46" s="824"/>
      <c r="FK46" s="824"/>
      <c r="FL46" s="824"/>
      <c r="FM46" s="824"/>
      <c r="FN46" s="824"/>
      <c r="FO46" s="824"/>
      <c r="FP46" s="824"/>
      <c r="FQ46" s="824"/>
      <c r="FR46" s="824"/>
      <c r="FS46" s="824"/>
      <c r="FT46" s="824"/>
      <c r="FU46" s="824"/>
      <c r="FV46" s="824"/>
      <c r="FW46" s="824"/>
      <c r="FX46" s="824"/>
      <c r="FY46" s="824"/>
      <c r="FZ46" s="824"/>
      <c r="GA46" s="824"/>
      <c r="GB46" s="824"/>
      <c r="GC46" s="824"/>
      <c r="GD46" s="824"/>
      <c r="GE46" s="824"/>
      <c r="GF46" s="824"/>
      <c r="GG46" s="824"/>
      <c r="GH46" s="824"/>
      <c r="GI46" s="824"/>
      <c r="GJ46" s="824"/>
      <c r="GK46" s="824"/>
      <c r="GL46" s="824"/>
      <c r="GM46" s="824"/>
      <c r="GN46" s="824"/>
      <c r="GO46" s="824"/>
      <c r="GP46" s="824"/>
      <c r="GQ46" s="824"/>
      <c r="GR46" s="824"/>
      <c r="GS46" s="824"/>
      <c r="GT46" s="824"/>
      <c r="GU46" s="824"/>
      <c r="GV46" s="824"/>
      <c r="GW46" s="824"/>
      <c r="GX46" s="824"/>
      <c r="GY46" s="824"/>
      <c r="GZ46" s="824"/>
      <c r="HA46" s="824"/>
      <c r="HB46" s="824"/>
      <c r="HC46" s="824"/>
      <c r="HD46" s="824"/>
      <c r="HE46" s="824"/>
      <c r="HF46" s="824"/>
      <c r="HG46" s="824"/>
      <c r="HH46" s="824"/>
      <c r="HI46" s="824"/>
      <c r="HJ46" s="824"/>
      <c r="HK46" s="824"/>
      <c r="HL46" s="824"/>
      <c r="HM46" s="824"/>
      <c r="HN46" s="824"/>
      <c r="HO46" s="824"/>
      <c r="HP46" s="824"/>
      <c r="HQ46" s="824"/>
      <c r="HR46" s="824"/>
      <c r="HS46" s="824"/>
      <c r="HT46" s="824"/>
      <c r="HU46" s="824"/>
      <c r="HV46" s="824"/>
      <c r="HW46" s="824"/>
      <c r="HX46" s="824"/>
      <c r="HY46" s="824"/>
      <c r="HZ46" s="824"/>
      <c r="IA46" s="824"/>
      <c r="IB46" s="824"/>
      <c r="IC46" s="824"/>
      <c r="ID46" s="824"/>
      <c r="IE46" s="824"/>
      <c r="IF46" s="824"/>
      <c r="IG46" s="824"/>
      <c r="IH46" s="824"/>
      <c r="II46" s="824"/>
      <c r="IJ46" s="824"/>
      <c r="IK46" s="824"/>
      <c r="IL46" s="824"/>
      <c r="IM46" s="824"/>
      <c r="IN46" s="824"/>
      <c r="IO46" s="824"/>
      <c r="IP46" s="824"/>
      <c r="IQ46" s="824"/>
      <c r="IR46" s="824"/>
      <c r="IS46" s="824"/>
      <c r="IT46" s="824"/>
      <c r="IU46" s="824"/>
      <c r="IV46" s="824"/>
    </row>
    <row r="47" spans="1:256" s="825" customFormat="1" ht="12" customHeight="1" thickBot="1">
      <c r="A47" s="845" t="s">
        <v>842</v>
      </c>
      <c r="B47" s="846">
        <v>856</v>
      </c>
      <c r="C47" s="846">
        <v>943</v>
      </c>
      <c r="D47" s="847">
        <v>1200</v>
      </c>
      <c r="E47" s="847">
        <v>2005</v>
      </c>
      <c r="F47" s="867">
        <v>1005</v>
      </c>
      <c r="G47" s="867">
        <v>966.2</v>
      </c>
      <c r="H47" s="867">
        <v>1438.3</v>
      </c>
      <c r="I47" s="867">
        <v>1112.4000000000001</v>
      </c>
      <c r="J47" s="867">
        <v>1681.5</v>
      </c>
      <c r="K47" s="867">
        <v>1886</v>
      </c>
      <c r="L47" s="868">
        <v>1496.9</v>
      </c>
      <c r="M47" s="868">
        <v>265.5</v>
      </c>
      <c r="N47" s="867">
        <v>1512.2</v>
      </c>
      <c r="O47" s="824"/>
      <c r="P47" s="824"/>
      <c r="Q47" s="824"/>
      <c r="R47" s="824"/>
      <c r="S47" s="824"/>
      <c r="T47" s="824"/>
      <c r="U47" s="824"/>
      <c r="V47" s="824"/>
      <c r="W47" s="824"/>
      <c r="X47" s="824"/>
      <c r="Y47" s="824"/>
      <c r="Z47" s="824"/>
      <c r="AA47" s="824"/>
      <c r="AB47" s="824"/>
      <c r="AC47" s="824"/>
      <c r="AD47" s="824"/>
      <c r="AE47" s="824"/>
      <c r="AF47" s="824"/>
      <c r="AG47" s="824"/>
      <c r="AH47" s="824"/>
      <c r="AI47" s="824"/>
      <c r="AJ47" s="824"/>
      <c r="AK47" s="824"/>
      <c r="AL47" s="824"/>
      <c r="AM47" s="824"/>
      <c r="AN47" s="824"/>
      <c r="AO47" s="824"/>
      <c r="AP47" s="824"/>
      <c r="AQ47" s="824"/>
      <c r="AR47" s="824"/>
      <c r="AS47" s="824"/>
      <c r="AT47" s="824"/>
      <c r="AU47" s="824"/>
      <c r="AV47" s="824"/>
      <c r="AW47" s="824"/>
      <c r="AX47" s="824"/>
      <c r="AY47" s="824"/>
      <c r="AZ47" s="824"/>
      <c r="BA47" s="824"/>
      <c r="BB47" s="824"/>
      <c r="BC47" s="824"/>
      <c r="BD47" s="824"/>
      <c r="BE47" s="824"/>
      <c r="BF47" s="824"/>
      <c r="BG47" s="824"/>
      <c r="BH47" s="824"/>
      <c r="BI47" s="824"/>
      <c r="BJ47" s="824"/>
      <c r="BK47" s="824"/>
      <c r="BL47" s="824"/>
      <c r="BM47" s="824"/>
      <c r="BN47" s="824"/>
      <c r="BO47" s="824"/>
      <c r="BP47" s="824"/>
      <c r="BQ47" s="824"/>
      <c r="BR47" s="824"/>
      <c r="BS47" s="824"/>
      <c r="BT47" s="824"/>
      <c r="BU47" s="824"/>
      <c r="BV47" s="824"/>
      <c r="BW47" s="824"/>
      <c r="BX47" s="824"/>
      <c r="BY47" s="824"/>
      <c r="BZ47" s="824"/>
      <c r="CA47" s="824"/>
      <c r="CB47" s="824"/>
      <c r="CC47" s="824"/>
      <c r="CD47" s="824"/>
      <c r="CE47" s="824"/>
      <c r="CF47" s="824"/>
      <c r="CG47" s="824"/>
      <c r="CH47" s="824"/>
      <c r="CI47" s="824"/>
      <c r="CJ47" s="824"/>
      <c r="CK47" s="824"/>
      <c r="CL47" s="824"/>
      <c r="CM47" s="824"/>
      <c r="CN47" s="824"/>
      <c r="CO47" s="824"/>
      <c r="CP47" s="824"/>
      <c r="CQ47" s="824"/>
      <c r="CR47" s="824"/>
      <c r="CS47" s="824"/>
      <c r="CT47" s="824"/>
      <c r="CU47" s="824"/>
      <c r="CV47" s="824"/>
      <c r="CW47" s="824"/>
      <c r="CX47" s="824"/>
      <c r="CY47" s="824"/>
      <c r="CZ47" s="824"/>
      <c r="DA47" s="824"/>
      <c r="DB47" s="824"/>
      <c r="DC47" s="824"/>
      <c r="DD47" s="824"/>
      <c r="DE47" s="824"/>
      <c r="DF47" s="824"/>
      <c r="DG47" s="824"/>
      <c r="DH47" s="824"/>
      <c r="DI47" s="824"/>
      <c r="DJ47" s="824"/>
      <c r="DK47" s="824"/>
      <c r="DL47" s="824"/>
      <c r="DM47" s="824"/>
      <c r="DN47" s="824"/>
      <c r="DO47" s="824"/>
      <c r="DP47" s="824"/>
      <c r="DQ47" s="824"/>
      <c r="DR47" s="824"/>
      <c r="DS47" s="824"/>
      <c r="DT47" s="824"/>
      <c r="DU47" s="824"/>
      <c r="DV47" s="824"/>
      <c r="DW47" s="824"/>
      <c r="DX47" s="824"/>
      <c r="DY47" s="824"/>
      <c r="DZ47" s="824"/>
      <c r="EA47" s="824"/>
      <c r="EB47" s="824"/>
      <c r="EC47" s="824"/>
      <c r="ED47" s="824"/>
      <c r="EE47" s="824"/>
      <c r="EF47" s="824"/>
      <c r="EG47" s="824"/>
      <c r="EH47" s="824"/>
      <c r="EI47" s="824"/>
      <c r="EJ47" s="824"/>
      <c r="EK47" s="824"/>
      <c r="EL47" s="824"/>
      <c r="EM47" s="824"/>
      <c r="EN47" s="824"/>
      <c r="EO47" s="824"/>
      <c r="EP47" s="824"/>
      <c r="EQ47" s="824"/>
      <c r="ER47" s="824"/>
      <c r="ES47" s="824"/>
      <c r="ET47" s="824"/>
      <c r="EU47" s="824"/>
      <c r="EV47" s="824"/>
      <c r="EW47" s="824"/>
      <c r="EX47" s="824"/>
      <c r="EY47" s="824"/>
      <c r="EZ47" s="824"/>
      <c r="FA47" s="824"/>
      <c r="FB47" s="824"/>
      <c r="FC47" s="824"/>
      <c r="FD47" s="824"/>
      <c r="FE47" s="824"/>
      <c r="FF47" s="824"/>
      <c r="FG47" s="824"/>
      <c r="FH47" s="824"/>
      <c r="FI47" s="824"/>
      <c r="FJ47" s="824"/>
      <c r="FK47" s="824"/>
      <c r="FL47" s="824"/>
      <c r="FM47" s="824"/>
      <c r="FN47" s="824"/>
      <c r="FO47" s="824"/>
      <c r="FP47" s="824"/>
      <c r="FQ47" s="824"/>
      <c r="FR47" s="824"/>
      <c r="FS47" s="824"/>
      <c r="FT47" s="824"/>
      <c r="FU47" s="824"/>
      <c r="FV47" s="824"/>
      <c r="FW47" s="824"/>
      <c r="FX47" s="824"/>
      <c r="FY47" s="824"/>
      <c r="FZ47" s="824"/>
      <c r="GA47" s="824"/>
      <c r="GB47" s="824"/>
      <c r="GC47" s="824"/>
      <c r="GD47" s="824"/>
      <c r="GE47" s="824"/>
      <c r="GF47" s="824"/>
      <c r="GG47" s="824"/>
      <c r="GH47" s="824"/>
      <c r="GI47" s="824"/>
      <c r="GJ47" s="824"/>
      <c r="GK47" s="824"/>
      <c r="GL47" s="824"/>
      <c r="GM47" s="824"/>
      <c r="GN47" s="824"/>
      <c r="GO47" s="824"/>
      <c r="GP47" s="824"/>
      <c r="GQ47" s="824"/>
      <c r="GR47" s="824"/>
      <c r="GS47" s="824"/>
      <c r="GT47" s="824"/>
      <c r="GU47" s="824"/>
      <c r="GV47" s="824"/>
      <c r="GW47" s="824"/>
      <c r="GX47" s="824"/>
      <c r="GY47" s="824"/>
      <c r="GZ47" s="824"/>
      <c r="HA47" s="824"/>
      <c r="HB47" s="824"/>
      <c r="HC47" s="824"/>
      <c r="HD47" s="824"/>
      <c r="HE47" s="824"/>
      <c r="HF47" s="824"/>
      <c r="HG47" s="824"/>
      <c r="HH47" s="824"/>
      <c r="HI47" s="824"/>
      <c r="HJ47" s="824"/>
      <c r="HK47" s="824"/>
      <c r="HL47" s="824"/>
      <c r="HM47" s="824"/>
      <c r="HN47" s="824"/>
      <c r="HO47" s="824"/>
      <c r="HP47" s="824"/>
      <c r="HQ47" s="824"/>
      <c r="HR47" s="824"/>
      <c r="HS47" s="824"/>
      <c r="HT47" s="824"/>
      <c r="HU47" s="824"/>
      <c r="HV47" s="824"/>
      <c r="HW47" s="824"/>
      <c r="HX47" s="824"/>
      <c r="HY47" s="824"/>
      <c r="HZ47" s="824"/>
      <c r="IA47" s="824"/>
      <c r="IB47" s="824"/>
      <c r="IC47" s="824"/>
      <c r="ID47" s="824"/>
      <c r="IE47" s="824"/>
      <c r="IF47" s="824"/>
      <c r="IG47" s="824"/>
      <c r="IH47" s="824"/>
      <c r="II47" s="824"/>
      <c r="IJ47" s="824"/>
      <c r="IK47" s="824"/>
      <c r="IL47" s="824"/>
      <c r="IM47" s="824"/>
      <c r="IN47" s="824"/>
      <c r="IO47" s="824"/>
      <c r="IP47" s="824"/>
      <c r="IQ47" s="824"/>
      <c r="IR47" s="824"/>
      <c r="IS47" s="824"/>
      <c r="IT47" s="824"/>
      <c r="IU47" s="824"/>
      <c r="IV47" s="824"/>
    </row>
    <row r="48" spans="1:256" ht="12" customHeight="1" thickTop="1">
      <c r="A48" s="803"/>
      <c r="B48" s="871"/>
      <c r="C48" s="872"/>
      <c r="D48" s="872"/>
      <c r="E48" s="872"/>
      <c r="F48" s="872"/>
      <c r="G48" s="873"/>
      <c r="H48" s="874"/>
      <c r="I48" s="875"/>
      <c r="J48" s="875"/>
      <c r="K48" s="876"/>
      <c r="L48" s="876"/>
      <c r="M48" s="876"/>
      <c r="N48" s="876"/>
      <c r="O48" s="817"/>
      <c r="P48" s="817"/>
      <c r="Q48" s="817"/>
      <c r="R48" s="817"/>
      <c r="S48" s="817"/>
      <c r="T48" s="817"/>
      <c r="U48" s="817"/>
      <c r="V48" s="817"/>
      <c r="W48" s="817"/>
      <c r="X48" s="817"/>
      <c r="Y48" s="817"/>
      <c r="Z48" s="817"/>
      <c r="AA48" s="817"/>
      <c r="AB48" s="817"/>
      <c r="AC48" s="817"/>
      <c r="AD48" s="817"/>
      <c r="AE48" s="817"/>
      <c r="AF48" s="817"/>
      <c r="AG48" s="817"/>
      <c r="AH48" s="817"/>
      <c r="AI48" s="817"/>
      <c r="AJ48" s="817"/>
      <c r="AK48" s="817"/>
      <c r="AL48" s="817"/>
      <c r="AM48" s="817"/>
      <c r="AN48" s="817"/>
      <c r="AO48" s="817"/>
      <c r="AP48" s="817"/>
      <c r="AQ48" s="817"/>
      <c r="AR48" s="817"/>
      <c r="AS48" s="817"/>
      <c r="AT48" s="817"/>
      <c r="AU48" s="817"/>
      <c r="AV48" s="817"/>
      <c r="AW48" s="817"/>
      <c r="AX48" s="817"/>
      <c r="AY48" s="817"/>
      <c r="AZ48" s="817"/>
      <c r="BA48" s="817"/>
      <c r="BB48" s="817"/>
      <c r="BC48" s="817"/>
      <c r="BD48" s="817"/>
      <c r="BE48" s="817"/>
      <c r="BF48" s="817"/>
      <c r="BG48" s="817"/>
      <c r="BH48" s="817"/>
      <c r="BI48" s="817"/>
      <c r="BJ48" s="817"/>
      <c r="BK48" s="817"/>
      <c r="BL48" s="817"/>
      <c r="BM48" s="817"/>
      <c r="BN48" s="817"/>
      <c r="BO48" s="817"/>
      <c r="BP48" s="817"/>
      <c r="BQ48" s="817"/>
      <c r="BR48" s="817"/>
      <c r="BS48" s="817"/>
      <c r="BT48" s="817"/>
      <c r="BU48" s="817"/>
      <c r="BV48" s="817"/>
      <c r="BW48" s="817"/>
      <c r="BX48" s="817"/>
      <c r="BY48" s="817"/>
      <c r="BZ48" s="817"/>
      <c r="CA48" s="817"/>
      <c r="CB48" s="817"/>
      <c r="CC48" s="817"/>
      <c r="CD48" s="817"/>
      <c r="CE48" s="817"/>
      <c r="CF48" s="817"/>
      <c r="CG48" s="817"/>
      <c r="CH48" s="817"/>
      <c r="CI48" s="817"/>
      <c r="CJ48" s="817"/>
      <c r="CK48" s="817"/>
      <c r="CL48" s="817"/>
      <c r="CM48" s="817"/>
      <c r="CN48" s="817"/>
      <c r="CO48" s="817"/>
      <c r="CP48" s="817"/>
      <c r="CQ48" s="817"/>
      <c r="CR48" s="817"/>
      <c r="CS48" s="817"/>
      <c r="CT48" s="817"/>
      <c r="CU48" s="817"/>
      <c r="CV48" s="817"/>
      <c r="CW48" s="817"/>
      <c r="CX48" s="817"/>
      <c r="CY48" s="817"/>
      <c r="CZ48" s="817"/>
      <c r="DA48" s="817"/>
      <c r="DB48" s="817"/>
      <c r="DC48" s="817"/>
      <c r="DD48" s="817"/>
      <c r="DE48" s="817"/>
      <c r="DF48" s="817"/>
      <c r="DG48" s="817"/>
      <c r="DH48" s="817"/>
      <c r="DI48" s="817"/>
      <c r="DJ48" s="817"/>
      <c r="DK48" s="817"/>
      <c r="DL48" s="817"/>
      <c r="DM48" s="817"/>
      <c r="DN48" s="817"/>
      <c r="DO48" s="817"/>
      <c r="DP48" s="817"/>
      <c r="DQ48" s="817"/>
      <c r="DR48" s="817"/>
      <c r="DS48" s="817"/>
      <c r="DT48" s="817"/>
      <c r="DU48" s="817"/>
      <c r="DV48" s="817"/>
      <c r="DW48" s="817"/>
      <c r="DX48" s="817"/>
      <c r="DY48" s="817"/>
      <c r="DZ48" s="817"/>
      <c r="EA48" s="817"/>
      <c r="EB48" s="817"/>
      <c r="EC48" s="817"/>
      <c r="ED48" s="817"/>
      <c r="EE48" s="817"/>
      <c r="EF48" s="817"/>
      <c r="EG48" s="817"/>
      <c r="EH48" s="817"/>
      <c r="EI48" s="817"/>
      <c r="EJ48" s="817"/>
      <c r="EK48" s="817"/>
      <c r="EL48" s="817"/>
      <c r="EM48" s="817"/>
      <c r="EN48" s="817"/>
      <c r="EO48" s="817"/>
      <c r="EP48" s="817"/>
      <c r="EQ48" s="817"/>
      <c r="ER48" s="817"/>
      <c r="ES48" s="817"/>
      <c r="ET48" s="817"/>
      <c r="EU48" s="817"/>
      <c r="EV48" s="817"/>
      <c r="EW48" s="817"/>
      <c r="EX48" s="817"/>
      <c r="EY48" s="817"/>
      <c r="EZ48" s="817"/>
      <c r="FA48" s="817"/>
      <c r="FB48" s="817"/>
      <c r="FC48" s="817"/>
      <c r="FD48" s="817"/>
      <c r="FE48" s="817"/>
      <c r="FF48" s="817"/>
      <c r="FG48" s="817"/>
      <c r="FH48" s="817"/>
      <c r="FI48" s="817"/>
      <c r="FJ48" s="817"/>
      <c r="FK48" s="817"/>
      <c r="FL48" s="817"/>
      <c r="FM48" s="817"/>
      <c r="FN48" s="817"/>
      <c r="FO48" s="817"/>
      <c r="FP48" s="817"/>
      <c r="FQ48" s="817"/>
      <c r="FR48" s="817"/>
      <c r="FS48" s="817"/>
      <c r="FT48" s="817"/>
      <c r="FU48" s="817"/>
      <c r="FV48" s="817"/>
      <c r="FW48" s="817"/>
      <c r="FX48" s="817"/>
      <c r="FY48" s="817"/>
      <c r="FZ48" s="817"/>
      <c r="GA48" s="817"/>
      <c r="GB48" s="817"/>
      <c r="GC48" s="817"/>
      <c r="GD48" s="817"/>
      <c r="GE48" s="817"/>
      <c r="GF48" s="817"/>
      <c r="GG48" s="817"/>
      <c r="GH48" s="817"/>
      <c r="GI48" s="817"/>
      <c r="GJ48" s="817"/>
      <c r="GK48" s="817"/>
      <c r="GL48" s="817"/>
      <c r="GM48" s="817"/>
      <c r="GN48" s="817"/>
      <c r="GO48" s="817"/>
      <c r="GP48" s="817"/>
      <c r="GQ48" s="817"/>
      <c r="GR48" s="817"/>
      <c r="GS48" s="817"/>
      <c r="GT48" s="817"/>
      <c r="GU48" s="817"/>
      <c r="GV48" s="817"/>
      <c r="GW48" s="817"/>
      <c r="GX48" s="817"/>
      <c r="GY48" s="817"/>
      <c r="GZ48" s="817"/>
      <c r="HA48" s="817"/>
      <c r="HB48" s="817"/>
      <c r="HC48" s="817"/>
      <c r="HD48" s="817"/>
      <c r="HE48" s="817"/>
      <c r="HF48" s="817"/>
      <c r="HG48" s="817"/>
      <c r="HH48" s="817"/>
      <c r="HI48" s="817"/>
      <c r="HJ48" s="817"/>
      <c r="HK48" s="817"/>
      <c r="HL48" s="817"/>
      <c r="HM48" s="817"/>
      <c r="HN48" s="817"/>
      <c r="HO48" s="817"/>
      <c r="HP48" s="817"/>
      <c r="HQ48" s="817"/>
      <c r="HR48" s="817"/>
      <c r="HS48" s="817"/>
      <c r="HT48" s="817"/>
      <c r="HU48" s="817"/>
      <c r="HV48" s="817"/>
      <c r="HW48" s="817"/>
      <c r="HX48" s="817"/>
      <c r="HY48" s="817"/>
      <c r="HZ48" s="817"/>
      <c r="IA48" s="817"/>
      <c r="IB48" s="817"/>
      <c r="IC48" s="817"/>
      <c r="ID48" s="817"/>
      <c r="IE48" s="817"/>
      <c r="IF48" s="817"/>
      <c r="IG48" s="817"/>
      <c r="IH48" s="817"/>
      <c r="II48" s="817"/>
      <c r="IJ48" s="817"/>
      <c r="IK48" s="817"/>
      <c r="IL48" s="817"/>
      <c r="IM48" s="817"/>
      <c r="IN48" s="817"/>
      <c r="IO48" s="817"/>
      <c r="IP48" s="817"/>
      <c r="IQ48" s="817"/>
      <c r="IR48" s="817"/>
      <c r="IS48" s="817"/>
      <c r="IT48" s="817"/>
      <c r="IU48" s="817"/>
      <c r="IV48" s="817"/>
    </row>
    <row r="49" spans="1:256" s="880" customFormat="1" ht="10.5" customHeight="1">
      <c r="A49" s="877" t="s">
        <v>843</v>
      </c>
      <c r="B49" s="878"/>
      <c r="C49" s="878"/>
      <c r="D49" s="878"/>
      <c r="E49" s="878"/>
      <c r="F49" s="878"/>
      <c r="G49" s="873"/>
      <c r="H49" s="873"/>
      <c r="I49" s="873"/>
      <c r="J49" s="873"/>
      <c r="K49" s="876"/>
      <c r="L49" s="876"/>
      <c r="M49" s="876"/>
      <c r="N49" s="876"/>
      <c r="O49" s="879"/>
      <c r="P49" s="879"/>
      <c r="Q49" s="879"/>
      <c r="R49" s="879"/>
      <c r="S49" s="879"/>
      <c r="T49" s="879"/>
      <c r="U49" s="879"/>
      <c r="V49" s="879"/>
      <c r="W49" s="879"/>
      <c r="X49" s="879"/>
      <c r="Y49" s="879"/>
      <c r="Z49" s="879"/>
      <c r="AA49" s="879"/>
      <c r="AB49" s="879"/>
      <c r="AC49" s="879"/>
      <c r="AD49" s="879"/>
      <c r="AE49" s="879"/>
      <c r="AF49" s="879"/>
      <c r="AG49" s="879"/>
      <c r="AH49" s="879"/>
      <c r="AI49" s="879"/>
      <c r="AJ49" s="879"/>
      <c r="AK49" s="879"/>
      <c r="AL49" s="879"/>
      <c r="AM49" s="879"/>
      <c r="AN49" s="879"/>
      <c r="AO49" s="879"/>
      <c r="AP49" s="879"/>
      <c r="AQ49" s="879"/>
      <c r="AR49" s="879"/>
      <c r="AS49" s="879"/>
      <c r="AT49" s="879"/>
      <c r="AU49" s="879"/>
      <c r="AV49" s="879"/>
      <c r="AW49" s="879"/>
      <c r="AX49" s="879"/>
      <c r="AY49" s="879"/>
      <c r="AZ49" s="879"/>
      <c r="BA49" s="879"/>
      <c r="BB49" s="879"/>
      <c r="BC49" s="879"/>
      <c r="BD49" s="879"/>
      <c r="BE49" s="879"/>
      <c r="BF49" s="879"/>
      <c r="BG49" s="879"/>
      <c r="BH49" s="879"/>
      <c r="BI49" s="879"/>
      <c r="BJ49" s="879"/>
      <c r="BK49" s="879"/>
      <c r="BL49" s="879"/>
      <c r="BM49" s="879"/>
      <c r="BN49" s="879"/>
      <c r="BO49" s="879"/>
      <c r="BP49" s="879"/>
      <c r="BQ49" s="879"/>
      <c r="BR49" s="879"/>
      <c r="BS49" s="879"/>
      <c r="BT49" s="879"/>
      <c r="BU49" s="879"/>
      <c r="BV49" s="879"/>
      <c r="BW49" s="879"/>
      <c r="BX49" s="879"/>
      <c r="BY49" s="879"/>
      <c r="BZ49" s="879"/>
      <c r="CA49" s="879"/>
      <c r="CB49" s="879"/>
      <c r="CC49" s="879"/>
      <c r="CD49" s="879"/>
      <c r="CE49" s="879"/>
      <c r="CF49" s="879"/>
      <c r="CG49" s="879"/>
      <c r="CH49" s="879"/>
      <c r="CI49" s="879"/>
      <c r="CJ49" s="879"/>
      <c r="CK49" s="879"/>
      <c r="CL49" s="879"/>
      <c r="CM49" s="879"/>
      <c r="CN49" s="879"/>
      <c r="CO49" s="879"/>
      <c r="CP49" s="879"/>
      <c r="CQ49" s="879"/>
      <c r="CR49" s="879"/>
      <c r="CS49" s="879"/>
      <c r="CT49" s="879"/>
      <c r="CU49" s="879"/>
      <c r="CV49" s="879"/>
      <c r="CW49" s="879"/>
      <c r="CX49" s="879"/>
      <c r="CY49" s="879"/>
      <c r="CZ49" s="879"/>
      <c r="DA49" s="879"/>
      <c r="DB49" s="879"/>
      <c r="DC49" s="879"/>
      <c r="DD49" s="879"/>
      <c r="DE49" s="879"/>
      <c r="DF49" s="879"/>
      <c r="DG49" s="879"/>
      <c r="DH49" s="879"/>
      <c r="DI49" s="879"/>
      <c r="DJ49" s="879"/>
      <c r="DK49" s="879"/>
      <c r="DL49" s="879"/>
      <c r="DM49" s="879"/>
      <c r="DN49" s="879"/>
      <c r="DO49" s="879"/>
      <c r="DP49" s="879"/>
      <c r="DQ49" s="879"/>
      <c r="DR49" s="879"/>
      <c r="DS49" s="879"/>
      <c r="DT49" s="879"/>
      <c r="DU49" s="879"/>
      <c r="DV49" s="879"/>
      <c r="DW49" s="879"/>
      <c r="DX49" s="879"/>
      <c r="DY49" s="879"/>
      <c r="DZ49" s="879"/>
      <c r="EA49" s="879"/>
      <c r="EB49" s="879"/>
      <c r="EC49" s="879"/>
      <c r="ED49" s="879"/>
      <c r="EE49" s="879"/>
      <c r="EF49" s="879"/>
      <c r="EG49" s="879"/>
      <c r="EH49" s="879"/>
      <c r="EI49" s="879"/>
      <c r="EJ49" s="879"/>
      <c r="EK49" s="879"/>
      <c r="EL49" s="879"/>
      <c r="EM49" s="879"/>
      <c r="EN49" s="879"/>
      <c r="EO49" s="879"/>
      <c r="EP49" s="879"/>
      <c r="EQ49" s="879"/>
      <c r="ER49" s="879"/>
      <c r="ES49" s="879"/>
      <c r="ET49" s="879"/>
      <c r="EU49" s="879"/>
      <c r="EV49" s="879"/>
      <c r="EW49" s="879"/>
      <c r="EX49" s="879"/>
      <c r="EY49" s="879"/>
      <c r="EZ49" s="879"/>
      <c r="FA49" s="879"/>
      <c r="FB49" s="879"/>
      <c r="FC49" s="879"/>
      <c r="FD49" s="879"/>
      <c r="FE49" s="879"/>
      <c r="FF49" s="879"/>
      <c r="FG49" s="879"/>
      <c r="FH49" s="879"/>
      <c r="FI49" s="879"/>
      <c r="FJ49" s="879"/>
      <c r="FK49" s="879"/>
      <c r="FL49" s="879"/>
      <c r="FM49" s="879"/>
      <c r="FN49" s="879"/>
      <c r="FO49" s="879"/>
      <c r="FP49" s="879"/>
      <c r="FQ49" s="879"/>
      <c r="FR49" s="879"/>
      <c r="FS49" s="879"/>
      <c r="FT49" s="879"/>
      <c r="FU49" s="879"/>
      <c r="FV49" s="879"/>
      <c r="FW49" s="879"/>
      <c r="FX49" s="879"/>
      <c r="FY49" s="879"/>
      <c r="FZ49" s="879"/>
      <c r="GA49" s="879"/>
      <c r="GB49" s="879"/>
      <c r="GC49" s="879"/>
      <c r="GD49" s="879"/>
      <c r="GE49" s="879"/>
      <c r="GF49" s="879"/>
      <c r="GG49" s="879"/>
      <c r="GH49" s="879"/>
      <c r="GI49" s="879"/>
      <c r="GJ49" s="879"/>
      <c r="GK49" s="879"/>
      <c r="GL49" s="879"/>
      <c r="GM49" s="879"/>
      <c r="GN49" s="879"/>
      <c r="GO49" s="879"/>
      <c r="GP49" s="879"/>
      <c r="GQ49" s="879"/>
      <c r="GR49" s="879"/>
      <c r="GS49" s="879"/>
      <c r="GT49" s="879"/>
      <c r="GU49" s="879"/>
      <c r="GV49" s="879"/>
      <c r="GW49" s="879"/>
      <c r="GX49" s="879"/>
      <c r="GY49" s="879"/>
      <c r="GZ49" s="879"/>
      <c r="HA49" s="879"/>
      <c r="HB49" s="879"/>
      <c r="HC49" s="879"/>
      <c r="HD49" s="879"/>
      <c r="HE49" s="879"/>
      <c r="HF49" s="879"/>
      <c r="HG49" s="879"/>
      <c r="HH49" s="879"/>
      <c r="HI49" s="879"/>
      <c r="HJ49" s="879"/>
      <c r="HK49" s="879"/>
      <c r="HL49" s="879"/>
      <c r="HM49" s="879"/>
      <c r="HN49" s="879"/>
      <c r="HO49" s="879"/>
      <c r="HP49" s="879"/>
      <c r="HQ49" s="879"/>
      <c r="HR49" s="879"/>
      <c r="HS49" s="879"/>
      <c r="HT49" s="879"/>
      <c r="HU49" s="879"/>
      <c r="HV49" s="879"/>
      <c r="HW49" s="879"/>
      <c r="HX49" s="879"/>
      <c r="HY49" s="879"/>
      <c r="HZ49" s="879"/>
      <c r="IA49" s="879"/>
      <c r="IB49" s="879"/>
      <c r="IC49" s="879"/>
      <c r="ID49" s="879"/>
      <c r="IE49" s="879"/>
      <c r="IF49" s="879"/>
      <c r="IG49" s="879"/>
      <c r="IH49" s="879"/>
      <c r="II49" s="879"/>
      <c r="IJ49" s="879"/>
      <c r="IK49" s="879"/>
      <c r="IL49" s="879"/>
      <c r="IM49" s="879"/>
      <c r="IN49" s="879"/>
      <c r="IO49" s="879"/>
      <c r="IP49" s="879"/>
      <c r="IQ49" s="879"/>
      <c r="IR49" s="879"/>
      <c r="IS49" s="879"/>
      <c r="IT49" s="879"/>
      <c r="IU49" s="879"/>
      <c r="IV49" s="879"/>
    </row>
    <row r="50" spans="1:256" s="880" customFormat="1" ht="10.5" customHeight="1">
      <c r="A50" s="877" t="s">
        <v>844</v>
      </c>
      <c r="B50" s="878"/>
      <c r="C50" s="878"/>
      <c r="D50" s="878"/>
      <c r="E50" s="878"/>
      <c r="F50" s="878"/>
      <c r="G50" s="873"/>
      <c r="H50" s="873"/>
      <c r="I50" s="873"/>
      <c r="J50" s="873"/>
      <c r="K50" s="876"/>
      <c r="L50" s="876"/>
      <c r="M50" s="876"/>
      <c r="N50" s="876"/>
      <c r="O50" s="879"/>
      <c r="P50" s="879"/>
      <c r="Q50" s="879"/>
      <c r="R50" s="879"/>
      <c r="S50" s="879"/>
      <c r="T50" s="879"/>
      <c r="U50" s="879"/>
      <c r="V50" s="879"/>
      <c r="W50" s="879"/>
      <c r="X50" s="879"/>
      <c r="Y50" s="879"/>
      <c r="Z50" s="879"/>
      <c r="AA50" s="879"/>
      <c r="AB50" s="879"/>
      <c r="AC50" s="879"/>
      <c r="AD50" s="879"/>
      <c r="AE50" s="879"/>
      <c r="AF50" s="879"/>
      <c r="AG50" s="879"/>
      <c r="AH50" s="879"/>
      <c r="AI50" s="879"/>
      <c r="AJ50" s="879"/>
      <c r="AK50" s="879"/>
      <c r="AL50" s="879"/>
      <c r="AM50" s="879"/>
      <c r="AN50" s="879"/>
      <c r="AO50" s="879"/>
      <c r="AP50" s="879"/>
      <c r="AQ50" s="879"/>
      <c r="AR50" s="879"/>
      <c r="AS50" s="879"/>
      <c r="AT50" s="879"/>
      <c r="AU50" s="879"/>
      <c r="AV50" s="879"/>
      <c r="AW50" s="879"/>
      <c r="AX50" s="879"/>
      <c r="AY50" s="879"/>
      <c r="AZ50" s="879"/>
      <c r="BA50" s="879"/>
      <c r="BB50" s="879"/>
      <c r="BC50" s="879"/>
      <c r="BD50" s="879"/>
      <c r="BE50" s="879"/>
      <c r="BF50" s="879"/>
      <c r="BG50" s="879"/>
      <c r="BH50" s="879"/>
      <c r="BI50" s="879"/>
      <c r="BJ50" s="879"/>
      <c r="BK50" s="879"/>
      <c r="BL50" s="879"/>
      <c r="BM50" s="879"/>
      <c r="BN50" s="879"/>
      <c r="BO50" s="879"/>
      <c r="BP50" s="879"/>
      <c r="BQ50" s="879"/>
      <c r="BR50" s="879"/>
      <c r="BS50" s="879"/>
      <c r="BT50" s="879"/>
      <c r="BU50" s="879"/>
      <c r="BV50" s="879"/>
      <c r="BW50" s="879"/>
      <c r="BX50" s="879"/>
      <c r="BY50" s="879"/>
      <c r="BZ50" s="879"/>
      <c r="CA50" s="879"/>
      <c r="CB50" s="879"/>
      <c r="CC50" s="879"/>
      <c r="CD50" s="879"/>
      <c r="CE50" s="879"/>
      <c r="CF50" s="879"/>
      <c r="CG50" s="879"/>
      <c r="CH50" s="879"/>
      <c r="CI50" s="879"/>
      <c r="CJ50" s="879"/>
      <c r="CK50" s="879"/>
      <c r="CL50" s="879"/>
      <c r="CM50" s="879"/>
      <c r="CN50" s="879"/>
      <c r="CO50" s="879"/>
      <c r="CP50" s="879"/>
      <c r="CQ50" s="879"/>
      <c r="CR50" s="879"/>
      <c r="CS50" s="879"/>
      <c r="CT50" s="879"/>
      <c r="CU50" s="879"/>
      <c r="CV50" s="879"/>
      <c r="CW50" s="879"/>
      <c r="CX50" s="879"/>
      <c r="CY50" s="879"/>
      <c r="CZ50" s="879"/>
      <c r="DA50" s="879"/>
      <c r="DB50" s="879"/>
      <c r="DC50" s="879"/>
      <c r="DD50" s="879"/>
      <c r="DE50" s="879"/>
      <c r="DF50" s="879"/>
      <c r="DG50" s="879"/>
      <c r="DH50" s="879"/>
      <c r="DI50" s="879"/>
      <c r="DJ50" s="879"/>
      <c r="DK50" s="879"/>
      <c r="DL50" s="879"/>
      <c r="DM50" s="879"/>
      <c r="DN50" s="879"/>
      <c r="DO50" s="879"/>
      <c r="DP50" s="879"/>
      <c r="DQ50" s="879"/>
      <c r="DR50" s="879"/>
      <c r="DS50" s="879"/>
      <c r="DT50" s="879"/>
      <c r="DU50" s="879"/>
      <c r="DV50" s="879"/>
      <c r="DW50" s="879"/>
      <c r="DX50" s="879"/>
      <c r="DY50" s="879"/>
      <c r="DZ50" s="879"/>
      <c r="EA50" s="879"/>
      <c r="EB50" s="879"/>
      <c r="EC50" s="879"/>
      <c r="ED50" s="879"/>
      <c r="EE50" s="879"/>
      <c r="EF50" s="879"/>
      <c r="EG50" s="879"/>
      <c r="EH50" s="879"/>
      <c r="EI50" s="879"/>
      <c r="EJ50" s="879"/>
      <c r="EK50" s="879"/>
      <c r="EL50" s="879"/>
      <c r="EM50" s="879"/>
      <c r="EN50" s="879"/>
      <c r="EO50" s="879"/>
      <c r="EP50" s="879"/>
      <c r="EQ50" s="879"/>
      <c r="ER50" s="879"/>
      <c r="ES50" s="879"/>
      <c r="ET50" s="879"/>
      <c r="EU50" s="879"/>
      <c r="EV50" s="879"/>
      <c r="EW50" s="879"/>
      <c r="EX50" s="879"/>
      <c r="EY50" s="879"/>
      <c r="EZ50" s="879"/>
      <c r="FA50" s="879"/>
      <c r="FB50" s="879"/>
      <c r="FC50" s="879"/>
      <c r="FD50" s="879"/>
      <c r="FE50" s="879"/>
      <c r="FF50" s="879"/>
      <c r="FG50" s="879"/>
      <c r="FH50" s="879"/>
      <c r="FI50" s="879"/>
      <c r="FJ50" s="879"/>
      <c r="FK50" s="879"/>
      <c r="FL50" s="879"/>
      <c r="FM50" s="879"/>
      <c r="FN50" s="879"/>
      <c r="FO50" s="879"/>
      <c r="FP50" s="879"/>
      <c r="FQ50" s="879"/>
      <c r="FR50" s="879"/>
      <c r="FS50" s="879"/>
      <c r="FT50" s="879"/>
      <c r="FU50" s="879"/>
      <c r="FV50" s="879"/>
      <c r="FW50" s="879"/>
      <c r="FX50" s="879"/>
      <c r="FY50" s="879"/>
      <c r="FZ50" s="879"/>
      <c r="GA50" s="879"/>
      <c r="GB50" s="879"/>
      <c r="GC50" s="879"/>
      <c r="GD50" s="879"/>
      <c r="GE50" s="879"/>
      <c r="GF50" s="879"/>
      <c r="GG50" s="879"/>
      <c r="GH50" s="879"/>
      <c r="GI50" s="879"/>
      <c r="GJ50" s="879"/>
      <c r="GK50" s="879"/>
      <c r="GL50" s="879"/>
      <c r="GM50" s="879"/>
      <c r="GN50" s="879"/>
      <c r="GO50" s="879"/>
      <c r="GP50" s="879"/>
      <c r="GQ50" s="879"/>
      <c r="GR50" s="879"/>
      <c r="GS50" s="879"/>
      <c r="GT50" s="879"/>
      <c r="GU50" s="879"/>
      <c r="GV50" s="879"/>
      <c r="GW50" s="879"/>
      <c r="GX50" s="879"/>
      <c r="GY50" s="879"/>
      <c r="GZ50" s="879"/>
      <c r="HA50" s="879"/>
      <c r="HB50" s="879"/>
      <c r="HC50" s="879"/>
      <c r="HD50" s="879"/>
      <c r="HE50" s="879"/>
      <c r="HF50" s="879"/>
      <c r="HG50" s="879"/>
      <c r="HH50" s="879"/>
      <c r="HI50" s="879"/>
      <c r="HJ50" s="879"/>
      <c r="HK50" s="879"/>
      <c r="HL50" s="879"/>
      <c r="HM50" s="879"/>
      <c r="HN50" s="879"/>
      <c r="HO50" s="879"/>
      <c r="HP50" s="879"/>
      <c r="HQ50" s="879"/>
      <c r="HR50" s="879"/>
      <c r="HS50" s="879"/>
      <c r="HT50" s="879"/>
      <c r="HU50" s="879"/>
      <c r="HV50" s="879"/>
      <c r="HW50" s="879"/>
      <c r="HX50" s="879"/>
      <c r="HY50" s="879"/>
      <c r="HZ50" s="879"/>
      <c r="IA50" s="879"/>
      <c r="IB50" s="879"/>
      <c r="IC50" s="879"/>
      <c r="ID50" s="879"/>
      <c r="IE50" s="879"/>
      <c r="IF50" s="879"/>
      <c r="IG50" s="879"/>
      <c r="IH50" s="879"/>
      <c r="II50" s="879"/>
      <c r="IJ50" s="879"/>
      <c r="IK50" s="879"/>
      <c r="IL50" s="879"/>
      <c r="IM50" s="879"/>
      <c r="IN50" s="879"/>
      <c r="IO50" s="879"/>
      <c r="IP50" s="879"/>
      <c r="IQ50" s="879"/>
      <c r="IR50" s="879"/>
      <c r="IS50" s="879"/>
      <c r="IT50" s="879"/>
      <c r="IU50" s="879"/>
      <c r="IV50" s="879"/>
    </row>
    <row r="51" spans="1:256" s="880" customFormat="1" ht="10.5" customHeight="1">
      <c r="A51" s="877" t="s">
        <v>845</v>
      </c>
      <c r="B51" s="803"/>
      <c r="C51" s="878"/>
      <c r="D51" s="878"/>
      <c r="E51" s="878"/>
      <c r="F51" s="878"/>
      <c r="G51" s="873"/>
      <c r="H51" s="873"/>
      <c r="I51" s="873"/>
      <c r="J51" s="873"/>
      <c r="K51" s="876"/>
      <c r="L51" s="876"/>
      <c r="M51" s="876"/>
      <c r="N51" s="876"/>
      <c r="O51" s="879"/>
      <c r="P51" s="879"/>
      <c r="Q51" s="879"/>
      <c r="R51" s="879"/>
      <c r="S51" s="879"/>
      <c r="T51" s="879"/>
      <c r="U51" s="879"/>
      <c r="V51" s="879"/>
      <c r="W51" s="879"/>
      <c r="X51" s="879"/>
      <c r="Y51" s="879"/>
      <c r="Z51" s="879"/>
      <c r="AA51" s="879"/>
      <c r="AB51" s="879"/>
      <c r="AC51" s="879"/>
      <c r="AD51" s="879"/>
      <c r="AE51" s="879"/>
      <c r="AF51" s="879"/>
      <c r="AG51" s="879"/>
      <c r="AH51" s="879"/>
      <c r="AI51" s="879"/>
      <c r="AJ51" s="879"/>
      <c r="AK51" s="879"/>
      <c r="AL51" s="879"/>
      <c r="AM51" s="879"/>
      <c r="AN51" s="879"/>
      <c r="AO51" s="879"/>
      <c r="AP51" s="879"/>
      <c r="AQ51" s="879"/>
      <c r="AR51" s="879"/>
      <c r="AS51" s="879"/>
      <c r="AT51" s="879"/>
      <c r="AU51" s="879"/>
      <c r="AV51" s="879"/>
      <c r="AW51" s="879"/>
      <c r="AX51" s="879"/>
      <c r="AY51" s="879"/>
      <c r="AZ51" s="879"/>
      <c r="BA51" s="879"/>
      <c r="BB51" s="879"/>
      <c r="BC51" s="879"/>
      <c r="BD51" s="879"/>
      <c r="BE51" s="879"/>
      <c r="BF51" s="879"/>
      <c r="BG51" s="879"/>
      <c r="BH51" s="879"/>
      <c r="BI51" s="879"/>
      <c r="BJ51" s="879"/>
      <c r="BK51" s="879"/>
      <c r="BL51" s="879"/>
      <c r="BM51" s="879"/>
      <c r="BN51" s="879"/>
      <c r="BO51" s="879"/>
      <c r="BP51" s="879"/>
      <c r="BQ51" s="879"/>
      <c r="BR51" s="879"/>
      <c r="BS51" s="879"/>
      <c r="BT51" s="879"/>
      <c r="BU51" s="879"/>
      <c r="BV51" s="879"/>
      <c r="BW51" s="879"/>
      <c r="BX51" s="879"/>
      <c r="BY51" s="879"/>
      <c r="BZ51" s="879"/>
      <c r="CA51" s="879"/>
      <c r="CB51" s="879"/>
      <c r="CC51" s="879"/>
      <c r="CD51" s="879"/>
      <c r="CE51" s="879"/>
      <c r="CF51" s="879"/>
      <c r="CG51" s="879"/>
      <c r="CH51" s="879"/>
      <c r="CI51" s="879"/>
      <c r="CJ51" s="879"/>
      <c r="CK51" s="879"/>
      <c r="CL51" s="879"/>
      <c r="CM51" s="879"/>
      <c r="CN51" s="879"/>
      <c r="CO51" s="879"/>
      <c r="CP51" s="879"/>
      <c r="CQ51" s="879"/>
      <c r="CR51" s="879"/>
      <c r="CS51" s="879"/>
      <c r="CT51" s="879"/>
      <c r="CU51" s="879"/>
      <c r="CV51" s="879"/>
      <c r="CW51" s="879"/>
      <c r="CX51" s="879"/>
      <c r="CY51" s="879"/>
      <c r="CZ51" s="879"/>
      <c r="DA51" s="879"/>
      <c r="DB51" s="879"/>
      <c r="DC51" s="879"/>
      <c r="DD51" s="879"/>
      <c r="DE51" s="879"/>
      <c r="DF51" s="879"/>
      <c r="DG51" s="879"/>
      <c r="DH51" s="879"/>
      <c r="DI51" s="879"/>
      <c r="DJ51" s="879"/>
      <c r="DK51" s="879"/>
      <c r="DL51" s="879"/>
      <c r="DM51" s="879"/>
      <c r="DN51" s="879"/>
      <c r="DO51" s="879"/>
      <c r="DP51" s="879"/>
      <c r="DQ51" s="879"/>
      <c r="DR51" s="879"/>
      <c r="DS51" s="879"/>
      <c r="DT51" s="879"/>
      <c r="DU51" s="879"/>
      <c r="DV51" s="879"/>
      <c r="DW51" s="879"/>
      <c r="DX51" s="879"/>
      <c r="DY51" s="879"/>
      <c r="DZ51" s="879"/>
      <c r="EA51" s="879"/>
      <c r="EB51" s="879"/>
      <c r="EC51" s="879"/>
      <c r="ED51" s="879"/>
      <c r="EE51" s="879"/>
      <c r="EF51" s="879"/>
      <c r="EG51" s="879"/>
      <c r="EH51" s="879"/>
      <c r="EI51" s="879"/>
      <c r="EJ51" s="879"/>
      <c r="EK51" s="879"/>
      <c r="EL51" s="879"/>
      <c r="EM51" s="879"/>
      <c r="EN51" s="879"/>
      <c r="EO51" s="879"/>
      <c r="EP51" s="879"/>
      <c r="EQ51" s="879"/>
      <c r="ER51" s="879"/>
      <c r="ES51" s="879"/>
      <c r="ET51" s="879"/>
      <c r="EU51" s="879"/>
      <c r="EV51" s="879"/>
      <c r="EW51" s="879"/>
      <c r="EX51" s="879"/>
      <c r="EY51" s="879"/>
      <c r="EZ51" s="879"/>
      <c r="FA51" s="879"/>
      <c r="FB51" s="879"/>
      <c r="FC51" s="879"/>
      <c r="FD51" s="879"/>
      <c r="FE51" s="879"/>
      <c r="FF51" s="879"/>
      <c r="FG51" s="879"/>
      <c r="FH51" s="879"/>
      <c r="FI51" s="879"/>
      <c r="FJ51" s="879"/>
      <c r="FK51" s="879"/>
      <c r="FL51" s="879"/>
      <c r="FM51" s="879"/>
      <c r="FN51" s="879"/>
      <c r="FO51" s="879"/>
      <c r="FP51" s="879"/>
      <c r="FQ51" s="879"/>
      <c r="FR51" s="879"/>
      <c r="FS51" s="879"/>
      <c r="FT51" s="879"/>
      <c r="FU51" s="879"/>
      <c r="FV51" s="879"/>
      <c r="FW51" s="879"/>
      <c r="FX51" s="879"/>
      <c r="FY51" s="879"/>
      <c r="FZ51" s="879"/>
      <c r="GA51" s="879"/>
      <c r="GB51" s="879"/>
      <c r="GC51" s="879"/>
      <c r="GD51" s="879"/>
      <c r="GE51" s="879"/>
      <c r="GF51" s="879"/>
      <c r="GG51" s="879"/>
      <c r="GH51" s="879"/>
      <c r="GI51" s="879"/>
      <c r="GJ51" s="879"/>
      <c r="GK51" s="879"/>
      <c r="GL51" s="879"/>
      <c r="GM51" s="879"/>
      <c r="GN51" s="879"/>
      <c r="GO51" s="879"/>
      <c r="GP51" s="879"/>
      <c r="GQ51" s="879"/>
      <c r="GR51" s="879"/>
      <c r="GS51" s="879"/>
      <c r="GT51" s="879"/>
      <c r="GU51" s="879"/>
      <c r="GV51" s="879"/>
      <c r="GW51" s="879"/>
      <c r="GX51" s="879"/>
      <c r="GY51" s="879"/>
      <c r="GZ51" s="879"/>
      <c r="HA51" s="879"/>
      <c r="HB51" s="879"/>
      <c r="HC51" s="879"/>
      <c r="HD51" s="879"/>
      <c r="HE51" s="879"/>
      <c r="HF51" s="879"/>
      <c r="HG51" s="879"/>
      <c r="HH51" s="879"/>
      <c r="HI51" s="879"/>
      <c r="HJ51" s="879"/>
      <c r="HK51" s="879"/>
      <c r="HL51" s="879"/>
      <c r="HM51" s="879"/>
      <c r="HN51" s="879"/>
      <c r="HO51" s="879"/>
      <c r="HP51" s="879"/>
      <c r="HQ51" s="879"/>
      <c r="HR51" s="879"/>
      <c r="HS51" s="879"/>
      <c r="HT51" s="879"/>
      <c r="HU51" s="879"/>
      <c r="HV51" s="879"/>
      <c r="HW51" s="879"/>
      <c r="HX51" s="879"/>
      <c r="HY51" s="879"/>
      <c r="HZ51" s="879"/>
      <c r="IA51" s="879"/>
      <c r="IB51" s="879"/>
      <c r="IC51" s="879"/>
      <c r="ID51" s="879"/>
      <c r="IE51" s="879"/>
      <c r="IF51" s="879"/>
      <c r="IG51" s="879"/>
      <c r="IH51" s="879"/>
      <c r="II51" s="879"/>
      <c r="IJ51" s="879"/>
      <c r="IK51" s="879"/>
      <c r="IL51" s="879"/>
      <c r="IM51" s="879"/>
      <c r="IN51" s="879"/>
      <c r="IO51" s="879"/>
      <c r="IP51" s="879"/>
      <c r="IQ51" s="879"/>
      <c r="IR51" s="879"/>
      <c r="IS51" s="879"/>
      <c r="IT51" s="879"/>
      <c r="IU51" s="879"/>
      <c r="IV51" s="879"/>
    </row>
    <row r="52" spans="1:256" ht="10.5" customHeight="1">
      <c r="A52" s="877"/>
      <c r="B52" s="803"/>
      <c r="C52" s="878"/>
      <c r="D52" s="878"/>
      <c r="E52" s="878"/>
      <c r="F52" s="878"/>
      <c r="G52" s="873"/>
      <c r="H52" s="874"/>
      <c r="I52" s="875"/>
      <c r="J52" s="875"/>
      <c r="K52" s="876"/>
      <c r="L52" s="876"/>
      <c r="M52" s="876"/>
      <c r="N52" s="876"/>
      <c r="O52" s="817"/>
      <c r="P52" s="817"/>
      <c r="Q52" s="817"/>
      <c r="R52" s="817"/>
      <c r="S52" s="817"/>
      <c r="T52" s="817"/>
      <c r="U52" s="817"/>
      <c r="V52" s="817"/>
      <c r="W52" s="817"/>
      <c r="X52" s="817"/>
      <c r="Y52" s="817"/>
      <c r="Z52" s="817"/>
      <c r="AA52" s="817"/>
      <c r="AB52" s="817"/>
      <c r="AC52" s="817"/>
      <c r="AD52" s="817"/>
      <c r="AE52" s="817"/>
      <c r="AF52" s="817"/>
      <c r="AG52" s="817"/>
      <c r="AH52" s="817"/>
      <c r="AI52" s="817"/>
      <c r="AJ52" s="817"/>
      <c r="AK52" s="817"/>
      <c r="AL52" s="817"/>
      <c r="AM52" s="817"/>
      <c r="AN52" s="817"/>
      <c r="AO52" s="817"/>
      <c r="AP52" s="817"/>
      <c r="AQ52" s="817"/>
      <c r="AR52" s="817"/>
      <c r="AS52" s="817"/>
      <c r="AT52" s="817"/>
      <c r="AU52" s="817"/>
      <c r="AV52" s="817"/>
      <c r="AW52" s="817"/>
      <c r="AX52" s="817"/>
      <c r="AY52" s="817"/>
      <c r="AZ52" s="817"/>
      <c r="BA52" s="817"/>
      <c r="BB52" s="817"/>
      <c r="BC52" s="817"/>
      <c r="BD52" s="817"/>
      <c r="BE52" s="817"/>
      <c r="BF52" s="817"/>
      <c r="BG52" s="817"/>
      <c r="BH52" s="817"/>
      <c r="BI52" s="817"/>
      <c r="BJ52" s="817"/>
      <c r="BK52" s="817"/>
      <c r="BL52" s="817"/>
      <c r="BM52" s="817"/>
      <c r="BN52" s="817"/>
      <c r="BO52" s="817"/>
      <c r="BP52" s="817"/>
      <c r="BQ52" s="817"/>
      <c r="BR52" s="817"/>
      <c r="BS52" s="817"/>
      <c r="BT52" s="817"/>
      <c r="BU52" s="817"/>
      <c r="BV52" s="817"/>
      <c r="BW52" s="817"/>
      <c r="BX52" s="817"/>
      <c r="BY52" s="817"/>
      <c r="BZ52" s="817"/>
      <c r="CA52" s="817"/>
      <c r="CB52" s="817"/>
      <c r="CC52" s="817"/>
      <c r="CD52" s="817"/>
      <c r="CE52" s="817"/>
      <c r="CF52" s="817"/>
      <c r="CG52" s="817"/>
      <c r="CH52" s="817"/>
      <c r="CI52" s="817"/>
      <c r="CJ52" s="817"/>
      <c r="CK52" s="817"/>
      <c r="CL52" s="817"/>
      <c r="CM52" s="817"/>
      <c r="CN52" s="817"/>
      <c r="CO52" s="817"/>
      <c r="CP52" s="817"/>
      <c r="CQ52" s="817"/>
      <c r="CR52" s="817"/>
      <c r="CS52" s="817"/>
      <c r="CT52" s="817"/>
      <c r="CU52" s="817"/>
      <c r="CV52" s="817"/>
      <c r="CW52" s="817"/>
      <c r="CX52" s="817"/>
      <c r="CY52" s="817"/>
      <c r="CZ52" s="817"/>
      <c r="DA52" s="817"/>
      <c r="DB52" s="817"/>
      <c r="DC52" s="817"/>
      <c r="DD52" s="817"/>
      <c r="DE52" s="817"/>
      <c r="DF52" s="817"/>
      <c r="DG52" s="817"/>
      <c r="DH52" s="817"/>
      <c r="DI52" s="817"/>
      <c r="DJ52" s="817"/>
      <c r="DK52" s="817"/>
      <c r="DL52" s="817"/>
      <c r="DM52" s="817"/>
      <c r="DN52" s="817"/>
      <c r="DO52" s="817"/>
      <c r="DP52" s="817"/>
      <c r="DQ52" s="817"/>
      <c r="DR52" s="817"/>
      <c r="DS52" s="817"/>
      <c r="DT52" s="817"/>
      <c r="DU52" s="817"/>
      <c r="DV52" s="817"/>
      <c r="DW52" s="817"/>
      <c r="DX52" s="817"/>
      <c r="DY52" s="817"/>
      <c r="DZ52" s="817"/>
      <c r="EA52" s="817"/>
      <c r="EB52" s="817"/>
      <c r="EC52" s="817"/>
      <c r="ED52" s="817"/>
      <c r="EE52" s="817"/>
      <c r="EF52" s="817"/>
      <c r="EG52" s="817"/>
      <c r="EH52" s="817"/>
      <c r="EI52" s="817"/>
      <c r="EJ52" s="817"/>
      <c r="EK52" s="817"/>
      <c r="EL52" s="817"/>
      <c r="EM52" s="817"/>
      <c r="EN52" s="817"/>
      <c r="EO52" s="817"/>
      <c r="EP52" s="817"/>
      <c r="EQ52" s="817"/>
      <c r="ER52" s="817"/>
      <c r="ES52" s="817"/>
      <c r="ET52" s="817"/>
      <c r="EU52" s="817"/>
      <c r="EV52" s="817"/>
      <c r="EW52" s="817"/>
      <c r="EX52" s="817"/>
      <c r="EY52" s="817"/>
      <c r="EZ52" s="817"/>
      <c r="FA52" s="817"/>
      <c r="FB52" s="817"/>
      <c r="FC52" s="817"/>
      <c r="FD52" s="817"/>
      <c r="FE52" s="817"/>
      <c r="FF52" s="817"/>
      <c r="FG52" s="817"/>
      <c r="FH52" s="817"/>
      <c r="FI52" s="817"/>
      <c r="FJ52" s="817"/>
      <c r="FK52" s="817"/>
      <c r="FL52" s="817"/>
      <c r="FM52" s="817"/>
      <c r="FN52" s="817"/>
      <c r="FO52" s="817"/>
      <c r="FP52" s="817"/>
      <c r="FQ52" s="817"/>
      <c r="FR52" s="817"/>
      <c r="FS52" s="817"/>
      <c r="FT52" s="817"/>
      <c r="FU52" s="817"/>
      <c r="FV52" s="817"/>
      <c r="FW52" s="817"/>
      <c r="FX52" s="817"/>
      <c r="FY52" s="817"/>
      <c r="FZ52" s="817"/>
      <c r="GA52" s="817"/>
      <c r="GB52" s="817"/>
      <c r="GC52" s="817"/>
      <c r="GD52" s="817"/>
      <c r="GE52" s="817"/>
      <c r="GF52" s="817"/>
      <c r="GG52" s="817"/>
      <c r="GH52" s="817"/>
      <c r="GI52" s="817"/>
      <c r="GJ52" s="817"/>
      <c r="GK52" s="817"/>
      <c r="GL52" s="817"/>
      <c r="GM52" s="817"/>
      <c r="GN52" s="817"/>
      <c r="GO52" s="817"/>
      <c r="GP52" s="817"/>
      <c r="GQ52" s="817"/>
      <c r="GR52" s="817"/>
      <c r="GS52" s="817"/>
      <c r="GT52" s="817"/>
      <c r="GU52" s="817"/>
      <c r="GV52" s="817"/>
      <c r="GW52" s="817"/>
      <c r="GX52" s="817"/>
      <c r="GY52" s="817"/>
      <c r="GZ52" s="817"/>
      <c r="HA52" s="817"/>
      <c r="HB52" s="817"/>
      <c r="HC52" s="817"/>
      <c r="HD52" s="817"/>
      <c r="HE52" s="817"/>
      <c r="HF52" s="817"/>
      <c r="HG52" s="817"/>
      <c r="HH52" s="817"/>
      <c r="HI52" s="817"/>
      <c r="HJ52" s="817"/>
      <c r="HK52" s="817"/>
      <c r="HL52" s="817"/>
      <c r="HM52" s="817"/>
      <c r="HN52" s="817"/>
      <c r="HO52" s="817"/>
      <c r="HP52" s="817"/>
      <c r="HQ52" s="817"/>
      <c r="HR52" s="817"/>
      <c r="HS52" s="817"/>
      <c r="HT52" s="817"/>
      <c r="HU52" s="817"/>
      <c r="HV52" s="817"/>
      <c r="HW52" s="817"/>
      <c r="HX52" s="817"/>
      <c r="HY52" s="817"/>
      <c r="HZ52" s="817"/>
      <c r="IA52" s="817"/>
      <c r="IB52" s="817"/>
      <c r="IC52" s="817"/>
      <c r="ID52" s="817"/>
      <c r="IE52" s="817"/>
      <c r="IF52" s="817"/>
      <c r="IG52" s="817"/>
      <c r="IH52" s="817"/>
      <c r="II52" s="817"/>
      <c r="IJ52" s="817"/>
      <c r="IK52" s="817"/>
      <c r="IL52" s="817"/>
      <c r="IM52" s="817"/>
      <c r="IN52" s="817"/>
      <c r="IO52" s="817"/>
      <c r="IP52" s="817"/>
      <c r="IQ52" s="817"/>
      <c r="IR52" s="817"/>
      <c r="IS52" s="817"/>
      <c r="IT52" s="817"/>
      <c r="IU52" s="817"/>
      <c r="IV52" s="817"/>
    </row>
    <row r="53" spans="1:256" ht="10.5" customHeight="1">
      <c r="A53" s="877"/>
      <c r="B53" s="803"/>
      <c r="C53" s="878"/>
      <c r="D53" s="878"/>
      <c r="E53" s="878"/>
      <c r="F53" s="878"/>
      <c r="G53" s="873"/>
      <c r="H53" s="874"/>
      <c r="I53" s="875"/>
      <c r="J53" s="875"/>
      <c r="K53" s="876"/>
      <c r="L53" s="876"/>
      <c r="M53" s="876"/>
      <c r="N53" s="876"/>
      <c r="O53" s="817"/>
      <c r="P53" s="817"/>
      <c r="Q53" s="817"/>
      <c r="R53" s="817"/>
      <c r="S53" s="817"/>
      <c r="T53" s="817"/>
      <c r="U53" s="817"/>
      <c r="V53" s="817"/>
      <c r="W53" s="817"/>
      <c r="X53" s="817"/>
      <c r="Y53" s="817"/>
      <c r="Z53" s="817"/>
      <c r="AA53" s="817"/>
      <c r="AB53" s="817"/>
      <c r="AC53" s="817"/>
      <c r="AD53" s="817"/>
      <c r="AE53" s="817"/>
      <c r="AF53" s="817"/>
      <c r="AG53" s="817"/>
      <c r="AH53" s="817"/>
      <c r="AI53" s="817"/>
      <c r="AJ53" s="817"/>
      <c r="AK53" s="817"/>
      <c r="AL53" s="817"/>
      <c r="AM53" s="817"/>
      <c r="AN53" s="817"/>
      <c r="AO53" s="817"/>
      <c r="AP53" s="817"/>
      <c r="AQ53" s="817"/>
      <c r="AR53" s="817"/>
      <c r="AS53" s="817"/>
      <c r="AT53" s="817"/>
      <c r="AU53" s="817"/>
      <c r="AV53" s="817"/>
      <c r="AW53" s="817"/>
      <c r="AX53" s="817"/>
      <c r="AY53" s="817"/>
      <c r="AZ53" s="817"/>
      <c r="BA53" s="817"/>
      <c r="BB53" s="817"/>
      <c r="BC53" s="817"/>
      <c r="BD53" s="817"/>
      <c r="BE53" s="817"/>
      <c r="BF53" s="817"/>
      <c r="BG53" s="817"/>
      <c r="BH53" s="817"/>
      <c r="BI53" s="817"/>
      <c r="BJ53" s="817"/>
      <c r="BK53" s="817"/>
      <c r="BL53" s="817"/>
      <c r="BM53" s="817"/>
      <c r="BN53" s="817"/>
      <c r="BO53" s="817"/>
      <c r="BP53" s="817"/>
      <c r="BQ53" s="817"/>
      <c r="BR53" s="817"/>
      <c r="BS53" s="817"/>
      <c r="BT53" s="817"/>
      <c r="BU53" s="817"/>
      <c r="BV53" s="817"/>
      <c r="BW53" s="817"/>
      <c r="BX53" s="817"/>
      <c r="BY53" s="817"/>
      <c r="BZ53" s="817"/>
      <c r="CA53" s="817"/>
      <c r="CB53" s="817"/>
      <c r="CC53" s="817"/>
      <c r="CD53" s="817"/>
      <c r="CE53" s="817"/>
      <c r="CF53" s="817"/>
      <c r="CG53" s="817"/>
      <c r="CH53" s="817"/>
      <c r="CI53" s="817"/>
      <c r="CJ53" s="817"/>
      <c r="CK53" s="817"/>
      <c r="CL53" s="817"/>
      <c r="CM53" s="817"/>
      <c r="CN53" s="817"/>
      <c r="CO53" s="817"/>
      <c r="CP53" s="817"/>
      <c r="CQ53" s="817"/>
      <c r="CR53" s="817"/>
      <c r="CS53" s="817"/>
      <c r="CT53" s="817"/>
      <c r="CU53" s="817"/>
      <c r="CV53" s="817"/>
      <c r="CW53" s="817"/>
      <c r="CX53" s="817"/>
      <c r="CY53" s="817"/>
      <c r="CZ53" s="817"/>
      <c r="DA53" s="817"/>
      <c r="DB53" s="817"/>
      <c r="DC53" s="817"/>
      <c r="DD53" s="817"/>
      <c r="DE53" s="817"/>
      <c r="DF53" s="817"/>
      <c r="DG53" s="817"/>
      <c r="DH53" s="817"/>
      <c r="DI53" s="817"/>
      <c r="DJ53" s="817"/>
      <c r="DK53" s="817"/>
      <c r="DL53" s="817"/>
      <c r="DM53" s="817"/>
      <c r="DN53" s="817"/>
      <c r="DO53" s="817"/>
      <c r="DP53" s="817"/>
      <c r="DQ53" s="817"/>
      <c r="DR53" s="817"/>
      <c r="DS53" s="817"/>
      <c r="DT53" s="817"/>
      <c r="DU53" s="817"/>
      <c r="DV53" s="817"/>
      <c r="DW53" s="817"/>
      <c r="DX53" s="817"/>
      <c r="DY53" s="817"/>
      <c r="DZ53" s="817"/>
      <c r="EA53" s="817"/>
      <c r="EB53" s="817"/>
      <c r="EC53" s="817"/>
      <c r="ED53" s="817"/>
      <c r="EE53" s="817"/>
      <c r="EF53" s="817"/>
      <c r="EG53" s="817"/>
      <c r="EH53" s="817"/>
      <c r="EI53" s="817"/>
      <c r="EJ53" s="817"/>
      <c r="EK53" s="817"/>
      <c r="EL53" s="817"/>
      <c r="EM53" s="817"/>
      <c r="EN53" s="817"/>
      <c r="EO53" s="817"/>
      <c r="EP53" s="817"/>
      <c r="EQ53" s="817"/>
      <c r="ER53" s="817"/>
      <c r="ES53" s="817"/>
      <c r="ET53" s="817"/>
      <c r="EU53" s="817"/>
      <c r="EV53" s="817"/>
      <c r="EW53" s="817"/>
      <c r="EX53" s="817"/>
      <c r="EY53" s="817"/>
      <c r="EZ53" s="817"/>
      <c r="FA53" s="817"/>
      <c r="FB53" s="817"/>
      <c r="FC53" s="817"/>
      <c r="FD53" s="817"/>
      <c r="FE53" s="817"/>
      <c r="FF53" s="817"/>
      <c r="FG53" s="817"/>
      <c r="FH53" s="817"/>
      <c r="FI53" s="817"/>
      <c r="FJ53" s="817"/>
      <c r="FK53" s="817"/>
      <c r="FL53" s="817"/>
      <c r="FM53" s="817"/>
      <c r="FN53" s="817"/>
      <c r="FO53" s="817"/>
      <c r="FP53" s="817"/>
      <c r="FQ53" s="817"/>
      <c r="FR53" s="817"/>
      <c r="FS53" s="817"/>
      <c r="FT53" s="817"/>
      <c r="FU53" s="817"/>
      <c r="FV53" s="817"/>
      <c r="FW53" s="817"/>
      <c r="FX53" s="817"/>
      <c r="FY53" s="817"/>
      <c r="FZ53" s="817"/>
      <c r="GA53" s="817"/>
      <c r="GB53" s="817"/>
      <c r="GC53" s="817"/>
      <c r="GD53" s="817"/>
      <c r="GE53" s="817"/>
      <c r="GF53" s="817"/>
      <c r="GG53" s="817"/>
      <c r="GH53" s="817"/>
      <c r="GI53" s="817"/>
      <c r="GJ53" s="817"/>
      <c r="GK53" s="817"/>
      <c r="GL53" s="817"/>
      <c r="GM53" s="817"/>
      <c r="GN53" s="817"/>
      <c r="GO53" s="817"/>
      <c r="GP53" s="817"/>
      <c r="GQ53" s="817"/>
      <c r="GR53" s="817"/>
      <c r="GS53" s="817"/>
      <c r="GT53" s="817"/>
      <c r="GU53" s="817"/>
      <c r="GV53" s="817"/>
      <c r="GW53" s="817"/>
      <c r="GX53" s="817"/>
      <c r="GY53" s="817"/>
      <c r="GZ53" s="817"/>
      <c r="HA53" s="817"/>
      <c r="HB53" s="817"/>
      <c r="HC53" s="817"/>
      <c r="HD53" s="817"/>
      <c r="HE53" s="817"/>
      <c r="HF53" s="817"/>
      <c r="HG53" s="817"/>
      <c r="HH53" s="817"/>
      <c r="HI53" s="817"/>
      <c r="HJ53" s="817"/>
      <c r="HK53" s="817"/>
      <c r="HL53" s="817"/>
      <c r="HM53" s="817"/>
      <c r="HN53" s="817"/>
      <c r="HO53" s="817"/>
      <c r="HP53" s="817"/>
      <c r="HQ53" s="817"/>
      <c r="HR53" s="817"/>
      <c r="HS53" s="817"/>
      <c r="HT53" s="817"/>
      <c r="HU53" s="817"/>
      <c r="HV53" s="817"/>
      <c r="HW53" s="817"/>
      <c r="HX53" s="817"/>
      <c r="HY53" s="817"/>
      <c r="HZ53" s="817"/>
      <c r="IA53" s="817"/>
      <c r="IB53" s="817"/>
      <c r="IC53" s="817"/>
      <c r="ID53" s="817"/>
      <c r="IE53" s="817"/>
      <c r="IF53" s="817"/>
      <c r="IG53" s="817"/>
      <c r="IH53" s="817"/>
      <c r="II53" s="817"/>
      <c r="IJ53" s="817"/>
      <c r="IK53" s="817"/>
      <c r="IL53" s="817"/>
      <c r="IM53" s="817"/>
      <c r="IN53" s="817"/>
      <c r="IO53" s="817"/>
      <c r="IP53" s="817"/>
      <c r="IQ53" s="817"/>
      <c r="IR53" s="817"/>
      <c r="IS53" s="817"/>
      <c r="IT53" s="817"/>
      <c r="IU53" s="817"/>
      <c r="IV53" s="817"/>
    </row>
    <row r="54" spans="1:256" ht="10.5" customHeight="1">
      <c r="A54" s="877"/>
      <c r="B54" s="803"/>
      <c r="C54" s="878"/>
      <c r="D54" s="878"/>
      <c r="E54" s="878"/>
      <c r="F54" s="878"/>
      <c r="G54" s="873"/>
      <c r="H54" s="874"/>
      <c r="I54" s="875"/>
      <c r="J54" s="875"/>
      <c r="K54" s="876"/>
      <c r="L54" s="876"/>
      <c r="M54" s="876"/>
      <c r="N54" s="876"/>
      <c r="O54" s="817"/>
      <c r="P54" s="817"/>
      <c r="Q54" s="817"/>
      <c r="R54" s="817"/>
      <c r="S54" s="817"/>
      <c r="T54" s="817"/>
      <c r="U54" s="817"/>
      <c r="V54" s="817"/>
      <c r="W54" s="817"/>
      <c r="X54" s="817"/>
      <c r="Y54" s="817"/>
      <c r="Z54" s="817"/>
      <c r="AA54" s="817"/>
      <c r="AB54" s="817"/>
      <c r="AC54" s="817"/>
      <c r="AD54" s="817"/>
      <c r="AE54" s="817"/>
      <c r="AF54" s="817"/>
      <c r="AG54" s="817"/>
      <c r="AH54" s="817"/>
      <c r="AI54" s="817"/>
      <c r="AJ54" s="817"/>
      <c r="AK54" s="817"/>
      <c r="AL54" s="817"/>
      <c r="AM54" s="817"/>
      <c r="AN54" s="817"/>
      <c r="AO54" s="817"/>
      <c r="AP54" s="817"/>
      <c r="AQ54" s="817"/>
      <c r="AR54" s="817"/>
      <c r="AS54" s="817"/>
      <c r="AT54" s="817"/>
      <c r="AU54" s="817"/>
      <c r="AV54" s="817"/>
      <c r="AW54" s="817"/>
      <c r="AX54" s="817"/>
      <c r="AY54" s="817"/>
      <c r="AZ54" s="817"/>
      <c r="BA54" s="817"/>
      <c r="BB54" s="817"/>
      <c r="BC54" s="817"/>
      <c r="BD54" s="817"/>
      <c r="BE54" s="817"/>
      <c r="BF54" s="817"/>
      <c r="BG54" s="817"/>
      <c r="BH54" s="817"/>
      <c r="BI54" s="817"/>
      <c r="BJ54" s="817"/>
      <c r="BK54" s="817"/>
      <c r="BL54" s="817"/>
      <c r="BM54" s="817"/>
      <c r="BN54" s="817"/>
      <c r="BO54" s="817"/>
      <c r="BP54" s="817"/>
      <c r="BQ54" s="817"/>
      <c r="BR54" s="817"/>
      <c r="BS54" s="817"/>
      <c r="BT54" s="817"/>
      <c r="BU54" s="817"/>
      <c r="BV54" s="817"/>
      <c r="BW54" s="817"/>
      <c r="BX54" s="817"/>
      <c r="BY54" s="817"/>
      <c r="BZ54" s="817"/>
      <c r="CA54" s="817"/>
      <c r="CB54" s="817"/>
      <c r="CC54" s="817"/>
      <c r="CD54" s="817"/>
      <c r="CE54" s="817"/>
      <c r="CF54" s="817"/>
      <c r="CG54" s="817"/>
      <c r="CH54" s="817"/>
      <c r="CI54" s="817"/>
      <c r="CJ54" s="817"/>
      <c r="CK54" s="817"/>
      <c r="CL54" s="817"/>
      <c r="CM54" s="817"/>
      <c r="CN54" s="817"/>
      <c r="CO54" s="817"/>
      <c r="CP54" s="817"/>
      <c r="CQ54" s="817"/>
      <c r="CR54" s="817"/>
      <c r="CS54" s="817"/>
      <c r="CT54" s="817"/>
      <c r="CU54" s="817"/>
      <c r="CV54" s="817"/>
      <c r="CW54" s="817"/>
      <c r="CX54" s="817"/>
      <c r="CY54" s="817"/>
      <c r="CZ54" s="817"/>
      <c r="DA54" s="817"/>
      <c r="DB54" s="817"/>
      <c r="DC54" s="817"/>
      <c r="DD54" s="817"/>
      <c r="DE54" s="817"/>
      <c r="DF54" s="817"/>
      <c r="DG54" s="817"/>
      <c r="DH54" s="817"/>
      <c r="DI54" s="817"/>
      <c r="DJ54" s="817"/>
      <c r="DK54" s="817"/>
      <c r="DL54" s="817"/>
      <c r="DM54" s="817"/>
      <c r="DN54" s="817"/>
      <c r="DO54" s="817"/>
      <c r="DP54" s="817"/>
      <c r="DQ54" s="817"/>
      <c r="DR54" s="817"/>
      <c r="DS54" s="817"/>
      <c r="DT54" s="817"/>
      <c r="DU54" s="817"/>
      <c r="DV54" s="817"/>
      <c r="DW54" s="817"/>
      <c r="DX54" s="817"/>
      <c r="DY54" s="817"/>
      <c r="DZ54" s="817"/>
      <c r="EA54" s="817"/>
      <c r="EB54" s="817"/>
      <c r="EC54" s="817"/>
      <c r="ED54" s="817"/>
      <c r="EE54" s="817"/>
      <c r="EF54" s="817"/>
      <c r="EG54" s="817"/>
      <c r="EH54" s="817"/>
      <c r="EI54" s="817"/>
      <c r="EJ54" s="817"/>
      <c r="EK54" s="817"/>
      <c r="EL54" s="817"/>
      <c r="EM54" s="817"/>
      <c r="EN54" s="817"/>
      <c r="EO54" s="817"/>
      <c r="EP54" s="817"/>
      <c r="EQ54" s="817"/>
      <c r="ER54" s="817"/>
      <c r="ES54" s="817"/>
      <c r="ET54" s="817"/>
      <c r="EU54" s="817"/>
      <c r="EV54" s="817"/>
      <c r="EW54" s="817"/>
      <c r="EX54" s="817"/>
      <c r="EY54" s="817"/>
      <c r="EZ54" s="817"/>
      <c r="FA54" s="817"/>
      <c r="FB54" s="817"/>
      <c r="FC54" s="817"/>
      <c r="FD54" s="817"/>
      <c r="FE54" s="817"/>
      <c r="FF54" s="817"/>
      <c r="FG54" s="817"/>
      <c r="FH54" s="817"/>
      <c r="FI54" s="817"/>
      <c r="FJ54" s="817"/>
      <c r="FK54" s="817"/>
      <c r="FL54" s="817"/>
      <c r="FM54" s="817"/>
      <c r="FN54" s="817"/>
      <c r="FO54" s="817"/>
      <c r="FP54" s="817"/>
      <c r="FQ54" s="817"/>
      <c r="FR54" s="817"/>
      <c r="FS54" s="817"/>
      <c r="FT54" s="817"/>
      <c r="FU54" s="817"/>
      <c r="FV54" s="817"/>
      <c r="FW54" s="817"/>
      <c r="FX54" s="817"/>
      <c r="FY54" s="817"/>
      <c r="FZ54" s="817"/>
      <c r="GA54" s="817"/>
      <c r="GB54" s="817"/>
      <c r="GC54" s="817"/>
      <c r="GD54" s="817"/>
      <c r="GE54" s="817"/>
      <c r="GF54" s="817"/>
      <c r="GG54" s="817"/>
      <c r="GH54" s="817"/>
      <c r="GI54" s="817"/>
      <c r="GJ54" s="817"/>
      <c r="GK54" s="817"/>
      <c r="GL54" s="817"/>
      <c r="GM54" s="817"/>
      <c r="GN54" s="817"/>
      <c r="GO54" s="817"/>
      <c r="GP54" s="817"/>
      <c r="GQ54" s="817"/>
      <c r="GR54" s="817"/>
      <c r="GS54" s="817"/>
      <c r="GT54" s="817"/>
      <c r="GU54" s="817"/>
      <c r="GV54" s="817"/>
      <c r="GW54" s="817"/>
      <c r="GX54" s="817"/>
      <c r="GY54" s="817"/>
      <c r="GZ54" s="817"/>
      <c r="HA54" s="817"/>
      <c r="HB54" s="817"/>
      <c r="HC54" s="817"/>
      <c r="HD54" s="817"/>
      <c r="HE54" s="817"/>
      <c r="HF54" s="817"/>
      <c r="HG54" s="817"/>
      <c r="HH54" s="817"/>
      <c r="HI54" s="817"/>
      <c r="HJ54" s="817"/>
      <c r="HK54" s="817"/>
      <c r="HL54" s="817"/>
      <c r="HM54" s="817"/>
      <c r="HN54" s="817"/>
      <c r="HO54" s="817"/>
      <c r="HP54" s="817"/>
      <c r="HQ54" s="817"/>
      <c r="HR54" s="817"/>
      <c r="HS54" s="817"/>
      <c r="HT54" s="817"/>
      <c r="HU54" s="817"/>
      <c r="HV54" s="817"/>
      <c r="HW54" s="817"/>
      <c r="HX54" s="817"/>
      <c r="HY54" s="817"/>
      <c r="HZ54" s="817"/>
      <c r="IA54" s="817"/>
      <c r="IB54" s="817"/>
      <c r="IC54" s="817"/>
      <c r="ID54" s="817"/>
      <c r="IE54" s="817"/>
      <c r="IF54" s="817"/>
      <c r="IG54" s="817"/>
      <c r="IH54" s="817"/>
      <c r="II54" s="817"/>
      <c r="IJ54" s="817"/>
      <c r="IK54" s="817"/>
      <c r="IL54" s="817"/>
      <c r="IM54" s="817"/>
      <c r="IN54" s="817"/>
      <c r="IO54" s="817"/>
      <c r="IP54" s="817"/>
      <c r="IQ54" s="817"/>
      <c r="IR54" s="817"/>
      <c r="IS54" s="817"/>
      <c r="IT54" s="817"/>
      <c r="IU54" s="817"/>
      <c r="IV54" s="817"/>
    </row>
    <row r="55" spans="1:256" ht="10.5" customHeight="1">
      <c r="A55" s="877"/>
      <c r="B55" s="803"/>
      <c r="C55" s="878"/>
      <c r="D55" s="878"/>
      <c r="E55" s="878"/>
      <c r="F55" s="878"/>
      <c r="G55" s="873"/>
      <c r="H55" s="874"/>
      <c r="I55" s="875"/>
      <c r="J55" s="875"/>
      <c r="K55" s="876"/>
      <c r="L55" s="876"/>
      <c r="M55" s="876"/>
      <c r="N55" s="876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  <c r="AA55" s="817"/>
      <c r="AB55" s="817"/>
      <c r="AC55" s="817"/>
      <c r="AD55" s="817"/>
      <c r="AE55" s="817"/>
      <c r="AF55" s="817"/>
      <c r="AG55" s="817"/>
      <c r="AH55" s="817"/>
      <c r="AI55" s="817"/>
      <c r="AJ55" s="817"/>
      <c r="AK55" s="817"/>
      <c r="AL55" s="817"/>
      <c r="AM55" s="817"/>
      <c r="AN55" s="817"/>
      <c r="AO55" s="817"/>
      <c r="AP55" s="817"/>
      <c r="AQ55" s="817"/>
      <c r="AR55" s="817"/>
      <c r="AS55" s="817"/>
      <c r="AT55" s="817"/>
      <c r="AU55" s="817"/>
      <c r="AV55" s="817"/>
      <c r="AW55" s="817"/>
      <c r="AX55" s="817"/>
      <c r="AY55" s="817"/>
      <c r="AZ55" s="817"/>
      <c r="BA55" s="817"/>
      <c r="BB55" s="817"/>
      <c r="BC55" s="817"/>
      <c r="BD55" s="817"/>
      <c r="BE55" s="817"/>
      <c r="BF55" s="817"/>
      <c r="BG55" s="817"/>
      <c r="BH55" s="817"/>
      <c r="BI55" s="817"/>
      <c r="BJ55" s="817"/>
      <c r="BK55" s="817"/>
      <c r="BL55" s="817"/>
      <c r="BM55" s="817"/>
      <c r="BN55" s="817"/>
      <c r="BO55" s="817"/>
      <c r="BP55" s="817"/>
      <c r="BQ55" s="817"/>
      <c r="BR55" s="817"/>
      <c r="BS55" s="817"/>
      <c r="BT55" s="817"/>
      <c r="BU55" s="817"/>
      <c r="BV55" s="817"/>
      <c r="BW55" s="817"/>
      <c r="BX55" s="817"/>
      <c r="BY55" s="817"/>
      <c r="BZ55" s="817"/>
      <c r="CA55" s="817"/>
      <c r="CB55" s="817"/>
      <c r="CC55" s="817"/>
      <c r="CD55" s="817"/>
      <c r="CE55" s="817"/>
      <c r="CF55" s="817"/>
      <c r="CG55" s="817"/>
      <c r="CH55" s="817"/>
      <c r="CI55" s="817"/>
      <c r="CJ55" s="817"/>
      <c r="CK55" s="817"/>
      <c r="CL55" s="817"/>
      <c r="CM55" s="817"/>
      <c r="CN55" s="817"/>
      <c r="CO55" s="817"/>
      <c r="CP55" s="817"/>
      <c r="CQ55" s="817"/>
      <c r="CR55" s="817"/>
      <c r="CS55" s="817"/>
      <c r="CT55" s="817"/>
      <c r="CU55" s="817"/>
      <c r="CV55" s="817"/>
      <c r="CW55" s="817"/>
      <c r="CX55" s="817"/>
      <c r="CY55" s="817"/>
      <c r="CZ55" s="817"/>
      <c r="DA55" s="817"/>
      <c r="DB55" s="817"/>
      <c r="DC55" s="817"/>
      <c r="DD55" s="817"/>
      <c r="DE55" s="817"/>
      <c r="DF55" s="817"/>
      <c r="DG55" s="817"/>
      <c r="DH55" s="817"/>
      <c r="DI55" s="817"/>
      <c r="DJ55" s="817"/>
      <c r="DK55" s="817"/>
      <c r="DL55" s="817"/>
      <c r="DM55" s="817"/>
      <c r="DN55" s="817"/>
      <c r="DO55" s="817"/>
      <c r="DP55" s="817"/>
      <c r="DQ55" s="817"/>
      <c r="DR55" s="817"/>
      <c r="DS55" s="817"/>
      <c r="DT55" s="817"/>
      <c r="DU55" s="817"/>
      <c r="DV55" s="817"/>
      <c r="DW55" s="817"/>
      <c r="DX55" s="817"/>
      <c r="DY55" s="817"/>
      <c r="DZ55" s="817"/>
      <c r="EA55" s="817"/>
      <c r="EB55" s="817"/>
      <c r="EC55" s="817"/>
      <c r="ED55" s="817"/>
      <c r="EE55" s="817"/>
      <c r="EF55" s="817"/>
      <c r="EG55" s="817"/>
      <c r="EH55" s="817"/>
      <c r="EI55" s="817"/>
      <c r="EJ55" s="817"/>
      <c r="EK55" s="817"/>
      <c r="EL55" s="817"/>
      <c r="EM55" s="817"/>
      <c r="EN55" s="817"/>
      <c r="EO55" s="817"/>
      <c r="EP55" s="817"/>
      <c r="EQ55" s="817"/>
      <c r="ER55" s="817"/>
      <c r="ES55" s="817"/>
      <c r="ET55" s="817"/>
      <c r="EU55" s="817"/>
      <c r="EV55" s="817"/>
      <c r="EW55" s="817"/>
      <c r="EX55" s="817"/>
      <c r="EY55" s="817"/>
      <c r="EZ55" s="817"/>
      <c r="FA55" s="817"/>
      <c r="FB55" s="817"/>
      <c r="FC55" s="817"/>
      <c r="FD55" s="817"/>
      <c r="FE55" s="817"/>
      <c r="FF55" s="817"/>
      <c r="FG55" s="817"/>
      <c r="FH55" s="817"/>
      <c r="FI55" s="817"/>
      <c r="FJ55" s="817"/>
      <c r="FK55" s="817"/>
      <c r="FL55" s="817"/>
      <c r="FM55" s="817"/>
      <c r="FN55" s="817"/>
      <c r="FO55" s="817"/>
      <c r="FP55" s="817"/>
      <c r="FQ55" s="817"/>
      <c r="FR55" s="817"/>
      <c r="FS55" s="817"/>
      <c r="FT55" s="817"/>
      <c r="FU55" s="817"/>
      <c r="FV55" s="817"/>
      <c r="FW55" s="817"/>
      <c r="FX55" s="817"/>
      <c r="FY55" s="817"/>
      <c r="FZ55" s="817"/>
      <c r="GA55" s="817"/>
      <c r="GB55" s="817"/>
      <c r="GC55" s="817"/>
      <c r="GD55" s="817"/>
      <c r="GE55" s="817"/>
      <c r="GF55" s="817"/>
      <c r="GG55" s="817"/>
      <c r="GH55" s="817"/>
      <c r="GI55" s="817"/>
      <c r="GJ55" s="817"/>
      <c r="GK55" s="817"/>
      <c r="GL55" s="817"/>
      <c r="GM55" s="817"/>
      <c r="GN55" s="817"/>
      <c r="GO55" s="817"/>
      <c r="GP55" s="817"/>
      <c r="GQ55" s="817"/>
      <c r="GR55" s="817"/>
      <c r="GS55" s="817"/>
      <c r="GT55" s="817"/>
      <c r="GU55" s="817"/>
      <c r="GV55" s="817"/>
      <c r="GW55" s="817"/>
      <c r="GX55" s="817"/>
      <c r="GY55" s="817"/>
      <c r="GZ55" s="817"/>
      <c r="HA55" s="817"/>
      <c r="HB55" s="817"/>
      <c r="HC55" s="817"/>
      <c r="HD55" s="817"/>
      <c r="HE55" s="817"/>
      <c r="HF55" s="817"/>
      <c r="HG55" s="817"/>
      <c r="HH55" s="817"/>
      <c r="HI55" s="817"/>
      <c r="HJ55" s="817"/>
      <c r="HK55" s="817"/>
      <c r="HL55" s="817"/>
      <c r="HM55" s="817"/>
      <c r="HN55" s="817"/>
      <c r="HO55" s="817"/>
      <c r="HP55" s="817"/>
      <c r="HQ55" s="817"/>
      <c r="HR55" s="817"/>
      <c r="HS55" s="817"/>
      <c r="HT55" s="817"/>
      <c r="HU55" s="817"/>
      <c r="HV55" s="817"/>
      <c r="HW55" s="817"/>
      <c r="HX55" s="817"/>
      <c r="HY55" s="817"/>
      <c r="HZ55" s="817"/>
      <c r="IA55" s="817"/>
      <c r="IB55" s="817"/>
      <c r="IC55" s="817"/>
      <c r="ID55" s="817"/>
      <c r="IE55" s="817"/>
      <c r="IF55" s="817"/>
      <c r="IG55" s="817"/>
      <c r="IH55" s="817"/>
      <c r="II55" s="817"/>
      <c r="IJ55" s="817"/>
      <c r="IK55" s="817"/>
      <c r="IL55" s="817"/>
      <c r="IM55" s="817"/>
      <c r="IN55" s="817"/>
      <c r="IO55" s="817"/>
      <c r="IP55" s="817"/>
      <c r="IQ55" s="817"/>
      <c r="IR55" s="817"/>
      <c r="IS55" s="817"/>
      <c r="IT55" s="817"/>
      <c r="IU55" s="817"/>
      <c r="IV55" s="817"/>
    </row>
    <row r="56" spans="1:256" ht="10.5" customHeight="1">
      <c r="A56" s="877"/>
      <c r="B56" s="803"/>
      <c r="C56" s="878"/>
      <c r="D56" s="878"/>
      <c r="E56" s="878"/>
      <c r="F56" s="878"/>
      <c r="G56" s="873"/>
      <c r="H56" s="874"/>
      <c r="I56" s="875"/>
      <c r="J56" s="875"/>
      <c r="K56" s="876"/>
      <c r="L56" s="876"/>
      <c r="M56" s="876"/>
      <c r="N56" s="876"/>
      <c r="O56" s="817"/>
      <c r="P56" s="817"/>
      <c r="Q56" s="817"/>
      <c r="R56" s="817"/>
      <c r="S56" s="817"/>
      <c r="T56" s="817"/>
      <c r="U56" s="817"/>
      <c r="V56" s="817"/>
      <c r="W56" s="817"/>
      <c r="X56" s="817"/>
      <c r="Y56" s="817"/>
      <c r="Z56" s="817"/>
      <c r="AA56" s="817"/>
      <c r="AB56" s="817"/>
      <c r="AC56" s="817"/>
      <c r="AD56" s="817"/>
      <c r="AE56" s="817"/>
      <c r="AF56" s="817"/>
      <c r="AG56" s="817"/>
      <c r="AH56" s="817"/>
      <c r="AI56" s="817"/>
      <c r="AJ56" s="817"/>
      <c r="AK56" s="817"/>
      <c r="AL56" s="817"/>
      <c r="AM56" s="817"/>
      <c r="AN56" s="817"/>
      <c r="AO56" s="817"/>
      <c r="AP56" s="817"/>
      <c r="AQ56" s="817"/>
      <c r="AR56" s="817"/>
      <c r="AS56" s="817"/>
      <c r="AT56" s="817"/>
      <c r="AU56" s="817"/>
      <c r="AV56" s="817"/>
      <c r="AW56" s="817"/>
      <c r="AX56" s="817"/>
      <c r="AY56" s="817"/>
      <c r="AZ56" s="817"/>
      <c r="BA56" s="817"/>
      <c r="BB56" s="817"/>
      <c r="BC56" s="817"/>
      <c r="BD56" s="817"/>
      <c r="BE56" s="817"/>
      <c r="BF56" s="817"/>
      <c r="BG56" s="817"/>
      <c r="BH56" s="817"/>
      <c r="BI56" s="817"/>
      <c r="BJ56" s="817"/>
      <c r="BK56" s="817"/>
      <c r="BL56" s="817"/>
      <c r="BM56" s="817"/>
      <c r="BN56" s="817"/>
      <c r="BO56" s="817"/>
      <c r="BP56" s="817"/>
      <c r="BQ56" s="817"/>
      <c r="BR56" s="817"/>
      <c r="BS56" s="817"/>
      <c r="BT56" s="817"/>
      <c r="BU56" s="817"/>
      <c r="BV56" s="817"/>
      <c r="BW56" s="817"/>
      <c r="BX56" s="817"/>
      <c r="BY56" s="817"/>
      <c r="BZ56" s="817"/>
      <c r="CA56" s="817"/>
      <c r="CB56" s="817"/>
      <c r="CC56" s="817"/>
      <c r="CD56" s="817"/>
      <c r="CE56" s="817"/>
      <c r="CF56" s="817"/>
      <c r="CG56" s="817"/>
      <c r="CH56" s="817"/>
      <c r="CI56" s="817"/>
      <c r="CJ56" s="817"/>
      <c r="CK56" s="817"/>
      <c r="CL56" s="817"/>
      <c r="CM56" s="817"/>
      <c r="CN56" s="817"/>
      <c r="CO56" s="817"/>
      <c r="CP56" s="817"/>
      <c r="CQ56" s="817"/>
      <c r="CR56" s="817"/>
      <c r="CS56" s="817"/>
      <c r="CT56" s="817"/>
      <c r="CU56" s="817"/>
      <c r="CV56" s="817"/>
      <c r="CW56" s="817"/>
      <c r="CX56" s="817"/>
      <c r="CY56" s="817"/>
      <c r="CZ56" s="817"/>
      <c r="DA56" s="817"/>
      <c r="DB56" s="817"/>
      <c r="DC56" s="817"/>
      <c r="DD56" s="817"/>
      <c r="DE56" s="817"/>
      <c r="DF56" s="817"/>
      <c r="DG56" s="817"/>
      <c r="DH56" s="817"/>
      <c r="DI56" s="817"/>
      <c r="DJ56" s="817"/>
      <c r="DK56" s="817"/>
      <c r="DL56" s="817"/>
      <c r="DM56" s="817"/>
      <c r="DN56" s="817"/>
      <c r="DO56" s="817"/>
      <c r="DP56" s="817"/>
      <c r="DQ56" s="817"/>
      <c r="DR56" s="817"/>
      <c r="DS56" s="817"/>
      <c r="DT56" s="817"/>
      <c r="DU56" s="817"/>
      <c r="DV56" s="817"/>
      <c r="DW56" s="817"/>
      <c r="DX56" s="817"/>
      <c r="DY56" s="817"/>
      <c r="DZ56" s="817"/>
      <c r="EA56" s="817"/>
      <c r="EB56" s="817"/>
      <c r="EC56" s="817"/>
      <c r="ED56" s="817"/>
      <c r="EE56" s="817"/>
      <c r="EF56" s="817"/>
      <c r="EG56" s="817"/>
      <c r="EH56" s="817"/>
      <c r="EI56" s="817"/>
      <c r="EJ56" s="817"/>
      <c r="EK56" s="817"/>
      <c r="EL56" s="817"/>
      <c r="EM56" s="817"/>
      <c r="EN56" s="817"/>
      <c r="EO56" s="817"/>
      <c r="EP56" s="817"/>
      <c r="EQ56" s="817"/>
      <c r="ER56" s="817"/>
      <c r="ES56" s="817"/>
      <c r="ET56" s="817"/>
      <c r="EU56" s="817"/>
      <c r="EV56" s="817"/>
      <c r="EW56" s="817"/>
      <c r="EX56" s="817"/>
      <c r="EY56" s="817"/>
      <c r="EZ56" s="817"/>
      <c r="FA56" s="817"/>
      <c r="FB56" s="817"/>
      <c r="FC56" s="817"/>
      <c r="FD56" s="817"/>
      <c r="FE56" s="817"/>
      <c r="FF56" s="817"/>
      <c r="FG56" s="817"/>
      <c r="FH56" s="817"/>
      <c r="FI56" s="817"/>
      <c r="FJ56" s="817"/>
      <c r="FK56" s="817"/>
      <c r="FL56" s="817"/>
      <c r="FM56" s="817"/>
      <c r="FN56" s="817"/>
      <c r="FO56" s="817"/>
      <c r="FP56" s="817"/>
      <c r="FQ56" s="817"/>
      <c r="FR56" s="817"/>
      <c r="FS56" s="817"/>
      <c r="FT56" s="817"/>
      <c r="FU56" s="817"/>
      <c r="FV56" s="817"/>
      <c r="FW56" s="817"/>
      <c r="FX56" s="817"/>
      <c r="FY56" s="817"/>
      <c r="FZ56" s="817"/>
      <c r="GA56" s="817"/>
      <c r="GB56" s="817"/>
      <c r="GC56" s="817"/>
      <c r="GD56" s="817"/>
      <c r="GE56" s="817"/>
      <c r="GF56" s="817"/>
      <c r="GG56" s="817"/>
      <c r="GH56" s="817"/>
      <c r="GI56" s="817"/>
      <c r="GJ56" s="817"/>
      <c r="GK56" s="817"/>
      <c r="GL56" s="817"/>
      <c r="GM56" s="817"/>
      <c r="GN56" s="817"/>
      <c r="GO56" s="817"/>
      <c r="GP56" s="817"/>
      <c r="GQ56" s="817"/>
      <c r="GR56" s="817"/>
      <c r="GS56" s="817"/>
      <c r="GT56" s="817"/>
      <c r="GU56" s="817"/>
      <c r="GV56" s="817"/>
      <c r="GW56" s="817"/>
      <c r="GX56" s="817"/>
      <c r="GY56" s="817"/>
      <c r="GZ56" s="817"/>
      <c r="HA56" s="817"/>
      <c r="HB56" s="817"/>
      <c r="HC56" s="817"/>
      <c r="HD56" s="817"/>
      <c r="HE56" s="817"/>
      <c r="HF56" s="817"/>
      <c r="HG56" s="817"/>
      <c r="HH56" s="817"/>
      <c r="HI56" s="817"/>
      <c r="HJ56" s="817"/>
      <c r="HK56" s="817"/>
      <c r="HL56" s="817"/>
      <c r="HM56" s="817"/>
      <c r="HN56" s="817"/>
      <c r="HO56" s="817"/>
      <c r="HP56" s="817"/>
      <c r="HQ56" s="817"/>
      <c r="HR56" s="817"/>
      <c r="HS56" s="817"/>
      <c r="HT56" s="817"/>
      <c r="HU56" s="817"/>
      <c r="HV56" s="817"/>
      <c r="HW56" s="817"/>
      <c r="HX56" s="817"/>
      <c r="HY56" s="817"/>
      <c r="HZ56" s="817"/>
      <c r="IA56" s="817"/>
      <c r="IB56" s="817"/>
      <c r="IC56" s="817"/>
      <c r="ID56" s="817"/>
      <c r="IE56" s="817"/>
      <c r="IF56" s="817"/>
      <c r="IG56" s="817"/>
      <c r="IH56" s="817"/>
      <c r="II56" s="817"/>
      <c r="IJ56" s="817"/>
      <c r="IK56" s="817"/>
      <c r="IL56" s="817"/>
      <c r="IM56" s="817"/>
      <c r="IN56" s="817"/>
      <c r="IO56" s="817"/>
      <c r="IP56" s="817"/>
      <c r="IQ56" s="817"/>
      <c r="IR56" s="817"/>
      <c r="IS56" s="817"/>
      <c r="IT56" s="817"/>
      <c r="IU56" s="817"/>
      <c r="IV56" s="817"/>
    </row>
    <row r="57" spans="1:256" ht="10.5" customHeight="1">
      <c r="A57" s="877"/>
      <c r="B57" s="803"/>
      <c r="C57" s="878"/>
      <c r="D57" s="878"/>
      <c r="E57" s="878"/>
      <c r="F57" s="878"/>
      <c r="G57" s="873"/>
      <c r="H57" s="874"/>
      <c r="I57" s="875"/>
      <c r="J57" s="875"/>
      <c r="K57" s="876"/>
      <c r="L57" s="876"/>
      <c r="M57" s="876"/>
      <c r="N57" s="876"/>
      <c r="O57" s="817"/>
      <c r="P57" s="817"/>
      <c r="Q57" s="817"/>
      <c r="R57" s="817"/>
      <c r="S57" s="817"/>
      <c r="T57" s="817"/>
      <c r="U57" s="817"/>
      <c r="V57" s="817"/>
      <c r="W57" s="817"/>
      <c r="X57" s="817"/>
      <c r="Y57" s="817"/>
      <c r="Z57" s="817"/>
      <c r="AA57" s="817"/>
      <c r="AB57" s="817"/>
      <c r="AC57" s="817"/>
      <c r="AD57" s="817"/>
      <c r="AE57" s="817"/>
      <c r="AF57" s="817"/>
      <c r="AG57" s="817"/>
      <c r="AH57" s="817"/>
      <c r="AI57" s="817"/>
      <c r="AJ57" s="817"/>
      <c r="AK57" s="817"/>
      <c r="AL57" s="817"/>
      <c r="AM57" s="817"/>
      <c r="AN57" s="817"/>
      <c r="AO57" s="817"/>
      <c r="AP57" s="817"/>
      <c r="AQ57" s="817"/>
      <c r="AR57" s="817"/>
      <c r="AS57" s="817"/>
      <c r="AT57" s="817"/>
      <c r="AU57" s="817"/>
      <c r="AV57" s="817"/>
      <c r="AW57" s="817"/>
      <c r="AX57" s="817"/>
      <c r="AY57" s="817"/>
      <c r="AZ57" s="817"/>
      <c r="BA57" s="817"/>
      <c r="BB57" s="817"/>
      <c r="BC57" s="817"/>
      <c r="BD57" s="817"/>
      <c r="BE57" s="817"/>
      <c r="BF57" s="817"/>
      <c r="BG57" s="817"/>
      <c r="BH57" s="817"/>
      <c r="BI57" s="817"/>
      <c r="BJ57" s="817"/>
      <c r="BK57" s="817"/>
      <c r="BL57" s="817"/>
      <c r="BM57" s="817"/>
      <c r="BN57" s="817"/>
      <c r="BO57" s="817"/>
      <c r="BP57" s="817"/>
      <c r="BQ57" s="817"/>
      <c r="BR57" s="817"/>
      <c r="BS57" s="817"/>
      <c r="BT57" s="817"/>
      <c r="BU57" s="817"/>
      <c r="BV57" s="817"/>
      <c r="BW57" s="817"/>
      <c r="BX57" s="817"/>
      <c r="BY57" s="817"/>
      <c r="BZ57" s="817"/>
      <c r="CA57" s="817"/>
      <c r="CB57" s="817"/>
      <c r="CC57" s="817"/>
      <c r="CD57" s="817"/>
      <c r="CE57" s="817"/>
      <c r="CF57" s="817"/>
      <c r="CG57" s="817"/>
      <c r="CH57" s="817"/>
      <c r="CI57" s="817"/>
      <c r="CJ57" s="817"/>
      <c r="CK57" s="817"/>
      <c r="CL57" s="817"/>
      <c r="CM57" s="817"/>
      <c r="CN57" s="817"/>
      <c r="CO57" s="817"/>
      <c r="CP57" s="817"/>
      <c r="CQ57" s="817"/>
      <c r="CR57" s="817"/>
      <c r="CS57" s="817"/>
      <c r="CT57" s="817"/>
      <c r="CU57" s="817"/>
      <c r="CV57" s="817"/>
      <c r="CW57" s="817"/>
      <c r="CX57" s="817"/>
      <c r="CY57" s="817"/>
      <c r="CZ57" s="817"/>
      <c r="DA57" s="817"/>
      <c r="DB57" s="817"/>
      <c r="DC57" s="817"/>
      <c r="DD57" s="817"/>
      <c r="DE57" s="817"/>
      <c r="DF57" s="817"/>
      <c r="DG57" s="817"/>
      <c r="DH57" s="817"/>
      <c r="DI57" s="817"/>
      <c r="DJ57" s="817"/>
      <c r="DK57" s="817"/>
      <c r="DL57" s="817"/>
      <c r="DM57" s="817"/>
      <c r="DN57" s="817"/>
      <c r="DO57" s="817"/>
      <c r="DP57" s="817"/>
      <c r="DQ57" s="817"/>
      <c r="DR57" s="817"/>
      <c r="DS57" s="817"/>
      <c r="DT57" s="817"/>
      <c r="DU57" s="817"/>
      <c r="DV57" s="817"/>
      <c r="DW57" s="817"/>
      <c r="DX57" s="817"/>
      <c r="DY57" s="817"/>
      <c r="DZ57" s="817"/>
      <c r="EA57" s="817"/>
      <c r="EB57" s="817"/>
      <c r="EC57" s="817"/>
      <c r="ED57" s="817"/>
      <c r="EE57" s="817"/>
      <c r="EF57" s="817"/>
      <c r="EG57" s="817"/>
      <c r="EH57" s="817"/>
      <c r="EI57" s="817"/>
      <c r="EJ57" s="817"/>
      <c r="EK57" s="817"/>
      <c r="EL57" s="817"/>
      <c r="EM57" s="817"/>
      <c r="EN57" s="817"/>
      <c r="EO57" s="817"/>
      <c r="EP57" s="817"/>
      <c r="EQ57" s="817"/>
      <c r="ER57" s="817"/>
      <c r="ES57" s="817"/>
      <c r="ET57" s="817"/>
      <c r="EU57" s="817"/>
      <c r="EV57" s="817"/>
      <c r="EW57" s="817"/>
      <c r="EX57" s="817"/>
      <c r="EY57" s="817"/>
      <c r="EZ57" s="817"/>
      <c r="FA57" s="817"/>
      <c r="FB57" s="817"/>
      <c r="FC57" s="817"/>
      <c r="FD57" s="817"/>
      <c r="FE57" s="817"/>
      <c r="FF57" s="817"/>
      <c r="FG57" s="817"/>
      <c r="FH57" s="817"/>
      <c r="FI57" s="817"/>
      <c r="FJ57" s="817"/>
      <c r="FK57" s="817"/>
      <c r="FL57" s="817"/>
      <c r="FM57" s="817"/>
      <c r="FN57" s="817"/>
      <c r="FO57" s="817"/>
      <c r="FP57" s="817"/>
      <c r="FQ57" s="817"/>
      <c r="FR57" s="817"/>
      <c r="FS57" s="817"/>
      <c r="FT57" s="817"/>
      <c r="FU57" s="817"/>
      <c r="FV57" s="817"/>
      <c r="FW57" s="817"/>
      <c r="FX57" s="817"/>
      <c r="FY57" s="817"/>
      <c r="FZ57" s="817"/>
      <c r="GA57" s="817"/>
      <c r="GB57" s="817"/>
      <c r="GC57" s="817"/>
      <c r="GD57" s="817"/>
      <c r="GE57" s="817"/>
      <c r="GF57" s="817"/>
      <c r="GG57" s="817"/>
      <c r="GH57" s="817"/>
      <c r="GI57" s="817"/>
      <c r="GJ57" s="817"/>
      <c r="GK57" s="817"/>
      <c r="GL57" s="817"/>
      <c r="GM57" s="817"/>
      <c r="GN57" s="817"/>
      <c r="GO57" s="817"/>
      <c r="GP57" s="817"/>
      <c r="GQ57" s="817"/>
      <c r="GR57" s="817"/>
      <c r="GS57" s="817"/>
      <c r="GT57" s="817"/>
      <c r="GU57" s="817"/>
      <c r="GV57" s="817"/>
      <c r="GW57" s="817"/>
      <c r="GX57" s="817"/>
      <c r="GY57" s="817"/>
      <c r="GZ57" s="817"/>
      <c r="HA57" s="817"/>
      <c r="HB57" s="817"/>
      <c r="HC57" s="817"/>
      <c r="HD57" s="817"/>
      <c r="HE57" s="817"/>
      <c r="HF57" s="817"/>
      <c r="HG57" s="817"/>
      <c r="HH57" s="817"/>
      <c r="HI57" s="817"/>
      <c r="HJ57" s="817"/>
      <c r="HK57" s="817"/>
      <c r="HL57" s="817"/>
      <c r="HM57" s="817"/>
      <c r="HN57" s="817"/>
      <c r="HO57" s="817"/>
      <c r="HP57" s="817"/>
      <c r="HQ57" s="817"/>
      <c r="HR57" s="817"/>
      <c r="HS57" s="817"/>
      <c r="HT57" s="817"/>
      <c r="HU57" s="817"/>
      <c r="HV57" s="817"/>
      <c r="HW57" s="817"/>
      <c r="HX57" s="817"/>
      <c r="HY57" s="817"/>
      <c r="HZ57" s="817"/>
      <c r="IA57" s="817"/>
      <c r="IB57" s="817"/>
      <c r="IC57" s="817"/>
      <c r="ID57" s="817"/>
      <c r="IE57" s="817"/>
      <c r="IF57" s="817"/>
      <c r="IG57" s="817"/>
      <c r="IH57" s="817"/>
      <c r="II57" s="817"/>
      <c r="IJ57" s="817"/>
      <c r="IK57" s="817"/>
      <c r="IL57" s="817"/>
      <c r="IM57" s="817"/>
      <c r="IN57" s="817"/>
      <c r="IO57" s="817"/>
      <c r="IP57" s="817"/>
      <c r="IQ57" s="817"/>
      <c r="IR57" s="817"/>
      <c r="IS57" s="817"/>
      <c r="IT57" s="817"/>
      <c r="IU57" s="817"/>
      <c r="IV57" s="817"/>
    </row>
    <row r="58" spans="1:256" ht="10.5" customHeight="1">
      <c r="A58" s="877"/>
      <c r="B58" s="803"/>
      <c r="C58" s="878"/>
      <c r="D58" s="878"/>
      <c r="E58" s="878"/>
      <c r="F58" s="878"/>
      <c r="G58" s="873"/>
      <c r="H58" s="874"/>
      <c r="I58" s="875"/>
      <c r="J58" s="875"/>
      <c r="K58" s="876"/>
      <c r="L58" s="876"/>
      <c r="M58" s="876"/>
      <c r="N58" s="876"/>
      <c r="O58" s="817"/>
      <c r="P58" s="817"/>
      <c r="Q58" s="817"/>
      <c r="R58" s="817"/>
      <c r="S58" s="817"/>
      <c r="T58" s="817"/>
      <c r="U58" s="817"/>
      <c r="V58" s="817"/>
      <c r="W58" s="817"/>
      <c r="X58" s="817"/>
      <c r="Y58" s="817"/>
      <c r="Z58" s="817"/>
      <c r="AA58" s="817"/>
      <c r="AB58" s="817"/>
      <c r="AC58" s="817"/>
      <c r="AD58" s="817"/>
      <c r="AE58" s="817"/>
      <c r="AF58" s="817"/>
      <c r="AG58" s="817"/>
      <c r="AH58" s="817"/>
      <c r="AI58" s="817"/>
      <c r="AJ58" s="817"/>
      <c r="AK58" s="817"/>
      <c r="AL58" s="817"/>
      <c r="AM58" s="817"/>
      <c r="AN58" s="817"/>
      <c r="AO58" s="817"/>
      <c r="AP58" s="817"/>
      <c r="AQ58" s="817"/>
      <c r="AR58" s="817"/>
      <c r="AS58" s="817"/>
      <c r="AT58" s="817"/>
      <c r="AU58" s="817"/>
      <c r="AV58" s="817"/>
      <c r="AW58" s="817"/>
      <c r="AX58" s="817"/>
      <c r="AY58" s="817"/>
      <c r="AZ58" s="817"/>
      <c r="BA58" s="817"/>
      <c r="BB58" s="817"/>
      <c r="BC58" s="817"/>
      <c r="BD58" s="817"/>
      <c r="BE58" s="817"/>
      <c r="BF58" s="817"/>
      <c r="BG58" s="817"/>
      <c r="BH58" s="817"/>
      <c r="BI58" s="817"/>
      <c r="BJ58" s="817"/>
      <c r="BK58" s="817"/>
      <c r="BL58" s="817"/>
      <c r="BM58" s="817"/>
      <c r="BN58" s="817"/>
      <c r="BO58" s="817"/>
      <c r="BP58" s="817"/>
      <c r="BQ58" s="817"/>
      <c r="BR58" s="817"/>
      <c r="BS58" s="817"/>
      <c r="BT58" s="817"/>
      <c r="BU58" s="817"/>
      <c r="BV58" s="817"/>
      <c r="BW58" s="817"/>
      <c r="BX58" s="817"/>
      <c r="BY58" s="817"/>
      <c r="BZ58" s="817"/>
      <c r="CA58" s="817"/>
      <c r="CB58" s="817"/>
      <c r="CC58" s="817"/>
      <c r="CD58" s="817"/>
      <c r="CE58" s="817"/>
      <c r="CF58" s="817"/>
      <c r="CG58" s="817"/>
      <c r="CH58" s="817"/>
      <c r="CI58" s="817"/>
      <c r="CJ58" s="817"/>
      <c r="CK58" s="817"/>
      <c r="CL58" s="817"/>
      <c r="CM58" s="817"/>
      <c r="CN58" s="817"/>
      <c r="CO58" s="817"/>
      <c r="CP58" s="817"/>
      <c r="CQ58" s="817"/>
      <c r="CR58" s="817"/>
      <c r="CS58" s="817"/>
      <c r="CT58" s="817"/>
      <c r="CU58" s="817"/>
      <c r="CV58" s="817"/>
      <c r="CW58" s="817"/>
      <c r="CX58" s="817"/>
      <c r="CY58" s="817"/>
      <c r="CZ58" s="817"/>
      <c r="DA58" s="817"/>
      <c r="DB58" s="817"/>
      <c r="DC58" s="817"/>
      <c r="DD58" s="817"/>
      <c r="DE58" s="817"/>
      <c r="DF58" s="817"/>
      <c r="DG58" s="817"/>
      <c r="DH58" s="817"/>
      <c r="DI58" s="817"/>
      <c r="DJ58" s="817"/>
      <c r="DK58" s="817"/>
      <c r="DL58" s="817"/>
      <c r="DM58" s="817"/>
      <c r="DN58" s="817"/>
      <c r="DO58" s="817"/>
      <c r="DP58" s="817"/>
      <c r="DQ58" s="817"/>
      <c r="DR58" s="817"/>
      <c r="DS58" s="817"/>
      <c r="DT58" s="817"/>
      <c r="DU58" s="817"/>
      <c r="DV58" s="817"/>
      <c r="DW58" s="817"/>
      <c r="DX58" s="817"/>
      <c r="DY58" s="817"/>
      <c r="DZ58" s="817"/>
      <c r="EA58" s="817"/>
      <c r="EB58" s="817"/>
      <c r="EC58" s="817"/>
      <c r="ED58" s="817"/>
      <c r="EE58" s="817"/>
      <c r="EF58" s="817"/>
      <c r="EG58" s="817"/>
      <c r="EH58" s="817"/>
      <c r="EI58" s="817"/>
      <c r="EJ58" s="817"/>
      <c r="EK58" s="817"/>
      <c r="EL58" s="817"/>
      <c r="EM58" s="817"/>
      <c r="EN58" s="817"/>
      <c r="EO58" s="817"/>
      <c r="EP58" s="817"/>
      <c r="EQ58" s="817"/>
      <c r="ER58" s="817"/>
      <c r="ES58" s="817"/>
      <c r="ET58" s="817"/>
      <c r="EU58" s="817"/>
      <c r="EV58" s="817"/>
      <c r="EW58" s="817"/>
      <c r="EX58" s="817"/>
      <c r="EY58" s="817"/>
      <c r="EZ58" s="817"/>
      <c r="FA58" s="817"/>
      <c r="FB58" s="817"/>
      <c r="FC58" s="817"/>
      <c r="FD58" s="817"/>
      <c r="FE58" s="817"/>
      <c r="FF58" s="817"/>
      <c r="FG58" s="817"/>
      <c r="FH58" s="817"/>
      <c r="FI58" s="817"/>
      <c r="FJ58" s="817"/>
      <c r="FK58" s="817"/>
      <c r="FL58" s="817"/>
      <c r="FM58" s="817"/>
      <c r="FN58" s="817"/>
      <c r="FO58" s="817"/>
      <c r="FP58" s="817"/>
      <c r="FQ58" s="817"/>
      <c r="FR58" s="817"/>
      <c r="FS58" s="817"/>
      <c r="FT58" s="817"/>
      <c r="FU58" s="817"/>
      <c r="FV58" s="817"/>
      <c r="FW58" s="817"/>
      <c r="FX58" s="817"/>
      <c r="FY58" s="817"/>
      <c r="FZ58" s="817"/>
      <c r="GA58" s="817"/>
      <c r="GB58" s="817"/>
      <c r="GC58" s="817"/>
      <c r="GD58" s="817"/>
      <c r="GE58" s="817"/>
      <c r="GF58" s="817"/>
      <c r="GG58" s="817"/>
      <c r="GH58" s="817"/>
      <c r="GI58" s="817"/>
      <c r="GJ58" s="817"/>
      <c r="GK58" s="817"/>
      <c r="GL58" s="817"/>
      <c r="GM58" s="817"/>
      <c r="GN58" s="817"/>
      <c r="GO58" s="817"/>
      <c r="GP58" s="817"/>
      <c r="GQ58" s="817"/>
      <c r="GR58" s="817"/>
      <c r="GS58" s="817"/>
      <c r="GT58" s="817"/>
      <c r="GU58" s="817"/>
      <c r="GV58" s="817"/>
      <c r="GW58" s="817"/>
      <c r="GX58" s="817"/>
      <c r="GY58" s="817"/>
      <c r="GZ58" s="817"/>
      <c r="HA58" s="817"/>
      <c r="HB58" s="817"/>
      <c r="HC58" s="817"/>
      <c r="HD58" s="817"/>
      <c r="HE58" s="817"/>
      <c r="HF58" s="817"/>
      <c r="HG58" s="817"/>
      <c r="HH58" s="817"/>
      <c r="HI58" s="817"/>
      <c r="HJ58" s="817"/>
      <c r="HK58" s="817"/>
      <c r="HL58" s="817"/>
      <c r="HM58" s="817"/>
      <c r="HN58" s="817"/>
      <c r="HO58" s="817"/>
      <c r="HP58" s="817"/>
      <c r="HQ58" s="817"/>
      <c r="HR58" s="817"/>
      <c r="HS58" s="817"/>
      <c r="HT58" s="817"/>
      <c r="HU58" s="817"/>
      <c r="HV58" s="817"/>
      <c r="HW58" s="817"/>
      <c r="HX58" s="817"/>
      <c r="HY58" s="817"/>
      <c r="HZ58" s="817"/>
      <c r="IA58" s="817"/>
      <c r="IB58" s="817"/>
      <c r="IC58" s="817"/>
      <c r="ID58" s="817"/>
      <c r="IE58" s="817"/>
      <c r="IF58" s="817"/>
      <c r="IG58" s="817"/>
      <c r="IH58" s="817"/>
      <c r="II58" s="817"/>
      <c r="IJ58" s="817"/>
      <c r="IK58" s="817"/>
      <c r="IL58" s="817"/>
      <c r="IM58" s="817"/>
      <c r="IN58" s="817"/>
      <c r="IO58" s="817"/>
      <c r="IP58" s="817"/>
      <c r="IQ58" s="817"/>
      <c r="IR58" s="817"/>
      <c r="IS58" s="817"/>
      <c r="IT58" s="817"/>
      <c r="IU58" s="817"/>
      <c r="IV58" s="817"/>
    </row>
    <row r="59" spans="1:256" ht="10.5" customHeight="1">
      <c r="A59" s="877"/>
      <c r="B59" s="803"/>
      <c r="C59" s="878"/>
      <c r="D59" s="878"/>
      <c r="E59" s="878"/>
      <c r="F59" s="878"/>
      <c r="G59" s="873"/>
      <c r="H59" s="874"/>
      <c r="I59" s="875"/>
      <c r="J59" s="875"/>
      <c r="K59" s="876"/>
      <c r="L59" s="876"/>
      <c r="M59" s="876"/>
      <c r="N59" s="876"/>
      <c r="O59" s="817"/>
      <c r="P59" s="817"/>
      <c r="Q59" s="817"/>
      <c r="R59" s="817"/>
      <c r="S59" s="817"/>
      <c r="T59" s="817"/>
      <c r="U59" s="817"/>
      <c r="V59" s="817"/>
      <c r="W59" s="817"/>
      <c r="X59" s="817"/>
      <c r="Y59" s="817"/>
      <c r="Z59" s="817"/>
      <c r="AA59" s="817"/>
      <c r="AB59" s="817"/>
      <c r="AC59" s="817"/>
      <c r="AD59" s="817"/>
      <c r="AE59" s="817"/>
      <c r="AF59" s="817"/>
      <c r="AG59" s="817"/>
      <c r="AH59" s="817"/>
      <c r="AI59" s="817"/>
      <c r="AJ59" s="817"/>
      <c r="AK59" s="817"/>
      <c r="AL59" s="817"/>
      <c r="AM59" s="817"/>
      <c r="AN59" s="817"/>
      <c r="AO59" s="817"/>
      <c r="AP59" s="817"/>
      <c r="AQ59" s="817"/>
      <c r="AR59" s="817"/>
      <c r="AS59" s="817"/>
      <c r="AT59" s="817"/>
      <c r="AU59" s="817"/>
      <c r="AV59" s="817"/>
      <c r="AW59" s="817"/>
      <c r="AX59" s="817"/>
      <c r="AY59" s="817"/>
      <c r="AZ59" s="817"/>
      <c r="BA59" s="817"/>
      <c r="BB59" s="817"/>
      <c r="BC59" s="817"/>
      <c r="BD59" s="817"/>
      <c r="BE59" s="817"/>
      <c r="BF59" s="817"/>
      <c r="BG59" s="817"/>
      <c r="BH59" s="817"/>
      <c r="BI59" s="817"/>
      <c r="BJ59" s="817"/>
      <c r="BK59" s="817"/>
      <c r="BL59" s="817"/>
      <c r="BM59" s="817"/>
      <c r="BN59" s="817"/>
      <c r="BO59" s="817"/>
      <c r="BP59" s="817"/>
      <c r="BQ59" s="817"/>
      <c r="BR59" s="817"/>
      <c r="BS59" s="817"/>
      <c r="BT59" s="817"/>
      <c r="BU59" s="817"/>
      <c r="BV59" s="817"/>
      <c r="BW59" s="817"/>
      <c r="BX59" s="817"/>
      <c r="BY59" s="817"/>
      <c r="BZ59" s="817"/>
      <c r="CA59" s="817"/>
      <c r="CB59" s="817"/>
      <c r="CC59" s="817"/>
      <c r="CD59" s="817"/>
      <c r="CE59" s="817"/>
      <c r="CF59" s="817"/>
      <c r="CG59" s="817"/>
      <c r="CH59" s="817"/>
      <c r="CI59" s="817"/>
      <c r="CJ59" s="817"/>
      <c r="CK59" s="817"/>
      <c r="CL59" s="817"/>
      <c r="CM59" s="817"/>
      <c r="CN59" s="817"/>
      <c r="CO59" s="817"/>
      <c r="CP59" s="817"/>
      <c r="CQ59" s="817"/>
      <c r="CR59" s="817"/>
      <c r="CS59" s="817"/>
      <c r="CT59" s="817"/>
      <c r="CU59" s="817"/>
      <c r="CV59" s="817"/>
      <c r="CW59" s="817"/>
      <c r="CX59" s="817"/>
      <c r="CY59" s="817"/>
      <c r="CZ59" s="817"/>
      <c r="DA59" s="817"/>
      <c r="DB59" s="817"/>
      <c r="DC59" s="817"/>
      <c r="DD59" s="817"/>
      <c r="DE59" s="817"/>
      <c r="DF59" s="817"/>
      <c r="DG59" s="817"/>
      <c r="DH59" s="817"/>
      <c r="DI59" s="817"/>
      <c r="DJ59" s="817"/>
      <c r="DK59" s="817"/>
      <c r="DL59" s="817"/>
      <c r="DM59" s="817"/>
      <c r="DN59" s="817"/>
      <c r="DO59" s="817"/>
      <c r="DP59" s="817"/>
      <c r="DQ59" s="817"/>
      <c r="DR59" s="817"/>
      <c r="DS59" s="817"/>
      <c r="DT59" s="817"/>
      <c r="DU59" s="817"/>
      <c r="DV59" s="817"/>
      <c r="DW59" s="817"/>
      <c r="DX59" s="817"/>
      <c r="DY59" s="817"/>
      <c r="DZ59" s="817"/>
      <c r="EA59" s="817"/>
      <c r="EB59" s="817"/>
      <c r="EC59" s="817"/>
      <c r="ED59" s="817"/>
      <c r="EE59" s="817"/>
      <c r="EF59" s="817"/>
      <c r="EG59" s="817"/>
      <c r="EH59" s="817"/>
      <c r="EI59" s="817"/>
      <c r="EJ59" s="817"/>
      <c r="EK59" s="817"/>
      <c r="EL59" s="817"/>
      <c r="EM59" s="817"/>
      <c r="EN59" s="817"/>
      <c r="EO59" s="817"/>
      <c r="EP59" s="817"/>
      <c r="EQ59" s="817"/>
      <c r="ER59" s="817"/>
      <c r="ES59" s="817"/>
      <c r="ET59" s="817"/>
      <c r="EU59" s="817"/>
      <c r="EV59" s="817"/>
      <c r="EW59" s="817"/>
      <c r="EX59" s="817"/>
      <c r="EY59" s="817"/>
      <c r="EZ59" s="817"/>
      <c r="FA59" s="817"/>
      <c r="FB59" s="817"/>
      <c r="FC59" s="817"/>
      <c r="FD59" s="817"/>
      <c r="FE59" s="817"/>
      <c r="FF59" s="817"/>
      <c r="FG59" s="817"/>
      <c r="FH59" s="817"/>
      <c r="FI59" s="817"/>
      <c r="FJ59" s="817"/>
      <c r="FK59" s="817"/>
      <c r="FL59" s="817"/>
      <c r="FM59" s="817"/>
      <c r="FN59" s="817"/>
      <c r="FO59" s="817"/>
      <c r="FP59" s="817"/>
      <c r="FQ59" s="817"/>
      <c r="FR59" s="817"/>
      <c r="FS59" s="817"/>
      <c r="FT59" s="817"/>
      <c r="FU59" s="817"/>
      <c r="FV59" s="817"/>
      <c r="FW59" s="817"/>
      <c r="FX59" s="817"/>
      <c r="FY59" s="817"/>
      <c r="FZ59" s="817"/>
      <c r="GA59" s="817"/>
      <c r="GB59" s="817"/>
      <c r="GC59" s="817"/>
      <c r="GD59" s="817"/>
      <c r="GE59" s="817"/>
      <c r="GF59" s="817"/>
      <c r="GG59" s="817"/>
      <c r="GH59" s="817"/>
      <c r="GI59" s="817"/>
      <c r="GJ59" s="817"/>
      <c r="GK59" s="817"/>
      <c r="GL59" s="817"/>
      <c r="GM59" s="817"/>
      <c r="GN59" s="817"/>
      <c r="GO59" s="817"/>
      <c r="GP59" s="817"/>
      <c r="GQ59" s="817"/>
      <c r="GR59" s="817"/>
      <c r="GS59" s="817"/>
      <c r="GT59" s="817"/>
      <c r="GU59" s="817"/>
      <c r="GV59" s="817"/>
      <c r="GW59" s="817"/>
      <c r="GX59" s="817"/>
      <c r="GY59" s="817"/>
      <c r="GZ59" s="817"/>
      <c r="HA59" s="817"/>
      <c r="HB59" s="817"/>
      <c r="HC59" s="817"/>
      <c r="HD59" s="817"/>
      <c r="HE59" s="817"/>
      <c r="HF59" s="817"/>
      <c r="HG59" s="817"/>
      <c r="HH59" s="817"/>
      <c r="HI59" s="817"/>
      <c r="HJ59" s="817"/>
      <c r="HK59" s="817"/>
      <c r="HL59" s="817"/>
      <c r="HM59" s="817"/>
      <c r="HN59" s="817"/>
      <c r="HO59" s="817"/>
      <c r="HP59" s="817"/>
      <c r="HQ59" s="817"/>
      <c r="HR59" s="817"/>
      <c r="HS59" s="817"/>
      <c r="HT59" s="817"/>
      <c r="HU59" s="817"/>
      <c r="HV59" s="817"/>
      <c r="HW59" s="817"/>
      <c r="HX59" s="817"/>
      <c r="HY59" s="817"/>
      <c r="HZ59" s="817"/>
      <c r="IA59" s="817"/>
      <c r="IB59" s="817"/>
      <c r="IC59" s="817"/>
      <c r="ID59" s="817"/>
      <c r="IE59" s="817"/>
      <c r="IF59" s="817"/>
      <c r="IG59" s="817"/>
      <c r="IH59" s="817"/>
      <c r="II59" s="817"/>
      <c r="IJ59" s="817"/>
      <c r="IK59" s="817"/>
      <c r="IL59" s="817"/>
      <c r="IM59" s="817"/>
      <c r="IN59" s="817"/>
      <c r="IO59" s="817"/>
      <c r="IP59" s="817"/>
      <c r="IQ59" s="817"/>
      <c r="IR59" s="817"/>
      <c r="IS59" s="817"/>
      <c r="IT59" s="817"/>
      <c r="IU59" s="817"/>
      <c r="IV59" s="817"/>
    </row>
    <row r="60" spans="1:256" ht="10.5" customHeight="1">
      <c r="A60" s="877"/>
      <c r="B60" s="803"/>
      <c r="C60" s="878"/>
      <c r="D60" s="878"/>
      <c r="E60" s="878"/>
      <c r="F60" s="878"/>
      <c r="G60" s="873"/>
      <c r="H60" s="874"/>
      <c r="I60" s="875"/>
      <c r="J60" s="875"/>
      <c r="K60" s="876"/>
      <c r="L60" s="876"/>
      <c r="M60" s="876"/>
      <c r="N60" s="876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  <c r="AA60" s="817"/>
      <c r="AB60" s="817"/>
      <c r="AC60" s="817"/>
      <c r="AD60" s="817"/>
      <c r="AE60" s="817"/>
      <c r="AF60" s="817"/>
      <c r="AG60" s="817"/>
      <c r="AH60" s="817"/>
      <c r="AI60" s="817"/>
      <c r="AJ60" s="817"/>
      <c r="AK60" s="817"/>
      <c r="AL60" s="817"/>
      <c r="AM60" s="817"/>
      <c r="AN60" s="817"/>
      <c r="AO60" s="817"/>
      <c r="AP60" s="817"/>
      <c r="AQ60" s="817"/>
      <c r="AR60" s="817"/>
      <c r="AS60" s="817"/>
      <c r="AT60" s="817"/>
      <c r="AU60" s="817"/>
      <c r="AV60" s="817"/>
      <c r="AW60" s="817"/>
      <c r="AX60" s="817"/>
      <c r="AY60" s="817"/>
      <c r="AZ60" s="817"/>
      <c r="BA60" s="817"/>
      <c r="BB60" s="817"/>
      <c r="BC60" s="817"/>
      <c r="BD60" s="817"/>
      <c r="BE60" s="817"/>
      <c r="BF60" s="817"/>
      <c r="BG60" s="817"/>
      <c r="BH60" s="817"/>
      <c r="BI60" s="817"/>
      <c r="BJ60" s="817"/>
      <c r="BK60" s="817"/>
      <c r="BL60" s="817"/>
      <c r="BM60" s="817"/>
      <c r="BN60" s="817"/>
      <c r="BO60" s="817"/>
      <c r="BP60" s="817"/>
      <c r="BQ60" s="817"/>
      <c r="BR60" s="817"/>
      <c r="BS60" s="817"/>
      <c r="BT60" s="817"/>
      <c r="BU60" s="817"/>
      <c r="BV60" s="817"/>
      <c r="BW60" s="817"/>
      <c r="BX60" s="817"/>
      <c r="BY60" s="817"/>
      <c r="BZ60" s="817"/>
      <c r="CA60" s="817"/>
      <c r="CB60" s="817"/>
      <c r="CC60" s="817"/>
      <c r="CD60" s="817"/>
      <c r="CE60" s="817"/>
      <c r="CF60" s="817"/>
      <c r="CG60" s="817"/>
      <c r="CH60" s="817"/>
      <c r="CI60" s="817"/>
      <c r="CJ60" s="817"/>
      <c r="CK60" s="817"/>
      <c r="CL60" s="817"/>
      <c r="CM60" s="817"/>
      <c r="CN60" s="817"/>
      <c r="CO60" s="817"/>
      <c r="CP60" s="817"/>
      <c r="CQ60" s="817"/>
      <c r="CR60" s="817"/>
      <c r="CS60" s="817"/>
      <c r="CT60" s="817"/>
      <c r="CU60" s="817"/>
      <c r="CV60" s="817"/>
      <c r="CW60" s="817"/>
      <c r="CX60" s="817"/>
      <c r="CY60" s="817"/>
      <c r="CZ60" s="817"/>
      <c r="DA60" s="817"/>
      <c r="DB60" s="817"/>
      <c r="DC60" s="817"/>
      <c r="DD60" s="817"/>
      <c r="DE60" s="817"/>
      <c r="DF60" s="817"/>
      <c r="DG60" s="817"/>
      <c r="DH60" s="817"/>
      <c r="DI60" s="817"/>
      <c r="DJ60" s="817"/>
      <c r="DK60" s="817"/>
      <c r="DL60" s="817"/>
      <c r="DM60" s="817"/>
      <c r="DN60" s="817"/>
      <c r="DO60" s="817"/>
      <c r="DP60" s="817"/>
      <c r="DQ60" s="817"/>
      <c r="DR60" s="817"/>
      <c r="DS60" s="817"/>
      <c r="DT60" s="817"/>
      <c r="DU60" s="817"/>
      <c r="DV60" s="817"/>
      <c r="DW60" s="817"/>
      <c r="DX60" s="817"/>
      <c r="DY60" s="817"/>
      <c r="DZ60" s="817"/>
      <c r="EA60" s="817"/>
      <c r="EB60" s="817"/>
      <c r="EC60" s="817"/>
      <c r="ED60" s="817"/>
      <c r="EE60" s="817"/>
      <c r="EF60" s="817"/>
      <c r="EG60" s="817"/>
      <c r="EH60" s="817"/>
      <c r="EI60" s="817"/>
      <c r="EJ60" s="817"/>
      <c r="EK60" s="817"/>
      <c r="EL60" s="817"/>
      <c r="EM60" s="817"/>
      <c r="EN60" s="817"/>
      <c r="EO60" s="817"/>
      <c r="EP60" s="817"/>
      <c r="EQ60" s="817"/>
      <c r="ER60" s="817"/>
      <c r="ES60" s="817"/>
      <c r="ET60" s="817"/>
      <c r="EU60" s="817"/>
      <c r="EV60" s="817"/>
      <c r="EW60" s="817"/>
      <c r="EX60" s="817"/>
      <c r="EY60" s="817"/>
      <c r="EZ60" s="817"/>
      <c r="FA60" s="817"/>
      <c r="FB60" s="817"/>
      <c r="FC60" s="817"/>
      <c r="FD60" s="817"/>
      <c r="FE60" s="817"/>
      <c r="FF60" s="817"/>
      <c r="FG60" s="817"/>
      <c r="FH60" s="817"/>
      <c r="FI60" s="817"/>
      <c r="FJ60" s="817"/>
      <c r="FK60" s="817"/>
      <c r="FL60" s="817"/>
      <c r="FM60" s="817"/>
      <c r="FN60" s="817"/>
      <c r="FO60" s="817"/>
      <c r="FP60" s="817"/>
      <c r="FQ60" s="817"/>
      <c r="FR60" s="817"/>
      <c r="FS60" s="817"/>
      <c r="FT60" s="817"/>
      <c r="FU60" s="817"/>
      <c r="FV60" s="817"/>
      <c r="FW60" s="817"/>
      <c r="FX60" s="817"/>
      <c r="FY60" s="817"/>
      <c r="FZ60" s="817"/>
      <c r="GA60" s="817"/>
      <c r="GB60" s="817"/>
      <c r="GC60" s="817"/>
      <c r="GD60" s="817"/>
      <c r="GE60" s="817"/>
      <c r="GF60" s="817"/>
      <c r="GG60" s="817"/>
      <c r="GH60" s="817"/>
      <c r="GI60" s="817"/>
      <c r="GJ60" s="817"/>
      <c r="GK60" s="817"/>
      <c r="GL60" s="817"/>
      <c r="GM60" s="817"/>
      <c r="GN60" s="817"/>
      <c r="GO60" s="817"/>
      <c r="GP60" s="817"/>
      <c r="GQ60" s="817"/>
      <c r="GR60" s="817"/>
      <c r="GS60" s="817"/>
      <c r="GT60" s="817"/>
      <c r="GU60" s="817"/>
      <c r="GV60" s="817"/>
      <c r="GW60" s="817"/>
      <c r="GX60" s="817"/>
      <c r="GY60" s="817"/>
      <c r="GZ60" s="817"/>
      <c r="HA60" s="817"/>
      <c r="HB60" s="817"/>
      <c r="HC60" s="817"/>
      <c r="HD60" s="817"/>
      <c r="HE60" s="817"/>
      <c r="HF60" s="817"/>
      <c r="HG60" s="817"/>
      <c r="HH60" s="817"/>
      <c r="HI60" s="817"/>
      <c r="HJ60" s="817"/>
      <c r="HK60" s="817"/>
      <c r="HL60" s="817"/>
      <c r="HM60" s="817"/>
      <c r="HN60" s="817"/>
      <c r="HO60" s="817"/>
      <c r="HP60" s="817"/>
      <c r="HQ60" s="817"/>
      <c r="HR60" s="817"/>
      <c r="HS60" s="817"/>
      <c r="HT60" s="817"/>
      <c r="HU60" s="817"/>
      <c r="HV60" s="817"/>
      <c r="HW60" s="817"/>
      <c r="HX60" s="817"/>
      <c r="HY60" s="817"/>
      <c r="HZ60" s="817"/>
      <c r="IA60" s="817"/>
      <c r="IB60" s="817"/>
      <c r="IC60" s="817"/>
      <c r="ID60" s="817"/>
      <c r="IE60" s="817"/>
      <c r="IF60" s="817"/>
      <c r="IG60" s="817"/>
      <c r="IH60" s="817"/>
      <c r="II60" s="817"/>
      <c r="IJ60" s="817"/>
      <c r="IK60" s="817"/>
      <c r="IL60" s="817"/>
      <c r="IM60" s="817"/>
      <c r="IN60" s="817"/>
      <c r="IO60" s="817"/>
      <c r="IP60" s="817"/>
      <c r="IQ60" s="817"/>
      <c r="IR60" s="817"/>
      <c r="IS60" s="817"/>
      <c r="IT60" s="817"/>
      <c r="IU60" s="817"/>
      <c r="IV60" s="817"/>
    </row>
    <row r="61" spans="1:256" ht="10.5" customHeight="1">
      <c r="A61" s="877"/>
      <c r="B61" s="803"/>
      <c r="C61" s="878"/>
      <c r="D61" s="878"/>
      <c r="E61" s="878"/>
      <c r="F61" s="878"/>
      <c r="G61" s="873"/>
      <c r="H61" s="874"/>
      <c r="I61" s="875"/>
      <c r="J61" s="875"/>
      <c r="K61" s="876"/>
      <c r="L61" s="876"/>
      <c r="M61" s="876"/>
      <c r="N61" s="876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  <c r="AA61" s="817"/>
      <c r="AB61" s="817"/>
      <c r="AC61" s="817"/>
      <c r="AD61" s="817"/>
      <c r="AE61" s="817"/>
      <c r="AF61" s="817"/>
      <c r="AG61" s="817"/>
      <c r="AH61" s="817"/>
      <c r="AI61" s="817"/>
      <c r="AJ61" s="817"/>
      <c r="AK61" s="817"/>
      <c r="AL61" s="817"/>
      <c r="AM61" s="817"/>
      <c r="AN61" s="817"/>
      <c r="AO61" s="817"/>
      <c r="AP61" s="817"/>
      <c r="AQ61" s="817"/>
      <c r="AR61" s="817"/>
      <c r="AS61" s="817"/>
      <c r="AT61" s="817"/>
      <c r="AU61" s="817"/>
      <c r="AV61" s="817"/>
      <c r="AW61" s="817"/>
      <c r="AX61" s="817"/>
      <c r="AY61" s="817"/>
      <c r="AZ61" s="817"/>
      <c r="BA61" s="817"/>
      <c r="BB61" s="817"/>
      <c r="BC61" s="817"/>
      <c r="BD61" s="817"/>
      <c r="BE61" s="817"/>
      <c r="BF61" s="817"/>
      <c r="BG61" s="817"/>
      <c r="BH61" s="817"/>
      <c r="BI61" s="817"/>
      <c r="BJ61" s="817"/>
      <c r="BK61" s="817"/>
      <c r="BL61" s="817"/>
      <c r="BM61" s="817"/>
      <c r="BN61" s="817"/>
      <c r="BO61" s="817"/>
      <c r="BP61" s="817"/>
      <c r="BQ61" s="817"/>
      <c r="BR61" s="817"/>
      <c r="BS61" s="817"/>
      <c r="BT61" s="817"/>
      <c r="BU61" s="817"/>
      <c r="BV61" s="817"/>
      <c r="BW61" s="817"/>
      <c r="BX61" s="817"/>
      <c r="BY61" s="817"/>
      <c r="BZ61" s="817"/>
      <c r="CA61" s="817"/>
      <c r="CB61" s="817"/>
      <c r="CC61" s="817"/>
      <c r="CD61" s="817"/>
      <c r="CE61" s="817"/>
      <c r="CF61" s="817"/>
      <c r="CG61" s="817"/>
      <c r="CH61" s="817"/>
      <c r="CI61" s="817"/>
      <c r="CJ61" s="817"/>
      <c r="CK61" s="817"/>
      <c r="CL61" s="817"/>
      <c r="CM61" s="817"/>
      <c r="CN61" s="817"/>
      <c r="CO61" s="817"/>
      <c r="CP61" s="817"/>
      <c r="CQ61" s="817"/>
      <c r="CR61" s="817"/>
      <c r="CS61" s="817"/>
      <c r="CT61" s="817"/>
      <c r="CU61" s="817"/>
      <c r="CV61" s="817"/>
      <c r="CW61" s="817"/>
      <c r="CX61" s="817"/>
      <c r="CY61" s="817"/>
      <c r="CZ61" s="817"/>
      <c r="DA61" s="817"/>
      <c r="DB61" s="817"/>
      <c r="DC61" s="817"/>
      <c r="DD61" s="817"/>
      <c r="DE61" s="817"/>
      <c r="DF61" s="817"/>
      <c r="DG61" s="817"/>
      <c r="DH61" s="817"/>
      <c r="DI61" s="817"/>
      <c r="DJ61" s="817"/>
      <c r="DK61" s="817"/>
      <c r="DL61" s="817"/>
      <c r="DM61" s="817"/>
      <c r="DN61" s="817"/>
      <c r="DO61" s="817"/>
      <c r="DP61" s="817"/>
      <c r="DQ61" s="817"/>
      <c r="DR61" s="817"/>
      <c r="DS61" s="817"/>
      <c r="DT61" s="817"/>
      <c r="DU61" s="817"/>
      <c r="DV61" s="817"/>
      <c r="DW61" s="817"/>
      <c r="DX61" s="817"/>
      <c r="DY61" s="817"/>
      <c r="DZ61" s="817"/>
      <c r="EA61" s="817"/>
      <c r="EB61" s="817"/>
      <c r="EC61" s="817"/>
      <c r="ED61" s="817"/>
      <c r="EE61" s="817"/>
      <c r="EF61" s="817"/>
      <c r="EG61" s="817"/>
      <c r="EH61" s="817"/>
      <c r="EI61" s="817"/>
      <c r="EJ61" s="817"/>
      <c r="EK61" s="817"/>
      <c r="EL61" s="817"/>
      <c r="EM61" s="817"/>
      <c r="EN61" s="817"/>
      <c r="EO61" s="817"/>
      <c r="EP61" s="817"/>
      <c r="EQ61" s="817"/>
      <c r="ER61" s="817"/>
      <c r="ES61" s="817"/>
      <c r="ET61" s="817"/>
      <c r="EU61" s="817"/>
      <c r="EV61" s="817"/>
      <c r="EW61" s="817"/>
      <c r="EX61" s="817"/>
      <c r="EY61" s="817"/>
      <c r="EZ61" s="817"/>
      <c r="FA61" s="817"/>
      <c r="FB61" s="817"/>
      <c r="FC61" s="817"/>
      <c r="FD61" s="817"/>
      <c r="FE61" s="817"/>
      <c r="FF61" s="817"/>
      <c r="FG61" s="817"/>
      <c r="FH61" s="817"/>
      <c r="FI61" s="817"/>
      <c r="FJ61" s="817"/>
      <c r="FK61" s="817"/>
      <c r="FL61" s="817"/>
      <c r="FM61" s="817"/>
      <c r="FN61" s="817"/>
      <c r="FO61" s="817"/>
      <c r="FP61" s="817"/>
      <c r="FQ61" s="817"/>
      <c r="FR61" s="817"/>
      <c r="FS61" s="817"/>
      <c r="FT61" s="817"/>
      <c r="FU61" s="817"/>
      <c r="FV61" s="817"/>
      <c r="FW61" s="817"/>
      <c r="FX61" s="817"/>
      <c r="FY61" s="817"/>
      <c r="FZ61" s="817"/>
      <c r="GA61" s="817"/>
      <c r="GB61" s="817"/>
      <c r="GC61" s="817"/>
      <c r="GD61" s="817"/>
      <c r="GE61" s="817"/>
      <c r="GF61" s="817"/>
      <c r="GG61" s="817"/>
      <c r="GH61" s="817"/>
      <c r="GI61" s="817"/>
      <c r="GJ61" s="817"/>
      <c r="GK61" s="817"/>
      <c r="GL61" s="817"/>
      <c r="GM61" s="817"/>
      <c r="GN61" s="817"/>
      <c r="GO61" s="817"/>
      <c r="GP61" s="817"/>
      <c r="GQ61" s="817"/>
      <c r="GR61" s="817"/>
      <c r="GS61" s="817"/>
      <c r="GT61" s="817"/>
      <c r="GU61" s="817"/>
      <c r="GV61" s="817"/>
      <c r="GW61" s="817"/>
      <c r="GX61" s="817"/>
      <c r="GY61" s="817"/>
      <c r="GZ61" s="817"/>
      <c r="HA61" s="817"/>
      <c r="HB61" s="817"/>
      <c r="HC61" s="817"/>
      <c r="HD61" s="817"/>
      <c r="HE61" s="817"/>
      <c r="HF61" s="817"/>
      <c r="HG61" s="817"/>
      <c r="HH61" s="817"/>
      <c r="HI61" s="817"/>
      <c r="HJ61" s="817"/>
      <c r="HK61" s="817"/>
      <c r="HL61" s="817"/>
      <c r="HM61" s="817"/>
      <c r="HN61" s="817"/>
      <c r="HO61" s="817"/>
      <c r="HP61" s="817"/>
      <c r="HQ61" s="817"/>
      <c r="HR61" s="817"/>
      <c r="HS61" s="817"/>
      <c r="HT61" s="817"/>
      <c r="HU61" s="817"/>
      <c r="HV61" s="817"/>
      <c r="HW61" s="817"/>
      <c r="HX61" s="817"/>
      <c r="HY61" s="817"/>
      <c r="HZ61" s="817"/>
      <c r="IA61" s="817"/>
      <c r="IB61" s="817"/>
      <c r="IC61" s="817"/>
      <c r="ID61" s="817"/>
      <c r="IE61" s="817"/>
      <c r="IF61" s="817"/>
      <c r="IG61" s="817"/>
      <c r="IH61" s="817"/>
      <c r="II61" s="817"/>
      <c r="IJ61" s="817"/>
      <c r="IK61" s="817"/>
      <c r="IL61" s="817"/>
      <c r="IM61" s="817"/>
      <c r="IN61" s="817"/>
      <c r="IO61" s="817"/>
      <c r="IP61" s="817"/>
      <c r="IQ61" s="817"/>
      <c r="IR61" s="817"/>
      <c r="IS61" s="817"/>
      <c r="IT61" s="817"/>
      <c r="IU61" s="817"/>
      <c r="IV61" s="817"/>
    </row>
    <row r="62" spans="1:256" ht="12" customHeight="1">
      <c r="A62" s="877"/>
      <c r="B62" s="803"/>
      <c r="C62" s="878"/>
      <c r="D62" s="878"/>
      <c r="E62" s="878"/>
      <c r="F62" s="878"/>
      <c r="G62" s="873"/>
      <c r="H62" s="874"/>
      <c r="I62" s="875"/>
      <c r="J62" s="875"/>
      <c r="K62" s="876"/>
      <c r="L62" s="876"/>
      <c r="M62" s="876"/>
      <c r="N62" s="876"/>
      <c r="O62" s="817"/>
      <c r="P62" s="817"/>
      <c r="Q62" s="817"/>
      <c r="R62" s="817"/>
      <c r="S62" s="817"/>
      <c r="T62" s="817"/>
      <c r="U62" s="817"/>
      <c r="V62" s="817"/>
      <c r="W62" s="817"/>
      <c r="X62" s="817"/>
      <c r="Y62" s="817"/>
      <c r="Z62" s="817"/>
      <c r="AA62" s="817"/>
      <c r="AB62" s="817"/>
      <c r="AC62" s="817"/>
      <c r="AD62" s="817"/>
      <c r="AE62" s="817"/>
      <c r="AF62" s="817"/>
      <c r="AG62" s="817"/>
      <c r="AH62" s="817"/>
      <c r="AI62" s="817"/>
      <c r="AJ62" s="817"/>
      <c r="AK62" s="817"/>
      <c r="AL62" s="817"/>
      <c r="AM62" s="817"/>
      <c r="AN62" s="817"/>
      <c r="AO62" s="817"/>
      <c r="AP62" s="817"/>
      <c r="AQ62" s="817"/>
      <c r="AR62" s="817"/>
      <c r="AS62" s="817"/>
      <c r="AT62" s="817"/>
      <c r="AU62" s="817"/>
      <c r="AV62" s="817"/>
      <c r="AW62" s="817"/>
      <c r="AX62" s="817"/>
      <c r="AY62" s="817"/>
      <c r="AZ62" s="817"/>
      <c r="BA62" s="817"/>
      <c r="BB62" s="817"/>
      <c r="BC62" s="817"/>
      <c r="BD62" s="817"/>
      <c r="BE62" s="817"/>
      <c r="BF62" s="817"/>
      <c r="BG62" s="817"/>
      <c r="BH62" s="817"/>
      <c r="BI62" s="817"/>
      <c r="BJ62" s="817"/>
      <c r="BK62" s="817"/>
      <c r="BL62" s="817"/>
      <c r="BM62" s="817"/>
      <c r="BN62" s="817"/>
      <c r="BO62" s="817"/>
      <c r="BP62" s="817"/>
      <c r="BQ62" s="817"/>
      <c r="BR62" s="817"/>
      <c r="BS62" s="817"/>
      <c r="BT62" s="817"/>
      <c r="BU62" s="817"/>
      <c r="BV62" s="817"/>
      <c r="BW62" s="817"/>
      <c r="BX62" s="817"/>
      <c r="BY62" s="817"/>
      <c r="BZ62" s="817"/>
      <c r="CA62" s="817"/>
      <c r="CB62" s="817"/>
      <c r="CC62" s="817"/>
      <c r="CD62" s="817"/>
      <c r="CE62" s="817"/>
      <c r="CF62" s="817"/>
      <c r="CG62" s="817"/>
      <c r="CH62" s="817"/>
      <c r="CI62" s="817"/>
      <c r="CJ62" s="817"/>
      <c r="CK62" s="817"/>
      <c r="CL62" s="817"/>
      <c r="CM62" s="817"/>
      <c r="CN62" s="817"/>
      <c r="CO62" s="817"/>
      <c r="CP62" s="817"/>
      <c r="CQ62" s="817"/>
      <c r="CR62" s="817"/>
      <c r="CS62" s="817"/>
      <c r="CT62" s="817"/>
      <c r="CU62" s="817"/>
      <c r="CV62" s="817"/>
      <c r="CW62" s="817"/>
      <c r="CX62" s="817"/>
      <c r="CY62" s="817"/>
      <c r="CZ62" s="817"/>
      <c r="DA62" s="817"/>
      <c r="DB62" s="817"/>
      <c r="DC62" s="817"/>
      <c r="DD62" s="817"/>
      <c r="DE62" s="817"/>
      <c r="DF62" s="817"/>
      <c r="DG62" s="817"/>
      <c r="DH62" s="817"/>
      <c r="DI62" s="817"/>
      <c r="DJ62" s="817"/>
      <c r="DK62" s="817"/>
      <c r="DL62" s="817"/>
      <c r="DM62" s="817"/>
      <c r="DN62" s="817"/>
      <c r="DO62" s="817"/>
      <c r="DP62" s="817"/>
      <c r="DQ62" s="817"/>
      <c r="DR62" s="817"/>
      <c r="DS62" s="817"/>
      <c r="DT62" s="817"/>
      <c r="DU62" s="817"/>
      <c r="DV62" s="817"/>
      <c r="DW62" s="817"/>
      <c r="DX62" s="817"/>
      <c r="DY62" s="817"/>
      <c r="DZ62" s="817"/>
      <c r="EA62" s="817"/>
      <c r="EB62" s="817"/>
      <c r="EC62" s="817"/>
      <c r="ED62" s="817"/>
      <c r="EE62" s="817"/>
      <c r="EF62" s="817"/>
      <c r="EG62" s="817"/>
      <c r="EH62" s="817"/>
      <c r="EI62" s="817"/>
      <c r="EJ62" s="817"/>
      <c r="EK62" s="817"/>
      <c r="EL62" s="817"/>
      <c r="EM62" s="817"/>
      <c r="EN62" s="817"/>
      <c r="EO62" s="817"/>
      <c r="EP62" s="817"/>
      <c r="EQ62" s="817"/>
      <c r="ER62" s="817"/>
      <c r="ES62" s="817"/>
      <c r="ET62" s="817"/>
      <c r="EU62" s="817"/>
      <c r="EV62" s="817"/>
      <c r="EW62" s="817"/>
      <c r="EX62" s="817"/>
      <c r="EY62" s="817"/>
      <c r="EZ62" s="817"/>
      <c r="FA62" s="817"/>
      <c r="FB62" s="817"/>
      <c r="FC62" s="817"/>
      <c r="FD62" s="817"/>
      <c r="FE62" s="817"/>
      <c r="FF62" s="817"/>
      <c r="FG62" s="817"/>
      <c r="FH62" s="817"/>
      <c r="FI62" s="817"/>
      <c r="FJ62" s="817"/>
      <c r="FK62" s="817"/>
      <c r="FL62" s="817"/>
      <c r="FM62" s="817"/>
      <c r="FN62" s="817"/>
      <c r="FO62" s="817"/>
      <c r="FP62" s="817"/>
      <c r="FQ62" s="817"/>
      <c r="FR62" s="817"/>
      <c r="FS62" s="817"/>
      <c r="FT62" s="817"/>
      <c r="FU62" s="817"/>
      <c r="FV62" s="817"/>
      <c r="FW62" s="817"/>
      <c r="FX62" s="817"/>
      <c r="FY62" s="817"/>
      <c r="FZ62" s="817"/>
      <c r="GA62" s="817"/>
      <c r="GB62" s="817"/>
      <c r="GC62" s="817"/>
      <c r="GD62" s="817"/>
      <c r="GE62" s="817"/>
      <c r="GF62" s="817"/>
      <c r="GG62" s="817"/>
      <c r="GH62" s="817"/>
      <c r="GI62" s="817"/>
      <c r="GJ62" s="817"/>
      <c r="GK62" s="817"/>
      <c r="GL62" s="817"/>
      <c r="GM62" s="817"/>
      <c r="GN62" s="817"/>
      <c r="GO62" s="817"/>
      <c r="GP62" s="817"/>
      <c r="GQ62" s="817"/>
      <c r="GR62" s="817"/>
      <c r="GS62" s="817"/>
      <c r="GT62" s="817"/>
      <c r="GU62" s="817"/>
      <c r="GV62" s="817"/>
      <c r="GW62" s="817"/>
      <c r="GX62" s="817"/>
      <c r="GY62" s="817"/>
      <c r="GZ62" s="817"/>
      <c r="HA62" s="817"/>
      <c r="HB62" s="817"/>
      <c r="HC62" s="817"/>
      <c r="HD62" s="817"/>
      <c r="HE62" s="817"/>
      <c r="HF62" s="817"/>
      <c r="HG62" s="817"/>
      <c r="HH62" s="817"/>
      <c r="HI62" s="817"/>
      <c r="HJ62" s="817"/>
      <c r="HK62" s="817"/>
      <c r="HL62" s="817"/>
      <c r="HM62" s="817"/>
      <c r="HN62" s="817"/>
      <c r="HO62" s="817"/>
      <c r="HP62" s="817"/>
      <c r="HQ62" s="817"/>
      <c r="HR62" s="817"/>
      <c r="HS62" s="817"/>
      <c r="HT62" s="817"/>
      <c r="HU62" s="817"/>
      <c r="HV62" s="817"/>
      <c r="HW62" s="817"/>
      <c r="HX62" s="817"/>
      <c r="HY62" s="817"/>
      <c r="HZ62" s="817"/>
      <c r="IA62" s="817"/>
      <c r="IB62" s="817"/>
      <c r="IC62" s="817"/>
      <c r="ID62" s="817"/>
      <c r="IE62" s="817"/>
      <c r="IF62" s="817"/>
      <c r="IG62" s="817"/>
      <c r="IH62" s="817"/>
      <c r="II62" s="817"/>
      <c r="IJ62" s="817"/>
      <c r="IK62" s="817"/>
      <c r="IL62" s="817"/>
      <c r="IM62" s="817"/>
      <c r="IN62" s="817"/>
      <c r="IO62" s="817"/>
      <c r="IP62" s="817"/>
      <c r="IQ62" s="817"/>
      <c r="IR62" s="817"/>
      <c r="IS62" s="817"/>
      <c r="IT62" s="817"/>
      <c r="IU62" s="817"/>
      <c r="IV62" s="817"/>
    </row>
    <row r="63" spans="1:256" ht="9.75" customHeight="1">
      <c r="C63" s="881"/>
      <c r="D63" s="881"/>
      <c r="E63" s="881"/>
      <c r="F63" s="881"/>
      <c r="G63" s="873"/>
      <c r="H63" s="874"/>
      <c r="I63" s="875"/>
      <c r="J63" s="875"/>
      <c r="K63" s="876"/>
      <c r="L63" s="876"/>
      <c r="M63" s="876"/>
      <c r="N63" s="876"/>
      <c r="O63" s="817"/>
      <c r="P63" s="817"/>
      <c r="Q63" s="817"/>
      <c r="R63" s="817"/>
      <c r="S63" s="817"/>
      <c r="T63" s="817"/>
      <c r="U63" s="817"/>
      <c r="V63" s="817"/>
      <c r="W63" s="817"/>
      <c r="X63" s="817"/>
      <c r="Y63" s="817"/>
      <c r="Z63" s="817"/>
      <c r="AA63" s="817"/>
      <c r="AB63" s="817"/>
      <c r="AC63" s="817"/>
      <c r="AD63" s="817"/>
      <c r="AE63" s="817"/>
      <c r="AF63" s="817"/>
      <c r="AG63" s="817"/>
      <c r="AH63" s="817"/>
      <c r="AI63" s="817"/>
      <c r="AJ63" s="817"/>
      <c r="AK63" s="817"/>
      <c r="AL63" s="817"/>
      <c r="AM63" s="817"/>
      <c r="AN63" s="817"/>
      <c r="AO63" s="817"/>
      <c r="AP63" s="817"/>
      <c r="AQ63" s="817"/>
      <c r="AR63" s="817"/>
      <c r="AS63" s="817"/>
      <c r="AT63" s="817"/>
      <c r="AU63" s="817"/>
      <c r="AV63" s="817"/>
      <c r="AW63" s="817"/>
      <c r="AX63" s="817"/>
      <c r="AY63" s="817"/>
      <c r="AZ63" s="817"/>
      <c r="BA63" s="817"/>
      <c r="BB63" s="817"/>
      <c r="BC63" s="817"/>
      <c r="BD63" s="817"/>
      <c r="BE63" s="817"/>
      <c r="BF63" s="817"/>
      <c r="BG63" s="817"/>
      <c r="BH63" s="817"/>
      <c r="BI63" s="817"/>
      <c r="BJ63" s="817"/>
      <c r="BK63" s="817"/>
      <c r="BL63" s="817"/>
      <c r="BM63" s="817"/>
      <c r="BN63" s="817"/>
      <c r="BO63" s="817"/>
      <c r="BP63" s="817"/>
      <c r="BQ63" s="817"/>
      <c r="BR63" s="817"/>
      <c r="BS63" s="817"/>
      <c r="BT63" s="817"/>
      <c r="BU63" s="817"/>
      <c r="BV63" s="817"/>
      <c r="BW63" s="817"/>
      <c r="BX63" s="817"/>
      <c r="BY63" s="817"/>
      <c r="BZ63" s="817"/>
      <c r="CA63" s="817"/>
      <c r="CB63" s="817"/>
      <c r="CC63" s="817"/>
      <c r="CD63" s="817"/>
      <c r="CE63" s="817"/>
      <c r="CF63" s="817"/>
      <c r="CG63" s="817"/>
      <c r="CH63" s="817"/>
      <c r="CI63" s="817"/>
      <c r="CJ63" s="817"/>
      <c r="CK63" s="817"/>
      <c r="CL63" s="817"/>
      <c r="CM63" s="817"/>
      <c r="CN63" s="817"/>
      <c r="CO63" s="817"/>
      <c r="CP63" s="817"/>
      <c r="CQ63" s="817"/>
      <c r="CR63" s="817"/>
      <c r="CS63" s="817"/>
      <c r="CT63" s="817"/>
      <c r="CU63" s="817"/>
      <c r="CV63" s="817"/>
      <c r="CW63" s="817"/>
      <c r="CX63" s="817"/>
      <c r="CY63" s="817"/>
      <c r="CZ63" s="817"/>
      <c r="DA63" s="817"/>
      <c r="DB63" s="817"/>
      <c r="DC63" s="817"/>
      <c r="DD63" s="817"/>
      <c r="DE63" s="817"/>
      <c r="DF63" s="817"/>
      <c r="DG63" s="817"/>
      <c r="DH63" s="817"/>
      <c r="DI63" s="817"/>
      <c r="DJ63" s="817"/>
      <c r="DK63" s="817"/>
      <c r="DL63" s="817"/>
      <c r="DM63" s="817"/>
      <c r="DN63" s="817"/>
      <c r="DO63" s="817"/>
      <c r="DP63" s="817"/>
      <c r="DQ63" s="817"/>
      <c r="DR63" s="817"/>
      <c r="DS63" s="817"/>
      <c r="DT63" s="817"/>
      <c r="DU63" s="817"/>
      <c r="DV63" s="817"/>
      <c r="DW63" s="817"/>
      <c r="DX63" s="817"/>
      <c r="DY63" s="817"/>
      <c r="DZ63" s="817"/>
      <c r="EA63" s="817"/>
      <c r="EB63" s="817"/>
      <c r="EC63" s="817"/>
      <c r="ED63" s="817"/>
      <c r="EE63" s="817"/>
      <c r="EF63" s="817"/>
      <c r="EG63" s="817"/>
      <c r="EH63" s="817"/>
      <c r="EI63" s="817"/>
      <c r="EJ63" s="817"/>
      <c r="EK63" s="817"/>
      <c r="EL63" s="817"/>
      <c r="EM63" s="817"/>
      <c r="EN63" s="817"/>
      <c r="EO63" s="817"/>
      <c r="EP63" s="817"/>
      <c r="EQ63" s="817"/>
      <c r="ER63" s="817"/>
      <c r="ES63" s="817"/>
      <c r="ET63" s="817"/>
      <c r="EU63" s="817"/>
      <c r="EV63" s="817"/>
      <c r="EW63" s="817"/>
      <c r="EX63" s="817"/>
      <c r="EY63" s="817"/>
      <c r="EZ63" s="817"/>
      <c r="FA63" s="817"/>
      <c r="FB63" s="817"/>
      <c r="FC63" s="817"/>
      <c r="FD63" s="817"/>
      <c r="FE63" s="817"/>
      <c r="FF63" s="817"/>
      <c r="FG63" s="817"/>
      <c r="FH63" s="817"/>
      <c r="FI63" s="817"/>
      <c r="FJ63" s="817"/>
      <c r="FK63" s="817"/>
      <c r="FL63" s="817"/>
      <c r="FM63" s="817"/>
      <c r="FN63" s="817"/>
      <c r="FO63" s="817"/>
      <c r="FP63" s="817"/>
      <c r="FQ63" s="817"/>
      <c r="FR63" s="817"/>
      <c r="FS63" s="817"/>
      <c r="FT63" s="817"/>
      <c r="FU63" s="817"/>
      <c r="FV63" s="817"/>
      <c r="FW63" s="817"/>
      <c r="FX63" s="817"/>
      <c r="FY63" s="817"/>
      <c r="FZ63" s="817"/>
      <c r="GA63" s="817"/>
      <c r="GB63" s="817"/>
      <c r="GC63" s="817"/>
      <c r="GD63" s="817"/>
      <c r="GE63" s="817"/>
      <c r="GF63" s="817"/>
      <c r="GG63" s="817"/>
      <c r="GH63" s="817"/>
      <c r="GI63" s="817"/>
      <c r="GJ63" s="817"/>
      <c r="GK63" s="817"/>
      <c r="GL63" s="817"/>
      <c r="GM63" s="817"/>
      <c r="GN63" s="817"/>
      <c r="GO63" s="817"/>
      <c r="GP63" s="817"/>
      <c r="GQ63" s="817"/>
      <c r="GR63" s="817"/>
      <c r="GS63" s="817"/>
      <c r="GT63" s="817"/>
      <c r="GU63" s="817"/>
      <c r="GV63" s="817"/>
      <c r="GW63" s="817"/>
      <c r="GX63" s="817"/>
      <c r="GY63" s="817"/>
      <c r="GZ63" s="817"/>
      <c r="HA63" s="817"/>
      <c r="HB63" s="817"/>
      <c r="HC63" s="817"/>
      <c r="HD63" s="817"/>
      <c r="HE63" s="817"/>
      <c r="HF63" s="817"/>
      <c r="HG63" s="817"/>
      <c r="HH63" s="817"/>
      <c r="HI63" s="817"/>
      <c r="HJ63" s="817"/>
      <c r="HK63" s="817"/>
      <c r="HL63" s="817"/>
      <c r="HM63" s="817"/>
      <c r="HN63" s="817"/>
      <c r="HO63" s="817"/>
      <c r="HP63" s="817"/>
      <c r="HQ63" s="817"/>
      <c r="HR63" s="817"/>
      <c r="HS63" s="817"/>
      <c r="HT63" s="817"/>
      <c r="HU63" s="817"/>
      <c r="HV63" s="817"/>
      <c r="HW63" s="817"/>
      <c r="HX63" s="817"/>
      <c r="HY63" s="817"/>
      <c r="HZ63" s="817"/>
      <c r="IA63" s="817"/>
      <c r="IB63" s="817"/>
      <c r="IC63" s="817"/>
      <c r="ID63" s="817"/>
      <c r="IE63" s="817"/>
      <c r="IF63" s="817"/>
      <c r="IG63" s="817"/>
      <c r="IH63" s="817"/>
      <c r="II63" s="817"/>
      <c r="IJ63" s="817"/>
      <c r="IK63" s="817"/>
      <c r="IL63" s="817"/>
      <c r="IM63" s="817"/>
      <c r="IN63" s="817"/>
      <c r="IO63" s="817"/>
      <c r="IP63" s="817"/>
      <c r="IQ63" s="817"/>
      <c r="IR63" s="817"/>
      <c r="IS63" s="817"/>
      <c r="IT63" s="817"/>
      <c r="IU63" s="817"/>
      <c r="IV63" s="817"/>
    </row>
    <row r="64" spans="1:256" ht="6" customHeight="1">
      <c r="C64" s="881"/>
      <c r="D64" s="881"/>
      <c r="E64" s="881"/>
      <c r="F64" s="881"/>
      <c r="G64" s="873"/>
      <c r="H64" s="874"/>
      <c r="I64" s="875"/>
      <c r="J64" s="875"/>
      <c r="K64" s="882"/>
      <c r="L64" s="882"/>
      <c r="M64" s="882"/>
      <c r="N64" s="882"/>
      <c r="O64" s="817"/>
      <c r="P64" s="817"/>
      <c r="Q64" s="817"/>
      <c r="R64" s="817"/>
      <c r="S64" s="817"/>
      <c r="T64" s="817"/>
      <c r="U64" s="817"/>
      <c r="V64" s="817"/>
      <c r="W64" s="817"/>
      <c r="X64" s="817"/>
      <c r="Y64" s="817"/>
      <c r="Z64" s="817"/>
      <c r="AA64" s="817"/>
      <c r="AB64" s="817"/>
      <c r="AC64" s="817"/>
      <c r="AD64" s="817"/>
      <c r="AE64" s="817"/>
      <c r="AF64" s="817"/>
      <c r="AG64" s="817"/>
      <c r="AH64" s="817"/>
      <c r="AI64" s="817"/>
      <c r="AJ64" s="817"/>
      <c r="AK64" s="817"/>
      <c r="AL64" s="817"/>
      <c r="AM64" s="817"/>
      <c r="AN64" s="817"/>
      <c r="AO64" s="817"/>
      <c r="AP64" s="817"/>
      <c r="AQ64" s="817"/>
      <c r="AR64" s="817"/>
      <c r="AS64" s="817"/>
      <c r="AT64" s="817"/>
      <c r="AU64" s="817"/>
      <c r="AV64" s="817"/>
      <c r="AW64" s="817"/>
      <c r="AX64" s="817"/>
      <c r="AY64" s="817"/>
      <c r="AZ64" s="817"/>
      <c r="BA64" s="817"/>
      <c r="BB64" s="817"/>
      <c r="BC64" s="817"/>
      <c r="BD64" s="817"/>
      <c r="BE64" s="817"/>
      <c r="BF64" s="817"/>
      <c r="BG64" s="817"/>
      <c r="BH64" s="817"/>
      <c r="BI64" s="817"/>
      <c r="BJ64" s="817"/>
      <c r="BK64" s="817"/>
      <c r="BL64" s="817"/>
      <c r="BM64" s="817"/>
      <c r="BN64" s="817"/>
      <c r="BO64" s="817"/>
      <c r="BP64" s="817"/>
      <c r="BQ64" s="817"/>
      <c r="BR64" s="817"/>
      <c r="BS64" s="817"/>
      <c r="BT64" s="817"/>
      <c r="BU64" s="817"/>
      <c r="BV64" s="817"/>
      <c r="BW64" s="817"/>
      <c r="BX64" s="817"/>
      <c r="BY64" s="817"/>
      <c r="BZ64" s="817"/>
      <c r="CA64" s="817"/>
      <c r="CB64" s="817"/>
      <c r="CC64" s="817"/>
      <c r="CD64" s="817"/>
      <c r="CE64" s="817"/>
      <c r="CF64" s="817"/>
      <c r="CG64" s="817"/>
      <c r="CH64" s="817"/>
      <c r="CI64" s="817"/>
      <c r="CJ64" s="817"/>
      <c r="CK64" s="817"/>
      <c r="CL64" s="817"/>
      <c r="CM64" s="817"/>
      <c r="CN64" s="817"/>
      <c r="CO64" s="817"/>
      <c r="CP64" s="817"/>
      <c r="CQ64" s="817"/>
      <c r="CR64" s="817"/>
      <c r="CS64" s="817"/>
      <c r="CT64" s="817"/>
      <c r="CU64" s="817"/>
      <c r="CV64" s="817"/>
      <c r="CW64" s="817"/>
      <c r="CX64" s="817"/>
      <c r="CY64" s="817"/>
      <c r="CZ64" s="817"/>
      <c r="DA64" s="817"/>
      <c r="DB64" s="817"/>
      <c r="DC64" s="817"/>
      <c r="DD64" s="817"/>
      <c r="DE64" s="817"/>
      <c r="DF64" s="817"/>
      <c r="DG64" s="817"/>
      <c r="DH64" s="817"/>
      <c r="DI64" s="817"/>
      <c r="DJ64" s="817"/>
      <c r="DK64" s="817"/>
      <c r="DL64" s="817"/>
      <c r="DM64" s="817"/>
      <c r="DN64" s="817"/>
      <c r="DO64" s="817"/>
      <c r="DP64" s="817"/>
      <c r="DQ64" s="817"/>
      <c r="DR64" s="817"/>
      <c r="DS64" s="817"/>
      <c r="DT64" s="817"/>
      <c r="DU64" s="817"/>
      <c r="DV64" s="817"/>
      <c r="DW64" s="817"/>
      <c r="DX64" s="817"/>
      <c r="DY64" s="817"/>
      <c r="DZ64" s="817"/>
      <c r="EA64" s="817"/>
      <c r="EB64" s="817"/>
      <c r="EC64" s="817"/>
      <c r="ED64" s="817"/>
      <c r="EE64" s="817"/>
      <c r="EF64" s="817"/>
      <c r="EG64" s="817"/>
      <c r="EH64" s="817"/>
      <c r="EI64" s="817"/>
      <c r="EJ64" s="817"/>
      <c r="EK64" s="817"/>
      <c r="EL64" s="817"/>
      <c r="EM64" s="817"/>
      <c r="EN64" s="817"/>
      <c r="EO64" s="817"/>
      <c r="EP64" s="817"/>
      <c r="EQ64" s="817"/>
      <c r="ER64" s="817"/>
      <c r="ES64" s="817"/>
      <c r="ET64" s="817"/>
      <c r="EU64" s="817"/>
      <c r="EV64" s="817"/>
      <c r="EW64" s="817"/>
      <c r="EX64" s="817"/>
      <c r="EY64" s="817"/>
      <c r="EZ64" s="817"/>
      <c r="FA64" s="817"/>
      <c r="FB64" s="817"/>
      <c r="FC64" s="817"/>
      <c r="FD64" s="817"/>
      <c r="FE64" s="817"/>
      <c r="FF64" s="817"/>
      <c r="FG64" s="817"/>
      <c r="FH64" s="817"/>
      <c r="FI64" s="817"/>
      <c r="FJ64" s="817"/>
      <c r="FK64" s="817"/>
      <c r="FL64" s="817"/>
      <c r="FM64" s="817"/>
      <c r="FN64" s="817"/>
      <c r="FO64" s="817"/>
      <c r="FP64" s="817"/>
      <c r="FQ64" s="817"/>
      <c r="FR64" s="817"/>
      <c r="FS64" s="817"/>
      <c r="FT64" s="817"/>
      <c r="FU64" s="817"/>
      <c r="FV64" s="817"/>
      <c r="FW64" s="817"/>
      <c r="FX64" s="817"/>
      <c r="FY64" s="817"/>
      <c r="FZ64" s="817"/>
      <c r="GA64" s="817"/>
      <c r="GB64" s="817"/>
      <c r="GC64" s="817"/>
      <c r="GD64" s="817"/>
      <c r="GE64" s="817"/>
      <c r="GF64" s="817"/>
      <c r="GG64" s="817"/>
      <c r="GH64" s="817"/>
      <c r="GI64" s="817"/>
      <c r="GJ64" s="817"/>
      <c r="GK64" s="817"/>
      <c r="GL64" s="817"/>
      <c r="GM64" s="817"/>
      <c r="GN64" s="817"/>
      <c r="GO64" s="817"/>
      <c r="GP64" s="817"/>
      <c r="GQ64" s="817"/>
      <c r="GR64" s="817"/>
      <c r="GS64" s="817"/>
      <c r="GT64" s="817"/>
      <c r="GU64" s="817"/>
      <c r="GV64" s="817"/>
      <c r="GW64" s="817"/>
      <c r="GX64" s="817"/>
      <c r="GY64" s="817"/>
      <c r="GZ64" s="817"/>
      <c r="HA64" s="817"/>
      <c r="HB64" s="817"/>
      <c r="HC64" s="817"/>
      <c r="HD64" s="817"/>
      <c r="HE64" s="817"/>
      <c r="HF64" s="817"/>
      <c r="HG64" s="817"/>
      <c r="HH64" s="817"/>
      <c r="HI64" s="817"/>
      <c r="HJ64" s="817"/>
      <c r="HK64" s="817"/>
      <c r="HL64" s="817"/>
      <c r="HM64" s="817"/>
      <c r="HN64" s="817"/>
      <c r="HO64" s="817"/>
      <c r="HP64" s="817"/>
      <c r="HQ64" s="817"/>
      <c r="HR64" s="817"/>
      <c r="HS64" s="817"/>
      <c r="HT64" s="817"/>
      <c r="HU64" s="817"/>
      <c r="HV64" s="817"/>
      <c r="HW64" s="817"/>
      <c r="HX64" s="817"/>
      <c r="HY64" s="817"/>
      <c r="HZ64" s="817"/>
      <c r="IA64" s="817"/>
      <c r="IB64" s="817"/>
      <c r="IC64" s="817"/>
      <c r="ID64" s="817"/>
      <c r="IE64" s="817"/>
      <c r="IF64" s="817"/>
      <c r="IG64" s="817"/>
      <c r="IH64" s="817"/>
      <c r="II64" s="817"/>
      <c r="IJ64" s="817"/>
      <c r="IK64" s="817"/>
      <c r="IL64" s="817"/>
      <c r="IM64" s="817"/>
      <c r="IN64" s="817"/>
      <c r="IO64" s="817"/>
      <c r="IP64" s="817"/>
      <c r="IQ64" s="817"/>
      <c r="IR64" s="817"/>
      <c r="IS64" s="817"/>
      <c r="IT64" s="817"/>
      <c r="IU64" s="817"/>
      <c r="IV64" s="817"/>
    </row>
    <row r="65" spans="1:256" ht="27" customHeight="1">
      <c r="A65" s="793" t="s">
        <v>813</v>
      </c>
      <c r="B65" s="794"/>
      <c r="C65" s="794"/>
      <c r="D65" s="794"/>
      <c r="E65" s="794"/>
      <c r="F65" s="794"/>
      <c r="G65" s="875"/>
      <c r="H65" s="875"/>
      <c r="I65" s="875"/>
      <c r="J65" s="875"/>
      <c r="K65" s="882"/>
      <c r="L65" s="882"/>
      <c r="M65" s="882"/>
      <c r="N65" s="882"/>
      <c r="O65" s="817"/>
      <c r="P65" s="817"/>
      <c r="Q65" s="817"/>
      <c r="R65" s="817"/>
      <c r="S65" s="817"/>
      <c r="T65" s="817"/>
      <c r="U65" s="817"/>
      <c r="V65" s="817"/>
      <c r="W65" s="817"/>
      <c r="X65" s="817"/>
      <c r="Y65" s="817"/>
      <c r="Z65" s="817"/>
      <c r="AA65" s="817"/>
      <c r="AB65" s="817"/>
      <c r="AC65" s="817"/>
      <c r="AD65" s="817"/>
      <c r="AE65" s="817"/>
      <c r="AF65" s="817"/>
      <c r="AG65" s="817"/>
      <c r="AH65" s="817"/>
      <c r="AI65" s="817"/>
      <c r="AJ65" s="817"/>
      <c r="AK65" s="817"/>
      <c r="AL65" s="817"/>
      <c r="AM65" s="817"/>
      <c r="AN65" s="817"/>
      <c r="AO65" s="817"/>
      <c r="AP65" s="817"/>
      <c r="AQ65" s="817"/>
      <c r="AR65" s="817"/>
      <c r="AS65" s="817"/>
      <c r="AT65" s="817"/>
      <c r="AU65" s="817"/>
      <c r="AV65" s="817"/>
      <c r="AW65" s="817"/>
      <c r="AX65" s="817"/>
      <c r="AY65" s="817"/>
      <c r="AZ65" s="817"/>
      <c r="BA65" s="817"/>
      <c r="BB65" s="817"/>
      <c r="BC65" s="817"/>
      <c r="BD65" s="817"/>
      <c r="BE65" s="817"/>
      <c r="BF65" s="817"/>
      <c r="BG65" s="817"/>
      <c r="BH65" s="817"/>
      <c r="BI65" s="817"/>
      <c r="BJ65" s="817"/>
      <c r="BK65" s="817"/>
      <c r="BL65" s="817"/>
      <c r="BM65" s="817"/>
      <c r="BN65" s="817"/>
      <c r="BO65" s="817"/>
      <c r="BP65" s="817"/>
      <c r="BQ65" s="817"/>
      <c r="BR65" s="817"/>
      <c r="BS65" s="817"/>
      <c r="BT65" s="817"/>
      <c r="BU65" s="817"/>
      <c r="BV65" s="817"/>
      <c r="BW65" s="817"/>
      <c r="BX65" s="817"/>
      <c r="BY65" s="817"/>
      <c r="BZ65" s="817"/>
      <c r="CA65" s="817"/>
      <c r="CB65" s="817"/>
      <c r="CC65" s="817"/>
      <c r="CD65" s="817"/>
      <c r="CE65" s="817"/>
      <c r="CF65" s="817"/>
      <c r="CG65" s="817"/>
      <c r="CH65" s="817"/>
      <c r="CI65" s="817"/>
      <c r="CJ65" s="817"/>
      <c r="CK65" s="817"/>
      <c r="CL65" s="817"/>
      <c r="CM65" s="817"/>
      <c r="CN65" s="817"/>
      <c r="CO65" s="817"/>
      <c r="CP65" s="817"/>
      <c r="CQ65" s="817"/>
      <c r="CR65" s="817"/>
      <c r="CS65" s="817"/>
      <c r="CT65" s="817"/>
      <c r="CU65" s="817"/>
      <c r="CV65" s="817"/>
      <c r="CW65" s="817"/>
      <c r="CX65" s="817"/>
      <c r="CY65" s="817"/>
      <c r="CZ65" s="817"/>
      <c r="DA65" s="817"/>
      <c r="DB65" s="817"/>
      <c r="DC65" s="817"/>
      <c r="DD65" s="817"/>
      <c r="DE65" s="817"/>
      <c r="DF65" s="817"/>
      <c r="DG65" s="817"/>
      <c r="DH65" s="817"/>
      <c r="DI65" s="817"/>
      <c r="DJ65" s="817"/>
      <c r="DK65" s="817"/>
      <c r="DL65" s="817"/>
      <c r="DM65" s="817"/>
      <c r="DN65" s="817"/>
      <c r="DO65" s="817"/>
      <c r="DP65" s="817"/>
      <c r="DQ65" s="817"/>
      <c r="DR65" s="817"/>
      <c r="DS65" s="817"/>
      <c r="DT65" s="817"/>
      <c r="DU65" s="817"/>
      <c r="DV65" s="817"/>
      <c r="DW65" s="817"/>
      <c r="DX65" s="817"/>
      <c r="DY65" s="817"/>
      <c r="DZ65" s="817"/>
      <c r="EA65" s="817"/>
      <c r="EB65" s="817"/>
      <c r="EC65" s="817"/>
      <c r="ED65" s="817"/>
      <c r="EE65" s="817"/>
      <c r="EF65" s="817"/>
      <c r="EG65" s="817"/>
      <c r="EH65" s="817"/>
      <c r="EI65" s="817"/>
      <c r="EJ65" s="817"/>
      <c r="EK65" s="817"/>
      <c r="EL65" s="817"/>
      <c r="EM65" s="817"/>
      <c r="EN65" s="817"/>
      <c r="EO65" s="817"/>
      <c r="EP65" s="817"/>
      <c r="EQ65" s="817"/>
      <c r="ER65" s="817"/>
      <c r="ES65" s="817"/>
      <c r="ET65" s="817"/>
      <c r="EU65" s="817"/>
      <c r="EV65" s="817"/>
      <c r="EW65" s="817"/>
      <c r="EX65" s="817"/>
      <c r="EY65" s="817"/>
      <c r="EZ65" s="817"/>
      <c r="FA65" s="817"/>
      <c r="FB65" s="817"/>
      <c r="FC65" s="817"/>
      <c r="FD65" s="817"/>
      <c r="FE65" s="817"/>
      <c r="FF65" s="817"/>
      <c r="FG65" s="817"/>
      <c r="FH65" s="817"/>
      <c r="FI65" s="817"/>
      <c r="FJ65" s="817"/>
      <c r="FK65" s="817"/>
      <c r="FL65" s="817"/>
      <c r="FM65" s="817"/>
      <c r="FN65" s="817"/>
      <c r="FO65" s="817"/>
      <c r="FP65" s="817"/>
      <c r="FQ65" s="817"/>
      <c r="FR65" s="817"/>
      <c r="FS65" s="817"/>
      <c r="FT65" s="817"/>
      <c r="FU65" s="817"/>
      <c r="FV65" s="817"/>
      <c r="FW65" s="817"/>
      <c r="FX65" s="817"/>
      <c r="FY65" s="817"/>
      <c r="FZ65" s="817"/>
      <c r="GA65" s="817"/>
      <c r="GB65" s="817"/>
      <c r="GC65" s="817"/>
      <c r="GD65" s="817"/>
      <c r="GE65" s="817"/>
      <c r="GF65" s="817"/>
      <c r="GG65" s="817"/>
      <c r="GH65" s="817"/>
      <c r="GI65" s="817"/>
      <c r="GJ65" s="817"/>
      <c r="GK65" s="817"/>
      <c r="GL65" s="817"/>
      <c r="GM65" s="817"/>
      <c r="GN65" s="817"/>
      <c r="GO65" s="817"/>
      <c r="GP65" s="817"/>
      <c r="GQ65" s="817"/>
      <c r="GR65" s="817"/>
      <c r="GS65" s="817"/>
      <c r="GT65" s="817"/>
      <c r="GU65" s="817"/>
      <c r="GV65" s="817"/>
      <c r="GW65" s="817"/>
      <c r="GX65" s="817"/>
      <c r="GY65" s="817"/>
      <c r="GZ65" s="817"/>
      <c r="HA65" s="817"/>
      <c r="HB65" s="817"/>
      <c r="HC65" s="817"/>
      <c r="HD65" s="817"/>
      <c r="HE65" s="817"/>
      <c r="HF65" s="817"/>
      <c r="HG65" s="817"/>
      <c r="HH65" s="817"/>
      <c r="HI65" s="817"/>
      <c r="HJ65" s="817"/>
      <c r="HK65" s="817"/>
      <c r="HL65" s="817"/>
      <c r="HM65" s="817"/>
      <c r="HN65" s="817"/>
      <c r="HO65" s="817"/>
      <c r="HP65" s="817"/>
      <c r="HQ65" s="817"/>
      <c r="HR65" s="817"/>
      <c r="HS65" s="817"/>
      <c r="HT65" s="817"/>
      <c r="HU65" s="817"/>
      <c r="HV65" s="817"/>
      <c r="HW65" s="817"/>
      <c r="HX65" s="817"/>
      <c r="HY65" s="817"/>
      <c r="HZ65" s="817"/>
      <c r="IA65" s="817"/>
      <c r="IB65" s="817"/>
      <c r="IC65" s="817"/>
      <c r="ID65" s="817"/>
      <c r="IE65" s="817"/>
      <c r="IF65" s="817"/>
      <c r="IG65" s="817"/>
      <c r="IH65" s="817"/>
      <c r="II65" s="817"/>
      <c r="IJ65" s="817"/>
      <c r="IK65" s="817"/>
      <c r="IL65" s="817"/>
      <c r="IM65" s="817"/>
      <c r="IN65" s="817"/>
      <c r="IO65" s="817"/>
      <c r="IP65" s="817"/>
      <c r="IQ65" s="817"/>
      <c r="IR65" s="817"/>
      <c r="IS65" s="817"/>
      <c r="IT65" s="817"/>
      <c r="IU65" s="817"/>
      <c r="IV65" s="817"/>
    </row>
    <row r="66" spans="1:256" ht="22.5" customHeight="1">
      <c r="A66" s="793" t="s">
        <v>846</v>
      </c>
      <c r="B66" s="794"/>
      <c r="C66" s="794"/>
      <c r="D66" s="794"/>
      <c r="E66" s="794"/>
      <c r="F66" s="800"/>
      <c r="G66" s="875"/>
      <c r="H66" s="875"/>
      <c r="I66" s="875"/>
      <c r="J66" s="873"/>
      <c r="K66" s="882"/>
      <c r="L66" s="882"/>
      <c r="M66" s="882"/>
      <c r="N66" s="882"/>
      <c r="O66" s="817"/>
      <c r="P66" s="817"/>
      <c r="Q66" s="817"/>
      <c r="R66" s="817"/>
      <c r="S66" s="817"/>
      <c r="T66" s="817"/>
      <c r="U66" s="817"/>
      <c r="V66" s="817"/>
      <c r="W66" s="817"/>
      <c r="X66" s="817"/>
      <c r="Y66" s="817"/>
      <c r="Z66" s="817"/>
      <c r="AA66" s="817"/>
      <c r="AB66" s="817"/>
      <c r="AC66" s="817"/>
      <c r="AD66" s="817"/>
      <c r="AE66" s="817"/>
      <c r="AF66" s="817"/>
      <c r="AG66" s="817"/>
      <c r="AH66" s="817"/>
      <c r="AI66" s="817"/>
      <c r="AJ66" s="817"/>
      <c r="AK66" s="817"/>
      <c r="AL66" s="817"/>
      <c r="AM66" s="817"/>
      <c r="AN66" s="817"/>
      <c r="AO66" s="817"/>
      <c r="AP66" s="817"/>
      <c r="AQ66" s="817"/>
      <c r="AR66" s="817"/>
      <c r="AS66" s="817"/>
      <c r="AT66" s="817"/>
      <c r="AU66" s="817"/>
      <c r="AV66" s="817"/>
      <c r="AW66" s="817"/>
      <c r="AX66" s="817"/>
      <c r="AY66" s="817"/>
      <c r="AZ66" s="817"/>
      <c r="BA66" s="817"/>
      <c r="BB66" s="817"/>
      <c r="BC66" s="817"/>
      <c r="BD66" s="817"/>
      <c r="BE66" s="817"/>
      <c r="BF66" s="817"/>
      <c r="BG66" s="817"/>
      <c r="BH66" s="817"/>
      <c r="BI66" s="817"/>
      <c r="BJ66" s="817"/>
      <c r="BK66" s="817"/>
      <c r="BL66" s="817"/>
      <c r="BM66" s="817"/>
      <c r="BN66" s="817"/>
      <c r="BO66" s="817"/>
      <c r="BP66" s="817"/>
      <c r="BQ66" s="817"/>
      <c r="BR66" s="817"/>
      <c r="BS66" s="817"/>
      <c r="BT66" s="817"/>
      <c r="BU66" s="817"/>
      <c r="BV66" s="817"/>
      <c r="BW66" s="817"/>
      <c r="BX66" s="817"/>
      <c r="BY66" s="817"/>
      <c r="BZ66" s="817"/>
      <c r="CA66" s="817"/>
      <c r="CB66" s="817"/>
      <c r="CC66" s="817"/>
      <c r="CD66" s="817"/>
      <c r="CE66" s="817"/>
      <c r="CF66" s="817"/>
      <c r="CG66" s="817"/>
      <c r="CH66" s="817"/>
      <c r="CI66" s="817"/>
      <c r="CJ66" s="817"/>
      <c r="CK66" s="817"/>
      <c r="CL66" s="817"/>
      <c r="CM66" s="817"/>
      <c r="CN66" s="817"/>
      <c r="CO66" s="817"/>
      <c r="CP66" s="817"/>
      <c r="CQ66" s="817"/>
      <c r="CR66" s="817"/>
      <c r="CS66" s="817"/>
      <c r="CT66" s="817"/>
      <c r="CU66" s="817"/>
      <c r="CV66" s="817"/>
      <c r="CW66" s="817"/>
      <c r="CX66" s="817"/>
      <c r="CY66" s="817"/>
      <c r="CZ66" s="817"/>
      <c r="DA66" s="817"/>
      <c r="DB66" s="817"/>
      <c r="DC66" s="817"/>
      <c r="DD66" s="817"/>
      <c r="DE66" s="817"/>
      <c r="DF66" s="817"/>
      <c r="DG66" s="817"/>
      <c r="DH66" s="817"/>
      <c r="DI66" s="817"/>
      <c r="DJ66" s="817"/>
      <c r="DK66" s="817"/>
      <c r="DL66" s="817"/>
      <c r="DM66" s="817"/>
      <c r="DN66" s="817"/>
      <c r="DO66" s="817"/>
      <c r="DP66" s="817"/>
      <c r="DQ66" s="817"/>
      <c r="DR66" s="817"/>
      <c r="DS66" s="817"/>
      <c r="DT66" s="817"/>
      <c r="DU66" s="817"/>
      <c r="DV66" s="817"/>
      <c r="DW66" s="817"/>
      <c r="DX66" s="817"/>
      <c r="DY66" s="817"/>
      <c r="DZ66" s="817"/>
      <c r="EA66" s="817"/>
      <c r="EB66" s="817"/>
      <c r="EC66" s="817"/>
      <c r="ED66" s="817"/>
      <c r="EE66" s="817"/>
      <c r="EF66" s="817"/>
      <c r="EG66" s="817"/>
      <c r="EH66" s="817"/>
      <c r="EI66" s="817"/>
      <c r="EJ66" s="817"/>
      <c r="EK66" s="817"/>
      <c r="EL66" s="817"/>
      <c r="EM66" s="817"/>
      <c r="EN66" s="817"/>
      <c r="EO66" s="817"/>
      <c r="EP66" s="817"/>
      <c r="EQ66" s="817"/>
      <c r="ER66" s="817"/>
      <c r="ES66" s="817"/>
      <c r="ET66" s="817"/>
      <c r="EU66" s="817"/>
      <c r="EV66" s="817"/>
      <c r="EW66" s="817"/>
      <c r="EX66" s="817"/>
      <c r="EY66" s="817"/>
      <c r="EZ66" s="817"/>
      <c r="FA66" s="817"/>
      <c r="FB66" s="817"/>
      <c r="FC66" s="817"/>
      <c r="FD66" s="817"/>
      <c r="FE66" s="817"/>
      <c r="FF66" s="817"/>
      <c r="FG66" s="817"/>
      <c r="FH66" s="817"/>
      <c r="FI66" s="817"/>
      <c r="FJ66" s="817"/>
      <c r="FK66" s="817"/>
      <c r="FL66" s="817"/>
      <c r="FM66" s="817"/>
      <c r="FN66" s="817"/>
      <c r="FO66" s="817"/>
      <c r="FP66" s="817"/>
      <c r="FQ66" s="817"/>
      <c r="FR66" s="817"/>
      <c r="FS66" s="817"/>
      <c r="FT66" s="817"/>
      <c r="FU66" s="817"/>
      <c r="FV66" s="817"/>
      <c r="FW66" s="817"/>
      <c r="FX66" s="817"/>
      <c r="FY66" s="817"/>
      <c r="FZ66" s="817"/>
      <c r="GA66" s="817"/>
      <c r="GB66" s="817"/>
      <c r="GC66" s="817"/>
      <c r="GD66" s="817"/>
      <c r="GE66" s="817"/>
      <c r="GF66" s="817"/>
      <c r="GG66" s="817"/>
      <c r="GH66" s="817"/>
      <c r="GI66" s="817"/>
      <c r="GJ66" s="817"/>
      <c r="GK66" s="817"/>
      <c r="GL66" s="817"/>
      <c r="GM66" s="817"/>
      <c r="GN66" s="817"/>
      <c r="GO66" s="817"/>
      <c r="GP66" s="817"/>
      <c r="GQ66" s="817"/>
      <c r="GR66" s="817"/>
      <c r="GS66" s="817"/>
      <c r="GT66" s="817"/>
      <c r="GU66" s="817"/>
      <c r="GV66" s="817"/>
      <c r="GW66" s="817"/>
      <c r="GX66" s="817"/>
      <c r="GY66" s="817"/>
      <c r="GZ66" s="817"/>
      <c r="HA66" s="817"/>
      <c r="HB66" s="817"/>
      <c r="HC66" s="817"/>
      <c r="HD66" s="817"/>
      <c r="HE66" s="817"/>
      <c r="HF66" s="817"/>
      <c r="HG66" s="817"/>
      <c r="HH66" s="817"/>
      <c r="HI66" s="817"/>
      <c r="HJ66" s="817"/>
      <c r="HK66" s="817"/>
      <c r="HL66" s="817"/>
      <c r="HM66" s="817"/>
      <c r="HN66" s="817"/>
      <c r="HO66" s="817"/>
      <c r="HP66" s="817"/>
      <c r="HQ66" s="817"/>
      <c r="HR66" s="817"/>
      <c r="HS66" s="817"/>
      <c r="HT66" s="817"/>
      <c r="HU66" s="817"/>
      <c r="HV66" s="817"/>
      <c r="HW66" s="817"/>
      <c r="HX66" s="817"/>
      <c r="HY66" s="817"/>
      <c r="HZ66" s="817"/>
      <c r="IA66" s="817"/>
      <c r="IB66" s="817"/>
      <c r="IC66" s="817"/>
      <c r="ID66" s="817"/>
      <c r="IE66" s="817"/>
      <c r="IF66" s="817"/>
      <c r="IG66" s="817"/>
      <c r="IH66" s="817"/>
      <c r="II66" s="817"/>
      <c r="IJ66" s="817"/>
      <c r="IK66" s="817"/>
      <c r="IL66" s="817"/>
      <c r="IM66" s="817"/>
      <c r="IN66" s="817"/>
      <c r="IO66" s="817"/>
      <c r="IP66" s="817"/>
      <c r="IQ66" s="817"/>
      <c r="IR66" s="817"/>
      <c r="IS66" s="817"/>
      <c r="IT66" s="817"/>
      <c r="IU66" s="817"/>
      <c r="IV66" s="817"/>
    </row>
    <row r="67" spans="1:256" ht="22.5" customHeight="1">
      <c r="A67" s="793" t="s">
        <v>847</v>
      </c>
      <c r="B67" s="794"/>
      <c r="C67" s="794"/>
      <c r="D67" s="794"/>
      <c r="E67" s="794"/>
      <c r="F67" s="800"/>
      <c r="G67" s="875"/>
      <c r="H67" s="875"/>
      <c r="I67" s="875"/>
      <c r="J67" s="873"/>
      <c r="K67" s="882"/>
      <c r="L67" s="882"/>
      <c r="M67" s="882"/>
      <c r="N67" s="882"/>
      <c r="O67" s="817"/>
      <c r="P67" s="817"/>
      <c r="Q67" s="817"/>
      <c r="R67" s="817"/>
      <c r="S67" s="817"/>
      <c r="T67" s="817"/>
      <c r="U67" s="817"/>
      <c r="V67" s="817"/>
      <c r="W67" s="817"/>
      <c r="X67" s="817"/>
      <c r="Y67" s="817"/>
      <c r="Z67" s="817"/>
      <c r="AA67" s="817"/>
      <c r="AB67" s="817"/>
      <c r="AC67" s="817"/>
      <c r="AD67" s="817"/>
      <c r="AE67" s="817"/>
      <c r="AF67" s="817"/>
      <c r="AG67" s="817"/>
      <c r="AH67" s="817"/>
      <c r="AI67" s="817"/>
      <c r="AJ67" s="817"/>
      <c r="AK67" s="817"/>
      <c r="AL67" s="817"/>
      <c r="AM67" s="817"/>
      <c r="AN67" s="817"/>
      <c r="AO67" s="817"/>
      <c r="AP67" s="817"/>
      <c r="AQ67" s="817"/>
      <c r="AR67" s="817"/>
      <c r="AS67" s="817"/>
      <c r="AT67" s="817"/>
      <c r="AU67" s="817"/>
      <c r="AV67" s="817"/>
      <c r="AW67" s="817"/>
      <c r="AX67" s="817"/>
      <c r="AY67" s="817"/>
      <c r="AZ67" s="817"/>
      <c r="BA67" s="817"/>
      <c r="BB67" s="817"/>
      <c r="BC67" s="817"/>
      <c r="BD67" s="817"/>
      <c r="BE67" s="817"/>
      <c r="BF67" s="817"/>
      <c r="BG67" s="817"/>
      <c r="BH67" s="817"/>
      <c r="BI67" s="817"/>
      <c r="BJ67" s="817"/>
      <c r="BK67" s="817"/>
      <c r="BL67" s="817"/>
      <c r="BM67" s="817"/>
      <c r="BN67" s="817"/>
      <c r="BO67" s="817"/>
      <c r="BP67" s="817"/>
      <c r="BQ67" s="817"/>
      <c r="BR67" s="817"/>
      <c r="BS67" s="817"/>
      <c r="BT67" s="817"/>
      <c r="BU67" s="817"/>
      <c r="BV67" s="817"/>
      <c r="BW67" s="817"/>
      <c r="BX67" s="817"/>
      <c r="BY67" s="817"/>
      <c r="BZ67" s="817"/>
      <c r="CA67" s="817"/>
      <c r="CB67" s="817"/>
      <c r="CC67" s="817"/>
      <c r="CD67" s="817"/>
      <c r="CE67" s="817"/>
      <c r="CF67" s="817"/>
      <c r="CG67" s="817"/>
      <c r="CH67" s="817"/>
      <c r="CI67" s="817"/>
      <c r="CJ67" s="817"/>
      <c r="CK67" s="817"/>
      <c r="CL67" s="817"/>
      <c r="CM67" s="817"/>
      <c r="CN67" s="817"/>
      <c r="CO67" s="817"/>
      <c r="CP67" s="817"/>
      <c r="CQ67" s="817"/>
      <c r="CR67" s="817"/>
      <c r="CS67" s="817"/>
      <c r="CT67" s="817"/>
      <c r="CU67" s="817"/>
      <c r="CV67" s="817"/>
      <c r="CW67" s="817"/>
      <c r="CX67" s="817"/>
      <c r="CY67" s="817"/>
      <c r="CZ67" s="817"/>
      <c r="DA67" s="817"/>
      <c r="DB67" s="817"/>
      <c r="DC67" s="817"/>
      <c r="DD67" s="817"/>
      <c r="DE67" s="817"/>
      <c r="DF67" s="817"/>
      <c r="DG67" s="817"/>
      <c r="DH67" s="817"/>
      <c r="DI67" s="817"/>
      <c r="DJ67" s="817"/>
      <c r="DK67" s="817"/>
      <c r="DL67" s="817"/>
      <c r="DM67" s="817"/>
      <c r="DN67" s="817"/>
      <c r="DO67" s="817"/>
      <c r="DP67" s="817"/>
      <c r="DQ67" s="817"/>
      <c r="DR67" s="817"/>
      <c r="DS67" s="817"/>
      <c r="DT67" s="817"/>
      <c r="DU67" s="817"/>
      <c r="DV67" s="817"/>
      <c r="DW67" s="817"/>
      <c r="DX67" s="817"/>
      <c r="DY67" s="817"/>
      <c r="DZ67" s="817"/>
      <c r="EA67" s="817"/>
      <c r="EB67" s="817"/>
      <c r="EC67" s="817"/>
      <c r="ED67" s="817"/>
      <c r="EE67" s="817"/>
      <c r="EF67" s="817"/>
      <c r="EG67" s="817"/>
      <c r="EH67" s="817"/>
      <c r="EI67" s="817"/>
      <c r="EJ67" s="817"/>
      <c r="EK67" s="817"/>
      <c r="EL67" s="817"/>
      <c r="EM67" s="817"/>
      <c r="EN67" s="817"/>
      <c r="EO67" s="817"/>
      <c r="EP67" s="817"/>
      <c r="EQ67" s="817"/>
      <c r="ER67" s="817"/>
      <c r="ES67" s="817"/>
      <c r="ET67" s="817"/>
      <c r="EU67" s="817"/>
      <c r="EV67" s="817"/>
      <c r="EW67" s="817"/>
      <c r="EX67" s="817"/>
      <c r="EY67" s="817"/>
      <c r="EZ67" s="817"/>
      <c r="FA67" s="817"/>
      <c r="FB67" s="817"/>
      <c r="FC67" s="817"/>
      <c r="FD67" s="817"/>
      <c r="FE67" s="817"/>
      <c r="FF67" s="817"/>
      <c r="FG67" s="817"/>
      <c r="FH67" s="817"/>
      <c r="FI67" s="817"/>
      <c r="FJ67" s="817"/>
      <c r="FK67" s="817"/>
      <c r="FL67" s="817"/>
      <c r="FM67" s="817"/>
      <c r="FN67" s="817"/>
      <c r="FO67" s="817"/>
      <c r="FP67" s="817"/>
      <c r="FQ67" s="817"/>
      <c r="FR67" s="817"/>
      <c r="FS67" s="817"/>
      <c r="FT67" s="817"/>
      <c r="FU67" s="817"/>
      <c r="FV67" s="817"/>
      <c r="FW67" s="817"/>
      <c r="FX67" s="817"/>
      <c r="FY67" s="817"/>
      <c r="FZ67" s="817"/>
      <c r="GA67" s="817"/>
      <c r="GB67" s="817"/>
      <c r="GC67" s="817"/>
      <c r="GD67" s="817"/>
      <c r="GE67" s="817"/>
      <c r="GF67" s="817"/>
      <c r="GG67" s="817"/>
      <c r="GH67" s="817"/>
      <c r="GI67" s="817"/>
      <c r="GJ67" s="817"/>
      <c r="GK67" s="817"/>
      <c r="GL67" s="817"/>
      <c r="GM67" s="817"/>
      <c r="GN67" s="817"/>
      <c r="GO67" s="817"/>
      <c r="GP67" s="817"/>
      <c r="GQ67" s="817"/>
      <c r="GR67" s="817"/>
      <c r="GS67" s="817"/>
      <c r="GT67" s="817"/>
      <c r="GU67" s="817"/>
      <c r="GV67" s="817"/>
      <c r="GW67" s="817"/>
      <c r="GX67" s="817"/>
      <c r="GY67" s="817"/>
      <c r="GZ67" s="817"/>
      <c r="HA67" s="817"/>
      <c r="HB67" s="817"/>
      <c r="HC67" s="817"/>
      <c r="HD67" s="817"/>
      <c r="HE67" s="817"/>
      <c r="HF67" s="817"/>
      <c r="HG67" s="817"/>
      <c r="HH67" s="817"/>
      <c r="HI67" s="817"/>
      <c r="HJ67" s="817"/>
      <c r="HK67" s="817"/>
      <c r="HL67" s="817"/>
      <c r="HM67" s="817"/>
      <c r="HN67" s="817"/>
      <c r="HO67" s="817"/>
      <c r="HP67" s="817"/>
      <c r="HQ67" s="817"/>
      <c r="HR67" s="817"/>
      <c r="HS67" s="817"/>
      <c r="HT67" s="817"/>
      <c r="HU67" s="817"/>
      <c r="HV67" s="817"/>
      <c r="HW67" s="817"/>
      <c r="HX67" s="817"/>
      <c r="HY67" s="817"/>
      <c r="HZ67" s="817"/>
      <c r="IA67" s="817"/>
      <c r="IB67" s="817"/>
      <c r="IC67" s="817"/>
      <c r="ID67" s="817"/>
      <c r="IE67" s="817"/>
      <c r="IF67" s="817"/>
      <c r="IG67" s="817"/>
      <c r="IH67" s="817"/>
      <c r="II67" s="817"/>
      <c r="IJ67" s="817"/>
      <c r="IK67" s="817"/>
      <c r="IL67" s="817"/>
      <c r="IM67" s="817"/>
      <c r="IN67" s="817"/>
      <c r="IO67" s="817"/>
      <c r="IP67" s="817"/>
      <c r="IQ67" s="817"/>
      <c r="IR67" s="817"/>
      <c r="IS67" s="817"/>
      <c r="IT67" s="817"/>
      <c r="IU67" s="817"/>
      <c r="IV67" s="817"/>
    </row>
    <row r="68" spans="1:256" ht="12.75" customHeight="1">
      <c r="A68" s="803"/>
      <c r="B68" s="803"/>
      <c r="C68" s="803"/>
      <c r="D68" s="810"/>
      <c r="E68" s="805"/>
      <c r="F68" s="806"/>
      <c r="G68" s="880"/>
      <c r="H68" s="808"/>
      <c r="I68" s="808"/>
      <c r="K68" s="808"/>
      <c r="M68" s="808"/>
      <c r="N68" s="808" t="s">
        <v>125</v>
      </c>
      <c r="O68" s="817"/>
      <c r="P68" s="817"/>
      <c r="Q68" s="817"/>
      <c r="R68" s="817"/>
      <c r="S68" s="817"/>
      <c r="T68" s="817"/>
      <c r="U68" s="817"/>
      <c r="V68" s="817"/>
      <c r="W68" s="817"/>
      <c r="X68" s="817"/>
      <c r="Y68" s="817"/>
      <c r="Z68" s="817"/>
      <c r="AA68" s="817"/>
      <c r="AB68" s="817"/>
      <c r="AC68" s="817"/>
      <c r="AD68" s="817"/>
      <c r="AE68" s="817"/>
      <c r="AF68" s="817"/>
      <c r="AG68" s="817"/>
      <c r="AH68" s="817"/>
      <c r="AI68" s="817"/>
      <c r="AJ68" s="817"/>
      <c r="AK68" s="817"/>
      <c r="AL68" s="817"/>
      <c r="AM68" s="817"/>
      <c r="AN68" s="817"/>
      <c r="AO68" s="817"/>
      <c r="AP68" s="817"/>
      <c r="AQ68" s="817"/>
      <c r="AR68" s="817"/>
      <c r="AS68" s="817"/>
      <c r="AT68" s="817"/>
      <c r="AU68" s="817"/>
      <c r="AV68" s="817"/>
      <c r="AW68" s="817"/>
      <c r="AX68" s="817"/>
      <c r="AY68" s="817"/>
      <c r="AZ68" s="817"/>
      <c r="BA68" s="817"/>
      <c r="BB68" s="817"/>
      <c r="BC68" s="817"/>
      <c r="BD68" s="817"/>
      <c r="BE68" s="817"/>
      <c r="BF68" s="817"/>
      <c r="BG68" s="817"/>
      <c r="BH68" s="817"/>
      <c r="BI68" s="817"/>
      <c r="BJ68" s="817"/>
      <c r="BK68" s="817"/>
      <c r="BL68" s="817"/>
      <c r="BM68" s="817"/>
      <c r="BN68" s="817"/>
      <c r="BO68" s="817"/>
      <c r="BP68" s="817"/>
      <c r="BQ68" s="817"/>
      <c r="BR68" s="817"/>
      <c r="BS68" s="817"/>
      <c r="BT68" s="817"/>
      <c r="BU68" s="817"/>
      <c r="BV68" s="817"/>
      <c r="BW68" s="817"/>
      <c r="BX68" s="817"/>
      <c r="BY68" s="817"/>
      <c r="BZ68" s="817"/>
      <c r="CA68" s="817"/>
      <c r="CB68" s="817"/>
      <c r="CC68" s="817"/>
      <c r="CD68" s="817"/>
      <c r="CE68" s="817"/>
      <c r="CF68" s="817"/>
      <c r="CG68" s="817"/>
      <c r="CH68" s="817"/>
      <c r="CI68" s="817"/>
      <c r="CJ68" s="817"/>
      <c r="CK68" s="817"/>
      <c r="CL68" s="817"/>
      <c r="CM68" s="817"/>
      <c r="CN68" s="817"/>
      <c r="CO68" s="817"/>
      <c r="CP68" s="817"/>
      <c r="CQ68" s="817"/>
      <c r="CR68" s="817"/>
      <c r="CS68" s="817"/>
      <c r="CT68" s="817"/>
      <c r="CU68" s="817"/>
      <c r="CV68" s="817"/>
      <c r="CW68" s="817"/>
      <c r="CX68" s="817"/>
      <c r="CY68" s="817"/>
      <c r="CZ68" s="817"/>
      <c r="DA68" s="817"/>
      <c r="DB68" s="817"/>
      <c r="DC68" s="817"/>
      <c r="DD68" s="817"/>
      <c r="DE68" s="817"/>
      <c r="DF68" s="817"/>
      <c r="DG68" s="817"/>
      <c r="DH68" s="817"/>
      <c r="DI68" s="817"/>
      <c r="DJ68" s="817"/>
      <c r="DK68" s="817"/>
      <c r="DL68" s="817"/>
      <c r="DM68" s="817"/>
      <c r="DN68" s="817"/>
      <c r="DO68" s="817"/>
      <c r="DP68" s="817"/>
      <c r="DQ68" s="817"/>
      <c r="DR68" s="817"/>
      <c r="DS68" s="817"/>
      <c r="DT68" s="817"/>
      <c r="DU68" s="817"/>
      <c r="DV68" s="817"/>
      <c r="DW68" s="817"/>
      <c r="DX68" s="817"/>
      <c r="DY68" s="817"/>
      <c r="DZ68" s="817"/>
      <c r="EA68" s="817"/>
      <c r="EB68" s="817"/>
      <c r="EC68" s="817"/>
      <c r="ED68" s="817"/>
      <c r="EE68" s="817"/>
      <c r="EF68" s="817"/>
      <c r="EG68" s="817"/>
      <c r="EH68" s="817"/>
      <c r="EI68" s="817"/>
      <c r="EJ68" s="817"/>
      <c r="EK68" s="817"/>
      <c r="EL68" s="817"/>
      <c r="EM68" s="817"/>
      <c r="EN68" s="817"/>
      <c r="EO68" s="817"/>
      <c r="EP68" s="817"/>
      <c r="EQ68" s="817"/>
      <c r="ER68" s="817"/>
      <c r="ES68" s="817"/>
      <c r="ET68" s="817"/>
      <c r="EU68" s="817"/>
      <c r="EV68" s="817"/>
      <c r="EW68" s="817"/>
      <c r="EX68" s="817"/>
      <c r="EY68" s="817"/>
      <c r="EZ68" s="817"/>
      <c r="FA68" s="817"/>
      <c r="FB68" s="817"/>
      <c r="FC68" s="817"/>
      <c r="FD68" s="817"/>
      <c r="FE68" s="817"/>
      <c r="FF68" s="817"/>
      <c r="FG68" s="817"/>
      <c r="FH68" s="817"/>
      <c r="FI68" s="817"/>
      <c r="FJ68" s="817"/>
      <c r="FK68" s="817"/>
      <c r="FL68" s="817"/>
      <c r="FM68" s="817"/>
      <c r="FN68" s="817"/>
      <c r="FO68" s="817"/>
      <c r="FP68" s="817"/>
      <c r="FQ68" s="817"/>
      <c r="FR68" s="817"/>
      <c r="FS68" s="817"/>
      <c r="FT68" s="817"/>
      <c r="FU68" s="817"/>
      <c r="FV68" s="817"/>
      <c r="FW68" s="817"/>
      <c r="FX68" s="817"/>
      <c r="FY68" s="817"/>
      <c r="FZ68" s="817"/>
      <c r="GA68" s="817"/>
      <c r="GB68" s="817"/>
      <c r="GC68" s="817"/>
      <c r="GD68" s="817"/>
      <c r="GE68" s="817"/>
      <c r="GF68" s="817"/>
      <c r="GG68" s="817"/>
      <c r="GH68" s="817"/>
      <c r="GI68" s="817"/>
      <c r="GJ68" s="817"/>
      <c r="GK68" s="817"/>
      <c r="GL68" s="817"/>
      <c r="GM68" s="817"/>
      <c r="GN68" s="817"/>
      <c r="GO68" s="817"/>
      <c r="GP68" s="817"/>
      <c r="GQ68" s="817"/>
      <c r="GR68" s="817"/>
      <c r="GS68" s="817"/>
      <c r="GT68" s="817"/>
      <c r="GU68" s="817"/>
      <c r="GV68" s="817"/>
      <c r="GW68" s="817"/>
      <c r="GX68" s="817"/>
      <c r="GY68" s="817"/>
      <c r="GZ68" s="817"/>
      <c r="HA68" s="817"/>
      <c r="HB68" s="817"/>
      <c r="HC68" s="817"/>
      <c r="HD68" s="817"/>
      <c r="HE68" s="817"/>
      <c r="HF68" s="817"/>
      <c r="HG68" s="817"/>
      <c r="HH68" s="817"/>
      <c r="HI68" s="817"/>
      <c r="HJ68" s="817"/>
      <c r="HK68" s="817"/>
      <c r="HL68" s="817"/>
      <c r="HM68" s="817"/>
      <c r="HN68" s="817"/>
      <c r="HO68" s="817"/>
      <c r="HP68" s="817"/>
      <c r="HQ68" s="817"/>
      <c r="HR68" s="817"/>
      <c r="HS68" s="817"/>
      <c r="HT68" s="817"/>
      <c r="HU68" s="817"/>
      <c r="HV68" s="817"/>
      <c r="HW68" s="817"/>
      <c r="HX68" s="817"/>
      <c r="HY68" s="817"/>
      <c r="HZ68" s="817"/>
      <c r="IA68" s="817"/>
      <c r="IB68" s="817"/>
      <c r="IC68" s="817"/>
      <c r="ID68" s="817"/>
      <c r="IE68" s="817"/>
      <c r="IF68" s="817"/>
      <c r="IG68" s="817"/>
      <c r="IH68" s="817"/>
      <c r="II68" s="817"/>
      <c r="IJ68" s="817"/>
      <c r="IK68" s="817"/>
      <c r="IL68" s="817"/>
      <c r="IM68" s="817"/>
      <c r="IN68" s="817"/>
      <c r="IO68" s="817"/>
      <c r="IP68" s="817"/>
      <c r="IQ68" s="817"/>
      <c r="IR68" s="817"/>
      <c r="IS68" s="817"/>
      <c r="IT68" s="817"/>
      <c r="IU68" s="817"/>
      <c r="IV68" s="817"/>
    </row>
    <row r="69" spans="1:256" ht="11.25" customHeight="1" thickBot="1">
      <c r="A69" s="803"/>
      <c r="B69" s="803"/>
      <c r="C69" s="803"/>
      <c r="D69" s="810"/>
      <c r="E69" s="805"/>
      <c r="F69" s="806"/>
      <c r="G69" s="884"/>
      <c r="H69" s="812"/>
      <c r="I69" s="812"/>
      <c r="K69" s="812"/>
      <c r="M69" s="813"/>
      <c r="N69" s="813" t="s">
        <v>816</v>
      </c>
      <c r="O69" s="817"/>
      <c r="P69" s="817"/>
      <c r="Q69" s="817"/>
      <c r="R69" s="817"/>
      <c r="S69" s="817"/>
      <c r="T69" s="817"/>
      <c r="U69" s="817"/>
      <c r="V69" s="817"/>
      <c r="W69" s="817"/>
      <c r="X69" s="817"/>
      <c r="Y69" s="817"/>
      <c r="Z69" s="817"/>
      <c r="AA69" s="817"/>
      <c r="AB69" s="817"/>
      <c r="AC69" s="817"/>
      <c r="AD69" s="817"/>
      <c r="AE69" s="817"/>
      <c r="AF69" s="817"/>
      <c r="AG69" s="817"/>
      <c r="AH69" s="817"/>
      <c r="AI69" s="817"/>
      <c r="AJ69" s="817"/>
      <c r="AK69" s="817"/>
      <c r="AL69" s="817"/>
      <c r="AM69" s="817"/>
      <c r="AN69" s="817"/>
      <c r="AO69" s="817"/>
      <c r="AP69" s="817"/>
      <c r="AQ69" s="817"/>
      <c r="AR69" s="817"/>
      <c r="AS69" s="817"/>
      <c r="AT69" s="817"/>
      <c r="AU69" s="817"/>
      <c r="AV69" s="817"/>
      <c r="AW69" s="817"/>
      <c r="AX69" s="817"/>
      <c r="AY69" s="817"/>
      <c r="AZ69" s="817"/>
      <c r="BA69" s="817"/>
      <c r="BB69" s="817"/>
      <c r="BC69" s="817"/>
      <c r="BD69" s="817"/>
      <c r="BE69" s="817"/>
      <c r="BF69" s="817"/>
      <c r="BG69" s="817"/>
      <c r="BH69" s="817"/>
      <c r="BI69" s="817"/>
      <c r="BJ69" s="817"/>
      <c r="BK69" s="817"/>
      <c r="BL69" s="817"/>
      <c r="BM69" s="817"/>
      <c r="BN69" s="817"/>
      <c r="BO69" s="817"/>
      <c r="BP69" s="817"/>
      <c r="BQ69" s="817"/>
      <c r="BR69" s="817"/>
      <c r="BS69" s="817"/>
      <c r="BT69" s="817"/>
      <c r="BU69" s="817"/>
      <c r="BV69" s="817"/>
      <c r="BW69" s="817"/>
      <c r="BX69" s="817"/>
      <c r="BY69" s="817"/>
      <c r="BZ69" s="817"/>
      <c r="CA69" s="817"/>
      <c r="CB69" s="817"/>
      <c r="CC69" s="817"/>
      <c r="CD69" s="817"/>
      <c r="CE69" s="817"/>
      <c r="CF69" s="817"/>
      <c r="CG69" s="817"/>
      <c r="CH69" s="817"/>
      <c r="CI69" s="817"/>
      <c r="CJ69" s="817"/>
      <c r="CK69" s="817"/>
      <c r="CL69" s="817"/>
      <c r="CM69" s="817"/>
      <c r="CN69" s="817"/>
      <c r="CO69" s="817"/>
      <c r="CP69" s="817"/>
      <c r="CQ69" s="817"/>
      <c r="CR69" s="817"/>
      <c r="CS69" s="817"/>
      <c r="CT69" s="817"/>
      <c r="CU69" s="817"/>
      <c r="CV69" s="817"/>
      <c r="CW69" s="817"/>
      <c r="CX69" s="817"/>
      <c r="CY69" s="817"/>
      <c r="CZ69" s="817"/>
      <c r="DA69" s="817"/>
      <c r="DB69" s="817"/>
      <c r="DC69" s="817"/>
      <c r="DD69" s="817"/>
      <c r="DE69" s="817"/>
      <c r="DF69" s="817"/>
      <c r="DG69" s="817"/>
      <c r="DH69" s="817"/>
      <c r="DI69" s="817"/>
      <c r="DJ69" s="817"/>
      <c r="DK69" s="817"/>
      <c r="DL69" s="817"/>
      <c r="DM69" s="817"/>
      <c r="DN69" s="817"/>
      <c r="DO69" s="817"/>
      <c r="DP69" s="817"/>
      <c r="DQ69" s="817"/>
      <c r="DR69" s="817"/>
      <c r="DS69" s="817"/>
      <c r="DT69" s="817"/>
      <c r="DU69" s="817"/>
      <c r="DV69" s="817"/>
      <c r="DW69" s="817"/>
      <c r="DX69" s="817"/>
      <c r="DY69" s="817"/>
      <c r="DZ69" s="817"/>
      <c r="EA69" s="817"/>
      <c r="EB69" s="817"/>
      <c r="EC69" s="817"/>
      <c r="ED69" s="817"/>
      <c r="EE69" s="817"/>
      <c r="EF69" s="817"/>
      <c r="EG69" s="817"/>
      <c r="EH69" s="817"/>
      <c r="EI69" s="817"/>
      <c r="EJ69" s="817"/>
      <c r="EK69" s="817"/>
      <c r="EL69" s="817"/>
      <c r="EM69" s="817"/>
      <c r="EN69" s="817"/>
      <c r="EO69" s="817"/>
      <c r="EP69" s="817"/>
      <c r="EQ69" s="817"/>
      <c r="ER69" s="817"/>
      <c r="ES69" s="817"/>
      <c r="ET69" s="817"/>
      <c r="EU69" s="817"/>
      <c r="EV69" s="817"/>
      <c r="EW69" s="817"/>
      <c r="EX69" s="817"/>
      <c r="EY69" s="817"/>
      <c r="EZ69" s="817"/>
      <c r="FA69" s="817"/>
      <c r="FB69" s="817"/>
      <c r="FC69" s="817"/>
      <c r="FD69" s="817"/>
      <c r="FE69" s="817"/>
      <c r="FF69" s="817"/>
      <c r="FG69" s="817"/>
      <c r="FH69" s="817"/>
      <c r="FI69" s="817"/>
      <c r="FJ69" s="817"/>
      <c r="FK69" s="817"/>
      <c r="FL69" s="817"/>
      <c r="FM69" s="817"/>
      <c r="FN69" s="817"/>
      <c r="FO69" s="817"/>
      <c r="FP69" s="817"/>
      <c r="FQ69" s="817"/>
      <c r="FR69" s="817"/>
      <c r="FS69" s="817"/>
      <c r="FT69" s="817"/>
      <c r="FU69" s="817"/>
      <c r="FV69" s="817"/>
      <c r="FW69" s="817"/>
      <c r="FX69" s="817"/>
      <c r="FY69" s="817"/>
      <c r="FZ69" s="817"/>
      <c r="GA69" s="817"/>
      <c r="GB69" s="817"/>
      <c r="GC69" s="817"/>
      <c r="GD69" s="817"/>
      <c r="GE69" s="817"/>
      <c r="GF69" s="817"/>
      <c r="GG69" s="817"/>
      <c r="GH69" s="817"/>
      <c r="GI69" s="817"/>
      <c r="GJ69" s="817"/>
      <c r="GK69" s="817"/>
      <c r="GL69" s="817"/>
      <c r="GM69" s="817"/>
      <c r="GN69" s="817"/>
      <c r="GO69" s="817"/>
      <c r="GP69" s="817"/>
      <c r="GQ69" s="817"/>
      <c r="GR69" s="817"/>
      <c r="GS69" s="817"/>
      <c r="GT69" s="817"/>
      <c r="GU69" s="817"/>
      <c r="GV69" s="817"/>
      <c r="GW69" s="817"/>
      <c r="GX69" s="817"/>
      <c r="GY69" s="817"/>
      <c r="GZ69" s="817"/>
      <c r="HA69" s="817"/>
      <c r="HB69" s="817"/>
      <c r="HC69" s="817"/>
      <c r="HD69" s="817"/>
      <c r="HE69" s="817"/>
      <c r="HF69" s="817"/>
      <c r="HG69" s="817"/>
      <c r="HH69" s="817"/>
      <c r="HI69" s="817"/>
      <c r="HJ69" s="817"/>
      <c r="HK69" s="817"/>
      <c r="HL69" s="817"/>
      <c r="HM69" s="817"/>
      <c r="HN69" s="817"/>
      <c r="HO69" s="817"/>
      <c r="HP69" s="817"/>
      <c r="HQ69" s="817"/>
      <c r="HR69" s="817"/>
      <c r="HS69" s="817"/>
      <c r="HT69" s="817"/>
      <c r="HU69" s="817"/>
      <c r="HV69" s="817"/>
      <c r="HW69" s="817"/>
      <c r="HX69" s="817"/>
      <c r="HY69" s="817"/>
      <c r="HZ69" s="817"/>
      <c r="IA69" s="817"/>
      <c r="IB69" s="817"/>
      <c r="IC69" s="817"/>
      <c r="ID69" s="817"/>
      <c r="IE69" s="817"/>
      <c r="IF69" s="817"/>
      <c r="IG69" s="817"/>
      <c r="IH69" s="817"/>
      <c r="II69" s="817"/>
      <c r="IJ69" s="817"/>
      <c r="IK69" s="817"/>
      <c r="IL69" s="817"/>
      <c r="IM69" s="817"/>
      <c r="IN69" s="817"/>
      <c r="IO69" s="817"/>
      <c r="IP69" s="817"/>
      <c r="IQ69" s="817"/>
      <c r="IR69" s="817"/>
      <c r="IS69" s="817"/>
      <c r="IT69" s="817"/>
      <c r="IU69" s="817"/>
      <c r="IV69" s="817"/>
    </row>
    <row r="70" spans="1:256" s="886" customFormat="1" ht="13.5" customHeight="1" thickTop="1">
      <c r="A70" s="814"/>
      <c r="B70" s="815">
        <v>1996</v>
      </c>
      <c r="C70" s="815">
        <v>1997</v>
      </c>
      <c r="D70" s="815">
        <v>1998</v>
      </c>
      <c r="E70" s="815">
        <v>1999</v>
      </c>
      <c r="F70" s="815">
        <v>2000</v>
      </c>
      <c r="G70" s="815">
        <v>2001</v>
      </c>
      <c r="H70" s="815">
        <v>2002</v>
      </c>
      <c r="I70" s="815">
        <v>2003</v>
      </c>
      <c r="J70" s="815">
        <v>2004</v>
      </c>
      <c r="K70" s="815">
        <v>2005</v>
      </c>
      <c r="L70" s="815">
        <v>2006</v>
      </c>
      <c r="M70" s="816">
        <v>2007</v>
      </c>
      <c r="N70" s="816">
        <v>2008</v>
      </c>
      <c r="O70" s="885"/>
      <c r="P70" s="885"/>
      <c r="Q70" s="885"/>
      <c r="R70" s="885"/>
      <c r="S70" s="885"/>
      <c r="T70" s="885"/>
      <c r="U70" s="885"/>
      <c r="V70" s="885"/>
      <c r="W70" s="885"/>
      <c r="X70" s="885"/>
      <c r="Y70" s="885"/>
      <c r="Z70" s="885"/>
      <c r="AA70" s="885"/>
      <c r="AB70" s="885"/>
      <c r="AC70" s="885"/>
      <c r="AD70" s="885"/>
      <c r="AE70" s="885"/>
      <c r="AF70" s="885"/>
      <c r="AG70" s="885"/>
      <c r="AH70" s="885"/>
      <c r="AI70" s="885"/>
      <c r="AJ70" s="885"/>
      <c r="AK70" s="885"/>
      <c r="AL70" s="885"/>
      <c r="AM70" s="885"/>
      <c r="AN70" s="885"/>
      <c r="AO70" s="885"/>
      <c r="AP70" s="885"/>
      <c r="AQ70" s="885"/>
      <c r="AR70" s="885"/>
      <c r="AS70" s="885"/>
      <c r="AT70" s="885"/>
      <c r="AU70" s="885"/>
      <c r="AV70" s="885"/>
      <c r="AW70" s="885"/>
      <c r="AX70" s="885"/>
      <c r="AY70" s="885"/>
      <c r="AZ70" s="885"/>
      <c r="BA70" s="885"/>
      <c r="BB70" s="885"/>
      <c r="BC70" s="885"/>
      <c r="BD70" s="885"/>
      <c r="BE70" s="885"/>
      <c r="BF70" s="885"/>
      <c r="BG70" s="885"/>
      <c r="BH70" s="885"/>
      <c r="BI70" s="885"/>
      <c r="BJ70" s="885"/>
      <c r="BK70" s="885"/>
      <c r="BL70" s="885"/>
      <c r="BM70" s="885"/>
      <c r="BN70" s="885"/>
      <c r="BO70" s="885"/>
      <c r="BP70" s="885"/>
      <c r="BQ70" s="885"/>
      <c r="BR70" s="885"/>
      <c r="BS70" s="885"/>
      <c r="BT70" s="885"/>
      <c r="BU70" s="885"/>
      <c r="BV70" s="885"/>
      <c r="BW70" s="885"/>
      <c r="BX70" s="885"/>
      <c r="BY70" s="885"/>
      <c r="BZ70" s="885"/>
      <c r="CA70" s="885"/>
      <c r="CB70" s="885"/>
      <c r="CC70" s="885"/>
      <c r="CD70" s="885"/>
      <c r="CE70" s="885"/>
      <c r="CF70" s="885"/>
      <c r="CG70" s="885"/>
      <c r="CH70" s="885"/>
      <c r="CI70" s="885"/>
      <c r="CJ70" s="885"/>
      <c r="CK70" s="885"/>
      <c r="CL70" s="885"/>
      <c r="CM70" s="885"/>
      <c r="CN70" s="885"/>
      <c r="CO70" s="885"/>
      <c r="CP70" s="885"/>
      <c r="CQ70" s="885"/>
      <c r="CR70" s="885"/>
      <c r="CS70" s="885"/>
      <c r="CT70" s="885"/>
      <c r="CU70" s="885"/>
      <c r="CV70" s="885"/>
      <c r="CW70" s="885"/>
      <c r="CX70" s="885"/>
      <c r="CY70" s="885"/>
      <c r="CZ70" s="885"/>
      <c r="DA70" s="885"/>
      <c r="DB70" s="885"/>
      <c r="DC70" s="885"/>
      <c r="DD70" s="885"/>
      <c r="DE70" s="885"/>
      <c r="DF70" s="885"/>
      <c r="DG70" s="885"/>
      <c r="DH70" s="885"/>
      <c r="DI70" s="885"/>
      <c r="DJ70" s="885"/>
      <c r="DK70" s="885"/>
      <c r="DL70" s="885"/>
      <c r="DM70" s="885"/>
      <c r="DN70" s="885"/>
      <c r="DO70" s="885"/>
      <c r="DP70" s="885"/>
      <c r="DQ70" s="885"/>
      <c r="DR70" s="885"/>
      <c r="DS70" s="885"/>
      <c r="DT70" s="885"/>
      <c r="DU70" s="885"/>
      <c r="DV70" s="885"/>
      <c r="DW70" s="885"/>
      <c r="DX70" s="885"/>
      <c r="DY70" s="885"/>
      <c r="DZ70" s="885"/>
      <c r="EA70" s="885"/>
      <c r="EB70" s="885"/>
      <c r="EC70" s="885"/>
      <c r="ED70" s="885"/>
      <c r="EE70" s="885"/>
      <c r="EF70" s="885"/>
      <c r="EG70" s="885"/>
      <c r="EH70" s="885"/>
      <c r="EI70" s="885"/>
      <c r="EJ70" s="885"/>
      <c r="EK70" s="885"/>
      <c r="EL70" s="885"/>
      <c r="EM70" s="885"/>
      <c r="EN70" s="885"/>
      <c r="EO70" s="885"/>
      <c r="EP70" s="885"/>
      <c r="EQ70" s="885"/>
      <c r="ER70" s="885"/>
      <c r="ES70" s="885"/>
      <c r="ET70" s="885"/>
      <c r="EU70" s="885"/>
      <c r="EV70" s="885"/>
      <c r="EW70" s="885"/>
      <c r="EX70" s="885"/>
      <c r="EY70" s="885"/>
      <c r="EZ70" s="885"/>
      <c r="FA70" s="885"/>
      <c r="FB70" s="885"/>
      <c r="FC70" s="885"/>
      <c r="FD70" s="885"/>
      <c r="FE70" s="885"/>
      <c r="FF70" s="885"/>
      <c r="FG70" s="885"/>
      <c r="FH70" s="885"/>
      <c r="FI70" s="885"/>
      <c r="FJ70" s="885"/>
      <c r="FK70" s="885"/>
      <c r="FL70" s="885"/>
      <c r="FM70" s="885"/>
      <c r="FN70" s="885"/>
      <c r="FO70" s="885"/>
      <c r="FP70" s="885"/>
      <c r="FQ70" s="885"/>
      <c r="FR70" s="885"/>
      <c r="FS70" s="885"/>
      <c r="FT70" s="885"/>
      <c r="FU70" s="885"/>
      <c r="FV70" s="885"/>
      <c r="FW70" s="885"/>
      <c r="FX70" s="885"/>
      <c r="FY70" s="885"/>
      <c r="FZ70" s="885"/>
      <c r="GA70" s="885"/>
      <c r="GB70" s="885"/>
      <c r="GC70" s="885"/>
      <c r="GD70" s="885"/>
      <c r="GE70" s="885"/>
      <c r="GF70" s="885"/>
      <c r="GG70" s="885"/>
      <c r="GH70" s="885"/>
      <c r="GI70" s="885"/>
      <c r="GJ70" s="885"/>
      <c r="GK70" s="885"/>
      <c r="GL70" s="885"/>
      <c r="GM70" s="885"/>
      <c r="GN70" s="885"/>
      <c r="GO70" s="885"/>
      <c r="GP70" s="885"/>
      <c r="GQ70" s="885"/>
      <c r="GR70" s="885"/>
      <c r="GS70" s="885"/>
      <c r="GT70" s="885"/>
      <c r="GU70" s="885"/>
      <c r="GV70" s="885"/>
      <c r="GW70" s="885"/>
      <c r="GX70" s="885"/>
      <c r="GY70" s="885"/>
      <c r="GZ70" s="885"/>
      <c r="HA70" s="885"/>
      <c r="HB70" s="885"/>
      <c r="HC70" s="885"/>
      <c r="HD70" s="885"/>
      <c r="HE70" s="885"/>
      <c r="HF70" s="885"/>
      <c r="HG70" s="885"/>
      <c r="HH70" s="885"/>
      <c r="HI70" s="885"/>
      <c r="HJ70" s="885"/>
      <c r="HK70" s="885"/>
      <c r="HL70" s="885"/>
      <c r="HM70" s="885"/>
      <c r="HN70" s="885"/>
      <c r="HO70" s="885"/>
      <c r="HP70" s="885"/>
      <c r="HQ70" s="885"/>
      <c r="HR70" s="885"/>
      <c r="HS70" s="885"/>
      <c r="HT70" s="885"/>
      <c r="HU70" s="885"/>
      <c r="HV70" s="885"/>
      <c r="HW70" s="885"/>
      <c r="HX70" s="885"/>
      <c r="HY70" s="885"/>
      <c r="HZ70" s="885"/>
      <c r="IA70" s="885"/>
      <c r="IB70" s="885"/>
      <c r="IC70" s="885"/>
      <c r="ID70" s="885"/>
      <c r="IE70" s="885"/>
      <c r="IF70" s="885"/>
      <c r="IG70" s="885"/>
      <c r="IH70" s="885"/>
      <c r="II70" s="885"/>
      <c r="IJ70" s="885"/>
      <c r="IK70" s="885"/>
      <c r="IL70" s="885"/>
      <c r="IM70" s="885"/>
      <c r="IN70" s="885"/>
      <c r="IO70" s="885"/>
      <c r="IP70" s="885"/>
      <c r="IQ70" s="885"/>
      <c r="IR70" s="885"/>
      <c r="IS70" s="885"/>
      <c r="IT70" s="885"/>
      <c r="IU70" s="885"/>
      <c r="IV70" s="885"/>
    </row>
    <row r="71" spans="1:256" s="825" customFormat="1" ht="11.25" customHeight="1">
      <c r="A71" s="818" t="s">
        <v>848</v>
      </c>
      <c r="B71" s="803"/>
      <c r="C71" s="803"/>
      <c r="D71" s="803"/>
      <c r="E71" s="803"/>
      <c r="F71" s="887"/>
      <c r="G71" s="887"/>
      <c r="H71" s="887"/>
      <c r="I71" s="887"/>
      <c r="J71" s="887"/>
      <c r="K71" s="888"/>
      <c r="L71" s="888"/>
      <c r="M71" s="889"/>
      <c r="N71" s="889"/>
      <c r="O71" s="824"/>
      <c r="P71" s="824"/>
      <c r="Q71" s="824"/>
      <c r="R71" s="824"/>
      <c r="S71" s="824"/>
      <c r="T71" s="824"/>
      <c r="U71" s="824"/>
      <c r="V71" s="824"/>
      <c r="W71" s="824"/>
      <c r="X71" s="824"/>
      <c r="Y71" s="824"/>
      <c r="Z71" s="824"/>
      <c r="AA71" s="824"/>
      <c r="AB71" s="824"/>
      <c r="AC71" s="824"/>
      <c r="AD71" s="824"/>
      <c r="AE71" s="824"/>
      <c r="AF71" s="824"/>
      <c r="AG71" s="824"/>
      <c r="AH71" s="824"/>
      <c r="AI71" s="824"/>
      <c r="AJ71" s="824"/>
      <c r="AK71" s="824"/>
      <c r="AL71" s="824"/>
      <c r="AM71" s="824"/>
      <c r="AN71" s="824"/>
      <c r="AO71" s="824"/>
      <c r="AP71" s="824"/>
      <c r="AQ71" s="824"/>
      <c r="AR71" s="824"/>
      <c r="AS71" s="824"/>
      <c r="AT71" s="824"/>
      <c r="AU71" s="824"/>
      <c r="AV71" s="824"/>
      <c r="AW71" s="824"/>
      <c r="AX71" s="824"/>
      <c r="AY71" s="824"/>
      <c r="AZ71" s="824"/>
      <c r="BA71" s="824"/>
      <c r="BB71" s="824"/>
      <c r="BC71" s="824"/>
      <c r="BD71" s="824"/>
      <c r="BE71" s="824"/>
      <c r="BF71" s="824"/>
      <c r="BG71" s="824"/>
      <c r="BH71" s="824"/>
      <c r="BI71" s="824"/>
      <c r="BJ71" s="824"/>
      <c r="BK71" s="824"/>
      <c r="BL71" s="824"/>
      <c r="BM71" s="824"/>
      <c r="BN71" s="824"/>
      <c r="BO71" s="824"/>
      <c r="BP71" s="824"/>
      <c r="BQ71" s="824"/>
      <c r="BR71" s="824"/>
      <c r="BS71" s="824"/>
      <c r="BT71" s="824"/>
      <c r="BU71" s="824"/>
      <c r="BV71" s="824"/>
      <c r="BW71" s="824"/>
      <c r="BX71" s="824"/>
      <c r="BY71" s="824"/>
      <c r="BZ71" s="824"/>
      <c r="CA71" s="824"/>
      <c r="CB71" s="824"/>
      <c r="CC71" s="824"/>
      <c r="CD71" s="824"/>
      <c r="CE71" s="824"/>
      <c r="CF71" s="824"/>
      <c r="CG71" s="824"/>
      <c r="CH71" s="824"/>
      <c r="CI71" s="824"/>
      <c r="CJ71" s="824"/>
      <c r="CK71" s="824"/>
      <c r="CL71" s="824"/>
      <c r="CM71" s="824"/>
      <c r="CN71" s="824"/>
      <c r="CO71" s="824"/>
      <c r="CP71" s="824"/>
      <c r="CQ71" s="824"/>
      <c r="CR71" s="824"/>
      <c r="CS71" s="824"/>
      <c r="CT71" s="824"/>
      <c r="CU71" s="824"/>
      <c r="CV71" s="824"/>
      <c r="CW71" s="824"/>
      <c r="CX71" s="824"/>
      <c r="CY71" s="824"/>
      <c r="CZ71" s="824"/>
      <c r="DA71" s="824"/>
      <c r="DB71" s="824"/>
      <c r="DC71" s="824"/>
      <c r="DD71" s="824"/>
      <c r="DE71" s="824"/>
      <c r="DF71" s="824"/>
      <c r="DG71" s="824"/>
      <c r="DH71" s="824"/>
      <c r="DI71" s="824"/>
      <c r="DJ71" s="824"/>
      <c r="DK71" s="824"/>
      <c r="DL71" s="824"/>
      <c r="DM71" s="824"/>
      <c r="DN71" s="824"/>
      <c r="DO71" s="824"/>
      <c r="DP71" s="824"/>
      <c r="DQ71" s="824"/>
      <c r="DR71" s="824"/>
      <c r="DS71" s="824"/>
      <c r="DT71" s="824"/>
      <c r="DU71" s="824"/>
      <c r="DV71" s="824"/>
      <c r="DW71" s="824"/>
      <c r="DX71" s="824"/>
      <c r="DY71" s="824"/>
      <c r="DZ71" s="824"/>
      <c r="EA71" s="824"/>
      <c r="EB71" s="824"/>
      <c r="EC71" s="824"/>
      <c r="ED71" s="824"/>
      <c r="EE71" s="824"/>
      <c r="EF71" s="824"/>
      <c r="EG71" s="824"/>
      <c r="EH71" s="824"/>
      <c r="EI71" s="824"/>
      <c r="EJ71" s="824"/>
      <c r="EK71" s="824"/>
      <c r="EL71" s="824"/>
      <c r="EM71" s="824"/>
      <c r="EN71" s="824"/>
      <c r="EO71" s="824"/>
      <c r="EP71" s="824"/>
      <c r="EQ71" s="824"/>
      <c r="ER71" s="824"/>
      <c r="ES71" s="824"/>
      <c r="ET71" s="824"/>
      <c r="EU71" s="824"/>
      <c r="EV71" s="824"/>
      <c r="EW71" s="824"/>
      <c r="EX71" s="824"/>
      <c r="EY71" s="824"/>
      <c r="EZ71" s="824"/>
      <c r="FA71" s="824"/>
      <c r="FB71" s="824"/>
      <c r="FC71" s="824"/>
      <c r="FD71" s="824"/>
      <c r="FE71" s="824"/>
      <c r="FF71" s="824"/>
      <c r="FG71" s="824"/>
      <c r="FH71" s="824"/>
      <c r="FI71" s="824"/>
      <c r="FJ71" s="824"/>
      <c r="FK71" s="824"/>
      <c r="FL71" s="824"/>
      <c r="FM71" s="824"/>
      <c r="FN71" s="824"/>
      <c r="FO71" s="824"/>
      <c r="FP71" s="824"/>
      <c r="FQ71" s="824"/>
      <c r="FR71" s="824"/>
      <c r="FS71" s="824"/>
      <c r="FT71" s="824"/>
      <c r="FU71" s="824"/>
      <c r="FV71" s="824"/>
      <c r="FW71" s="824"/>
      <c r="FX71" s="824"/>
      <c r="FY71" s="824"/>
      <c r="FZ71" s="824"/>
      <c r="GA71" s="824"/>
      <c r="GB71" s="824"/>
      <c r="GC71" s="824"/>
      <c r="GD71" s="824"/>
      <c r="GE71" s="824"/>
      <c r="GF71" s="824"/>
      <c r="GG71" s="824"/>
      <c r="GH71" s="824"/>
      <c r="GI71" s="824"/>
      <c r="GJ71" s="824"/>
      <c r="GK71" s="824"/>
      <c r="GL71" s="824"/>
      <c r="GM71" s="824"/>
      <c r="GN71" s="824"/>
      <c r="GO71" s="824"/>
      <c r="GP71" s="824"/>
      <c r="GQ71" s="824"/>
      <c r="GR71" s="824"/>
      <c r="GS71" s="824"/>
      <c r="GT71" s="824"/>
      <c r="GU71" s="824"/>
      <c r="GV71" s="824"/>
      <c r="GW71" s="824"/>
      <c r="GX71" s="824"/>
      <c r="GY71" s="824"/>
      <c r="GZ71" s="824"/>
      <c r="HA71" s="824"/>
      <c r="HB71" s="824"/>
      <c r="HC71" s="824"/>
      <c r="HD71" s="824"/>
      <c r="HE71" s="824"/>
      <c r="HF71" s="824"/>
      <c r="HG71" s="824"/>
      <c r="HH71" s="824"/>
      <c r="HI71" s="824"/>
      <c r="HJ71" s="824"/>
      <c r="HK71" s="824"/>
      <c r="HL71" s="824"/>
      <c r="HM71" s="824"/>
      <c r="HN71" s="824"/>
      <c r="HO71" s="824"/>
      <c r="HP71" s="824"/>
      <c r="HQ71" s="824"/>
      <c r="HR71" s="824"/>
      <c r="HS71" s="824"/>
      <c r="HT71" s="824"/>
      <c r="HU71" s="824"/>
      <c r="HV71" s="824"/>
      <c r="HW71" s="824"/>
      <c r="HX71" s="824"/>
      <c r="HY71" s="824"/>
      <c r="HZ71" s="824"/>
      <c r="IA71" s="824"/>
      <c r="IB71" s="824"/>
      <c r="IC71" s="824"/>
      <c r="ID71" s="824"/>
      <c r="IE71" s="824"/>
      <c r="IF71" s="824"/>
      <c r="IG71" s="824"/>
      <c r="IH71" s="824"/>
      <c r="II71" s="824"/>
      <c r="IJ71" s="824"/>
      <c r="IK71" s="824"/>
      <c r="IL71" s="824"/>
      <c r="IM71" s="824"/>
      <c r="IN71" s="824"/>
      <c r="IO71" s="824"/>
      <c r="IP71" s="824"/>
      <c r="IQ71" s="824"/>
      <c r="IR71" s="824"/>
      <c r="IS71" s="824"/>
      <c r="IT71" s="824"/>
      <c r="IU71" s="824"/>
      <c r="IV71" s="824"/>
    </row>
    <row r="72" spans="1:256" ht="10.5" customHeight="1">
      <c r="A72" s="803" t="s">
        <v>455</v>
      </c>
      <c r="B72" s="890">
        <v>94.9</v>
      </c>
      <c r="C72" s="890">
        <v>83.7</v>
      </c>
      <c r="D72" s="891">
        <v>82.3</v>
      </c>
      <c r="E72" s="891">
        <v>73.599999999999994</v>
      </c>
      <c r="F72" s="891">
        <v>51.6</v>
      </c>
      <c r="G72" s="891">
        <v>44.9</v>
      </c>
      <c r="H72" s="891">
        <v>39.700000000000003</v>
      </c>
      <c r="I72" s="891">
        <v>32</v>
      </c>
      <c r="J72" s="891">
        <v>25.1</v>
      </c>
      <c r="K72" s="890">
        <v>24.8</v>
      </c>
      <c r="L72" s="892">
        <v>53.9</v>
      </c>
      <c r="M72" s="893">
        <v>40.9</v>
      </c>
      <c r="N72" s="890">
        <v>27.2</v>
      </c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  <c r="AA72" s="817"/>
      <c r="AB72" s="817"/>
      <c r="AC72" s="817"/>
      <c r="AD72" s="817"/>
      <c r="AE72" s="817"/>
      <c r="AF72" s="817"/>
      <c r="AG72" s="817"/>
      <c r="AH72" s="817"/>
      <c r="AI72" s="817"/>
      <c r="AJ72" s="817"/>
      <c r="AK72" s="817"/>
      <c r="AL72" s="817"/>
      <c r="AM72" s="817"/>
      <c r="AN72" s="817"/>
      <c r="AO72" s="817"/>
      <c r="AP72" s="817"/>
      <c r="AQ72" s="817"/>
      <c r="AR72" s="817"/>
      <c r="AS72" s="817"/>
      <c r="AT72" s="817"/>
      <c r="AU72" s="817"/>
      <c r="AV72" s="817"/>
      <c r="AW72" s="817"/>
      <c r="AX72" s="817"/>
      <c r="AY72" s="817"/>
      <c r="AZ72" s="817"/>
      <c r="BA72" s="817"/>
      <c r="BB72" s="817"/>
      <c r="BC72" s="817"/>
      <c r="BD72" s="817"/>
      <c r="BE72" s="817"/>
      <c r="BF72" s="817"/>
      <c r="BG72" s="817"/>
      <c r="BH72" s="817"/>
      <c r="BI72" s="817"/>
      <c r="BJ72" s="817"/>
      <c r="BK72" s="817"/>
      <c r="BL72" s="817"/>
      <c r="BM72" s="817"/>
      <c r="BN72" s="817"/>
      <c r="BO72" s="817"/>
      <c r="BP72" s="817"/>
      <c r="BQ72" s="817"/>
      <c r="BR72" s="817"/>
      <c r="BS72" s="817"/>
      <c r="BT72" s="817"/>
      <c r="BU72" s="817"/>
      <c r="BV72" s="817"/>
      <c r="BW72" s="817"/>
      <c r="BX72" s="817"/>
      <c r="BY72" s="817"/>
      <c r="BZ72" s="817"/>
      <c r="CA72" s="817"/>
      <c r="CB72" s="817"/>
      <c r="CC72" s="817"/>
      <c r="CD72" s="817"/>
      <c r="CE72" s="817"/>
      <c r="CF72" s="817"/>
      <c r="CG72" s="817"/>
      <c r="CH72" s="817"/>
      <c r="CI72" s="817"/>
      <c r="CJ72" s="817"/>
      <c r="CK72" s="817"/>
      <c r="CL72" s="817"/>
      <c r="CM72" s="817"/>
      <c r="CN72" s="817"/>
      <c r="CO72" s="817"/>
      <c r="CP72" s="817"/>
      <c r="CQ72" s="817"/>
      <c r="CR72" s="817"/>
      <c r="CS72" s="817"/>
      <c r="CT72" s="817"/>
      <c r="CU72" s="817"/>
      <c r="CV72" s="817"/>
      <c r="CW72" s="817"/>
      <c r="CX72" s="817"/>
      <c r="CY72" s="817"/>
      <c r="CZ72" s="817"/>
      <c r="DA72" s="817"/>
      <c r="DB72" s="817"/>
      <c r="DC72" s="817"/>
      <c r="DD72" s="817"/>
      <c r="DE72" s="817"/>
      <c r="DF72" s="817"/>
      <c r="DG72" s="817"/>
      <c r="DH72" s="817"/>
      <c r="DI72" s="817"/>
      <c r="DJ72" s="817"/>
      <c r="DK72" s="817"/>
      <c r="DL72" s="817"/>
      <c r="DM72" s="817"/>
      <c r="DN72" s="817"/>
      <c r="DO72" s="817"/>
      <c r="DP72" s="817"/>
      <c r="DQ72" s="817"/>
      <c r="DR72" s="817"/>
      <c r="DS72" s="817"/>
      <c r="DT72" s="817"/>
      <c r="DU72" s="817"/>
      <c r="DV72" s="817"/>
      <c r="DW72" s="817"/>
      <c r="DX72" s="817"/>
      <c r="DY72" s="817"/>
      <c r="DZ72" s="817"/>
      <c r="EA72" s="817"/>
      <c r="EB72" s="817"/>
      <c r="EC72" s="817"/>
      <c r="ED72" s="817"/>
      <c r="EE72" s="817"/>
      <c r="EF72" s="817"/>
      <c r="EG72" s="817"/>
      <c r="EH72" s="817"/>
      <c r="EI72" s="817"/>
      <c r="EJ72" s="817"/>
      <c r="EK72" s="817"/>
      <c r="EL72" s="817"/>
      <c r="EM72" s="817"/>
      <c r="EN72" s="817"/>
      <c r="EO72" s="817"/>
      <c r="EP72" s="817"/>
      <c r="EQ72" s="817"/>
      <c r="ER72" s="817"/>
      <c r="ES72" s="817"/>
      <c r="ET72" s="817"/>
      <c r="EU72" s="817"/>
      <c r="EV72" s="817"/>
      <c r="EW72" s="817"/>
      <c r="EX72" s="817"/>
      <c r="EY72" s="817"/>
      <c r="EZ72" s="817"/>
      <c r="FA72" s="817"/>
      <c r="FB72" s="817"/>
      <c r="FC72" s="817"/>
      <c r="FD72" s="817"/>
      <c r="FE72" s="817"/>
      <c r="FF72" s="817"/>
      <c r="FG72" s="817"/>
      <c r="FH72" s="817"/>
      <c r="FI72" s="817"/>
      <c r="FJ72" s="817"/>
      <c r="FK72" s="817"/>
      <c r="FL72" s="817"/>
      <c r="FM72" s="817"/>
      <c r="FN72" s="817"/>
      <c r="FO72" s="817"/>
      <c r="FP72" s="817"/>
      <c r="FQ72" s="817"/>
      <c r="FR72" s="817"/>
      <c r="FS72" s="817"/>
      <c r="FT72" s="817"/>
      <c r="FU72" s="817"/>
      <c r="FV72" s="817"/>
      <c r="FW72" s="817"/>
      <c r="FX72" s="817"/>
      <c r="FY72" s="817"/>
      <c r="FZ72" s="817"/>
      <c r="GA72" s="817"/>
      <c r="GB72" s="817"/>
      <c r="GC72" s="817"/>
      <c r="GD72" s="817"/>
      <c r="GE72" s="817"/>
      <c r="GF72" s="817"/>
      <c r="GG72" s="817"/>
      <c r="GH72" s="817"/>
      <c r="GI72" s="817"/>
      <c r="GJ72" s="817"/>
      <c r="GK72" s="817"/>
      <c r="GL72" s="817"/>
      <c r="GM72" s="817"/>
      <c r="GN72" s="817"/>
      <c r="GO72" s="817"/>
      <c r="GP72" s="817"/>
      <c r="GQ72" s="817"/>
      <c r="GR72" s="817"/>
      <c r="GS72" s="817"/>
      <c r="GT72" s="817"/>
      <c r="GU72" s="817"/>
      <c r="GV72" s="817"/>
      <c r="GW72" s="817"/>
      <c r="GX72" s="817"/>
      <c r="GY72" s="817"/>
      <c r="GZ72" s="817"/>
      <c r="HA72" s="817"/>
      <c r="HB72" s="817"/>
      <c r="HC72" s="817"/>
      <c r="HD72" s="817"/>
      <c r="HE72" s="817"/>
      <c r="HF72" s="817"/>
      <c r="HG72" s="817"/>
      <c r="HH72" s="817"/>
      <c r="HI72" s="817"/>
      <c r="HJ72" s="817"/>
      <c r="HK72" s="817"/>
      <c r="HL72" s="817"/>
      <c r="HM72" s="817"/>
      <c r="HN72" s="817"/>
      <c r="HO72" s="817"/>
      <c r="HP72" s="817"/>
      <c r="HQ72" s="817"/>
      <c r="HR72" s="817"/>
      <c r="HS72" s="817"/>
      <c r="HT72" s="817"/>
      <c r="HU72" s="817"/>
      <c r="HV72" s="817"/>
      <c r="HW72" s="817"/>
      <c r="HX72" s="817"/>
      <c r="HY72" s="817"/>
      <c r="HZ72" s="817"/>
      <c r="IA72" s="817"/>
      <c r="IB72" s="817"/>
      <c r="IC72" s="817"/>
      <c r="ID72" s="817"/>
      <c r="IE72" s="817"/>
      <c r="IF72" s="817"/>
      <c r="IG72" s="817"/>
      <c r="IH72" s="817"/>
      <c r="II72" s="817"/>
      <c r="IJ72" s="817"/>
      <c r="IK72" s="817"/>
      <c r="IL72" s="817"/>
      <c r="IM72" s="817"/>
      <c r="IN72" s="817"/>
      <c r="IO72" s="817"/>
      <c r="IP72" s="817"/>
      <c r="IQ72" s="817"/>
      <c r="IR72" s="817"/>
      <c r="IS72" s="817"/>
      <c r="IT72" s="817"/>
      <c r="IU72" s="817"/>
      <c r="IV72" s="817"/>
    </row>
    <row r="73" spans="1:256" ht="10.5" customHeight="1">
      <c r="A73" s="803" t="s">
        <v>820</v>
      </c>
      <c r="B73" s="890">
        <v>313.8</v>
      </c>
      <c r="C73" s="890">
        <v>422.5</v>
      </c>
      <c r="D73" s="891">
        <v>429.6</v>
      </c>
      <c r="E73" s="891">
        <v>497.5</v>
      </c>
      <c r="F73" s="891">
        <v>629.20000000000005</v>
      </c>
      <c r="G73" s="891">
        <v>578.29999999999995</v>
      </c>
      <c r="H73" s="891">
        <v>624.29999999999995</v>
      </c>
      <c r="I73" s="891">
        <v>841.9</v>
      </c>
      <c r="J73" s="891">
        <v>887.4</v>
      </c>
      <c r="K73" s="890">
        <v>826.5</v>
      </c>
      <c r="L73" s="893">
        <v>781</v>
      </c>
      <c r="M73" s="893">
        <v>826.9</v>
      </c>
      <c r="N73" s="890">
        <v>833.9</v>
      </c>
      <c r="O73" s="817"/>
      <c r="P73" s="817"/>
      <c r="Q73" s="817"/>
      <c r="R73" s="817"/>
      <c r="S73" s="817"/>
      <c r="T73" s="817"/>
      <c r="U73" s="817"/>
      <c r="V73" s="817"/>
      <c r="W73" s="817"/>
      <c r="X73" s="817"/>
      <c r="Y73" s="817"/>
      <c r="Z73" s="817"/>
      <c r="AA73" s="817"/>
      <c r="AB73" s="817"/>
      <c r="AC73" s="817"/>
      <c r="AD73" s="817"/>
      <c r="AE73" s="817"/>
      <c r="AF73" s="817"/>
      <c r="AG73" s="817"/>
      <c r="AH73" s="817"/>
      <c r="AI73" s="817"/>
      <c r="AJ73" s="817"/>
      <c r="AK73" s="817"/>
      <c r="AL73" s="817"/>
      <c r="AM73" s="817"/>
      <c r="AN73" s="817"/>
      <c r="AO73" s="817"/>
      <c r="AP73" s="817"/>
      <c r="AQ73" s="817"/>
      <c r="AR73" s="817"/>
      <c r="AS73" s="817"/>
      <c r="AT73" s="817"/>
      <c r="AU73" s="817"/>
      <c r="AV73" s="817"/>
      <c r="AW73" s="817"/>
      <c r="AX73" s="817"/>
      <c r="AY73" s="817"/>
      <c r="AZ73" s="817"/>
      <c r="BA73" s="817"/>
      <c r="BB73" s="817"/>
      <c r="BC73" s="817"/>
      <c r="BD73" s="817"/>
      <c r="BE73" s="817"/>
      <c r="BF73" s="817"/>
      <c r="BG73" s="817"/>
      <c r="BH73" s="817"/>
      <c r="BI73" s="817"/>
      <c r="BJ73" s="817"/>
      <c r="BK73" s="817"/>
      <c r="BL73" s="817"/>
      <c r="BM73" s="817"/>
      <c r="BN73" s="817"/>
      <c r="BO73" s="817"/>
      <c r="BP73" s="817"/>
      <c r="BQ73" s="817"/>
      <c r="BR73" s="817"/>
      <c r="BS73" s="817"/>
      <c r="BT73" s="817"/>
      <c r="BU73" s="817"/>
      <c r="BV73" s="817"/>
      <c r="BW73" s="817"/>
      <c r="BX73" s="817"/>
      <c r="BY73" s="817"/>
      <c r="BZ73" s="817"/>
      <c r="CA73" s="817"/>
      <c r="CB73" s="817"/>
      <c r="CC73" s="817"/>
      <c r="CD73" s="817"/>
      <c r="CE73" s="817"/>
      <c r="CF73" s="817"/>
      <c r="CG73" s="817"/>
      <c r="CH73" s="817"/>
      <c r="CI73" s="817"/>
      <c r="CJ73" s="817"/>
      <c r="CK73" s="817"/>
      <c r="CL73" s="817"/>
      <c r="CM73" s="817"/>
      <c r="CN73" s="817"/>
      <c r="CO73" s="817"/>
      <c r="CP73" s="817"/>
      <c r="CQ73" s="817"/>
      <c r="CR73" s="817"/>
      <c r="CS73" s="817"/>
      <c r="CT73" s="817"/>
      <c r="CU73" s="817"/>
      <c r="CV73" s="817"/>
      <c r="CW73" s="817"/>
      <c r="CX73" s="817"/>
      <c r="CY73" s="817"/>
      <c r="CZ73" s="817"/>
      <c r="DA73" s="817"/>
      <c r="DB73" s="817"/>
      <c r="DC73" s="817"/>
      <c r="DD73" s="817"/>
      <c r="DE73" s="817"/>
      <c r="DF73" s="817"/>
      <c r="DG73" s="817"/>
      <c r="DH73" s="817"/>
      <c r="DI73" s="817"/>
      <c r="DJ73" s="817"/>
      <c r="DK73" s="817"/>
      <c r="DL73" s="817"/>
      <c r="DM73" s="817"/>
      <c r="DN73" s="817"/>
      <c r="DO73" s="817"/>
      <c r="DP73" s="817"/>
      <c r="DQ73" s="817"/>
      <c r="DR73" s="817"/>
      <c r="DS73" s="817"/>
      <c r="DT73" s="817"/>
      <c r="DU73" s="817"/>
      <c r="DV73" s="817"/>
      <c r="DW73" s="817"/>
      <c r="DX73" s="817"/>
      <c r="DY73" s="817"/>
      <c r="DZ73" s="817"/>
      <c r="EA73" s="817"/>
      <c r="EB73" s="817"/>
      <c r="EC73" s="817"/>
      <c r="ED73" s="817"/>
      <c r="EE73" s="817"/>
      <c r="EF73" s="817"/>
      <c r="EG73" s="817"/>
      <c r="EH73" s="817"/>
      <c r="EI73" s="817"/>
      <c r="EJ73" s="817"/>
      <c r="EK73" s="817"/>
      <c r="EL73" s="817"/>
      <c r="EM73" s="817"/>
      <c r="EN73" s="817"/>
      <c r="EO73" s="817"/>
      <c r="EP73" s="817"/>
      <c r="EQ73" s="817"/>
      <c r="ER73" s="817"/>
      <c r="ES73" s="817"/>
      <c r="ET73" s="817"/>
      <c r="EU73" s="817"/>
      <c r="EV73" s="817"/>
      <c r="EW73" s="817"/>
      <c r="EX73" s="817"/>
      <c r="EY73" s="817"/>
      <c r="EZ73" s="817"/>
      <c r="FA73" s="817"/>
      <c r="FB73" s="817"/>
      <c r="FC73" s="817"/>
      <c r="FD73" s="817"/>
      <c r="FE73" s="817"/>
      <c r="FF73" s="817"/>
      <c r="FG73" s="817"/>
      <c r="FH73" s="817"/>
      <c r="FI73" s="817"/>
      <c r="FJ73" s="817"/>
      <c r="FK73" s="817"/>
      <c r="FL73" s="817"/>
      <c r="FM73" s="817"/>
      <c r="FN73" s="817"/>
      <c r="FO73" s="817"/>
      <c r="FP73" s="817"/>
      <c r="FQ73" s="817"/>
      <c r="FR73" s="817"/>
      <c r="FS73" s="817"/>
      <c r="FT73" s="817"/>
      <c r="FU73" s="817"/>
      <c r="FV73" s="817"/>
      <c r="FW73" s="817"/>
      <c r="FX73" s="817"/>
      <c r="FY73" s="817"/>
      <c r="FZ73" s="817"/>
      <c r="GA73" s="817"/>
      <c r="GB73" s="817"/>
      <c r="GC73" s="817"/>
      <c r="GD73" s="817"/>
      <c r="GE73" s="817"/>
      <c r="GF73" s="817"/>
      <c r="GG73" s="817"/>
      <c r="GH73" s="817"/>
      <c r="GI73" s="817"/>
      <c r="GJ73" s="817"/>
      <c r="GK73" s="817"/>
      <c r="GL73" s="817"/>
      <c r="GM73" s="817"/>
      <c r="GN73" s="817"/>
      <c r="GO73" s="817"/>
      <c r="GP73" s="817"/>
      <c r="GQ73" s="817"/>
      <c r="GR73" s="817"/>
      <c r="GS73" s="817"/>
      <c r="GT73" s="817"/>
      <c r="GU73" s="817"/>
      <c r="GV73" s="817"/>
      <c r="GW73" s="817"/>
      <c r="GX73" s="817"/>
      <c r="GY73" s="817"/>
      <c r="GZ73" s="817"/>
      <c r="HA73" s="817"/>
      <c r="HB73" s="817"/>
      <c r="HC73" s="817"/>
      <c r="HD73" s="817"/>
      <c r="HE73" s="817"/>
      <c r="HF73" s="817"/>
      <c r="HG73" s="817"/>
      <c r="HH73" s="817"/>
      <c r="HI73" s="817"/>
      <c r="HJ73" s="817"/>
      <c r="HK73" s="817"/>
      <c r="HL73" s="817"/>
      <c r="HM73" s="817"/>
      <c r="HN73" s="817"/>
      <c r="HO73" s="817"/>
      <c r="HP73" s="817"/>
      <c r="HQ73" s="817"/>
      <c r="HR73" s="817"/>
      <c r="HS73" s="817"/>
      <c r="HT73" s="817"/>
      <c r="HU73" s="817"/>
      <c r="HV73" s="817"/>
      <c r="HW73" s="817"/>
      <c r="HX73" s="817"/>
      <c r="HY73" s="817"/>
      <c r="HZ73" s="817"/>
      <c r="IA73" s="817"/>
      <c r="IB73" s="817"/>
      <c r="IC73" s="817"/>
      <c r="ID73" s="817"/>
      <c r="IE73" s="817"/>
      <c r="IF73" s="817"/>
      <c r="IG73" s="817"/>
      <c r="IH73" s="817"/>
      <c r="II73" s="817"/>
      <c r="IJ73" s="817"/>
      <c r="IK73" s="817"/>
      <c r="IL73" s="817"/>
      <c r="IM73" s="817"/>
      <c r="IN73" s="817"/>
      <c r="IO73" s="817"/>
      <c r="IP73" s="817"/>
      <c r="IQ73" s="817"/>
      <c r="IR73" s="817"/>
      <c r="IS73" s="817"/>
      <c r="IT73" s="817"/>
      <c r="IU73" s="817"/>
      <c r="IV73" s="817"/>
    </row>
    <row r="74" spans="1:256" ht="10.5" customHeight="1">
      <c r="A74" s="803" t="s">
        <v>821</v>
      </c>
      <c r="B74" s="890">
        <v>11.3</v>
      </c>
      <c r="C74" s="890">
        <v>11.5</v>
      </c>
      <c r="D74" s="891">
        <v>10</v>
      </c>
      <c r="E74" s="891">
        <v>14.5</v>
      </c>
      <c r="F74" s="891">
        <v>11.9</v>
      </c>
      <c r="G74" s="891">
        <v>12.3</v>
      </c>
      <c r="H74" s="891">
        <v>9.1999999999999993</v>
      </c>
      <c r="I74" s="891">
        <v>6.96</v>
      </c>
      <c r="J74" s="891">
        <v>7.2</v>
      </c>
      <c r="K74" s="890">
        <v>11.2</v>
      </c>
      <c r="L74" s="892">
        <v>7.1</v>
      </c>
      <c r="M74" s="894">
        <v>1.5</v>
      </c>
      <c r="N74" s="890">
        <v>1</v>
      </c>
      <c r="O74" s="817"/>
      <c r="P74" s="817"/>
      <c r="Q74" s="817"/>
      <c r="R74" s="817"/>
      <c r="S74" s="817"/>
      <c r="T74" s="817"/>
      <c r="U74" s="817"/>
      <c r="V74" s="817"/>
      <c r="W74" s="817"/>
      <c r="X74" s="817"/>
      <c r="Y74" s="817"/>
      <c r="Z74" s="817"/>
      <c r="AA74" s="817"/>
      <c r="AB74" s="817"/>
      <c r="AC74" s="817"/>
      <c r="AD74" s="817"/>
      <c r="AE74" s="817"/>
      <c r="AF74" s="817"/>
      <c r="AG74" s="817"/>
      <c r="AH74" s="817"/>
      <c r="AI74" s="817"/>
      <c r="AJ74" s="817"/>
      <c r="AK74" s="817"/>
      <c r="AL74" s="817"/>
      <c r="AM74" s="817"/>
      <c r="AN74" s="817"/>
      <c r="AO74" s="817"/>
      <c r="AP74" s="817"/>
      <c r="AQ74" s="817"/>
      <c r="AR74" s="817"/>
      <c r="AS74" s="817"/>
      <c r="AT74" s="817"/>
      <c r="AU74" s="817"/>
      <c r="AV74" s="817"/>
      <c r="AW74" s="817"/>
      <c r="AX74" s="817"/>
      <c r="AY74" s="817"/>
      <c r="AZ74" s="817"/>
      <c r="BA74" s="817"/>
      <c r="BB74" s="817"/>
      <c r="BC74" s="817"/>
      <c r="BD74" s="817"/>
      <c r="BE74" s="817"/>
      <c r="BF74" s="817"/>
      <c r="BG74" s="817"/>
      <c r="BH74" s="817"/>
      <c r="BI74" s="817"/>
      <c r="BJ74" s="817"/>
      <c r="BK74" s="817"/>
      <c r="BL74" s="817"/>
      <c r="BM74" s="817"/>
      <c r="BN74" s="817"/>
      <c r="BO74" s="817"/>
      <c r="BP74" s="817"/>
      <c r="BQ74" s="817"/>
      <c r="BR74" s="817"/>
      <c r="BS74" s="817"/>
      <c r="BT74" s="817"/>
      <c r="BU74" s="817"/>
      <c r="BV74" s="817"/>
      <c r="BW74" s="817"/>
      <c r="BX74" s="817"/>
      <c r="BY74" s="817"/>
      <c r="BZ74" s="817"/>
      <c r="CA74" s="817"/>
      <c r="CB74" s="817"/>
      <c r="CC74" s="817"/>
      <c r="CD74" s="817"/>
      <c r="CE74" s="817"/>
      <c r="CF74" s="817"/>
      <c r="CG74" s="817"/>
      <c r="CH74" s="817"/>
      <c r="CI74" s="817"/>
      <c r="CJ74" s="817"/>
      <c r="CK74" s="817"/>
      <c r="CL74" s="817"/>
      <c r="CM74" s="817"/>
      <c r="CN74" s="817"/>
      <c r="CO74" s="817"/>
      <c r="CP74" s="817"/>
      <c r="CQ74" s="817"/>
      <c r="CR74" s="817"/>
      <c r="CS74" s="817"/>
      <c r="CT74" s="817"/>
      <c r="CU74" s="817"/>
      <c r="CV74" s="817"/>
      <c r="CW74" s="817"/>
      <c r="CX74" s="817"/>
      <c r="CY74" s="817"/>
      <c r="CZ74" s="817"/>
      <c r="DA74" s="817"/>
      <c r="DB74" s="817"/>
      <c r="DC74" s="817"/>
      <c r="DD74" s="817"/>
      <c r="DE74" s="817"/>
      <c r="DF74" s="817"/>
      <c r="DG74" s="817"/>
      <c r="DH74" s="817"/>
      <c r="DI74" s="817"/>
      <c r="DJ74" s="817"/>
      <c r="DK74" s="817"/>
      <c r="DL74" s="817"/>
      <c r="DM74" s="817"/>
      <c r="DN74" s="817"/>
      <c r="DO74" s="817"/>
      <c r="DP74" s="817"/>
      <c r="DQ74" s="817"/>
      <c r="DR74" s="817"/>
      <c r="DS74" s="817"/>
      <c r="DT74" s="817"/>
      <c r="DU74" s="817"/>
      <c r="DV74" s="817"/>
      <c r="DW74" s="817"/>
      <c r="DX74" s="817"/>
      <c r="DY74" s="817"/>
      <c r="DZ74" s="817"/>
      <c r="EA74" s="817"/>
      <c r="EB74" s="817"/>
      <c r="EC74" s="817"/>
      <c r="ED74" s="817"/>
      <c r="EE74" s="817"/>
      <c r="EF74" s="817"/>
      <c r="EG74" s="817"/>
      <c r="EH74" s="817"/>
      <c r="EI74" s="817"/>
      <c r="EJ74" s="817"/>
      <c r="EK74" s="817"/>
      <c r="EL74" s="817"/>
      <c r="EM74" s="817"/>
      <c r="EN74" s="817"/>
      <c r="EO74" s="817"/>
      <c r="EP74" s="817"/>
      <c r="EQ74" s="817"/>
      <c r="ER74" s="817"/>
      <c r="ES74" s="817"/>
      <c r="ET74" s="817"/>
      <c r="EU74" s="817"/>
      <c r="EV74" s="817"/>
      <c r="EW74" s="817"/>
      <c r="EX74" s="817"/>
      <c r="EY74" s="817"/>
      <c r="EZ74" s="817"/>
      <c r="FA74" s="817"/>
      <c r="FB74" s="817"/>
      <c r="FC74" s="817"/>
      <c r="FD74" s="817"/>
      <c r="FE74" s="817"/>
      <c r="FF74" s="817"/>
      <c r="FG74" s="817"/>
      <c r="FH74" s="817"/>
      <c r="FI74" s="817"/>
      <c r="FJ74" s="817"/>
      <c r="FK74" s="817"/>
      <c r="FL74" s="817"/>
      <c r="FM74" s="817"/>
      <c r="FN74" s="817"/>
      <c r="FO74" s="817"/>
      <c r="FP74" s="817"/>
      <c r="FQ74" s="817"/>
      <c r="FR74" s="817"/>
      <c r="FS74" s="817"/>
      <c r="FT74" s="817"/>
      <c r="FU74" s="817"/>
      <c r="FV74" s="817"/>
      <c r="FW74" s="817"/>
      <c r="FX74" s="817"/>
      <c r="FY74" s="817"/>
      <c r="FZ74" s="817"/>
      <c r="GA74" s="817"/>
      <c r="GB74" s="817"/>
      <c r="GC74" s="817"/>
      <c r="GD74" s="817"/>
      <c r="GE74" s="817"/>
      <c r="GF74" s="817"/>
      <c r="GG74" s="817"/>
      <c r="GH74" s="817"/>
      <c r="GI74" s="817"/>
      <c r="GJ74" s="817"/>
      <c r="GK74" s="817"/>
      <c r="GL74" s="817"/>
      <c r="GM74" s="817"/>
      <c r="GN74" s="817"/>
      <c r="GO74" s="817"/>
      <c r="GP74" s="817"/>
      <c r="GQ74" s="817"/>
      <c r="GR74" s="817"/>
      <c r="GS74" s="817"/>
      <c r="GT74" s="817"/>
      <c r="GU74" s="817"/>
      <c r="GV74" s="817"/>
      <c r="GW74" s="817"/>
      <c r="GX74" s="817"/>
      <c r="GY74" s="817"/>
      <c r="GZ74" s="817"/>
      <c r="HA74" s="817"/>
      <c r="HB74" s="817"/>
      <c r="HC74" s="817"/>
      <c r="HD74" s="817"/>
      <c r="HE74" s="817"/>
      <c r="HF74" s="817"/>
      <c r="HG74" s="817"/>
      <c r="HH74" s="817"/>
      <c r="HI74" s="817"/>
      <c r="HJ74" s="817"/>
      <c r="HK74" s="817"/>
      <c r="HL74" s="817"/>
      <c r="HM74" s="817"/>
      <c r="HN74" s="817"/>
      <c r="HO74" s="817"/>
      <c r="HP74" s="817"/>
      <c r="HQ74" s="817"/>
      <c r="HR74" s="817"/>
      <c r="HS74" s="817"/>
      <c r="HT74" s="817"/>
      <c r="HU74" s="817"/>
      <c r="HV74" s="817"/>
      <c r="HW74" s="817"/>
      <c r="HX74" s="817"/>
      <c r="HY74" s="817"/>
      <c r="HZ74" s="817"/>
      <c r="IA74" s="817"/>
      <c r="IB74" s="817"/>
      <c r="IC74" s="817"/>
      <c r="ID74" s="817"/>
      <c r="IE74" s="817"/>
      <c r="IF74" s="817"/>
      <c r="IG74" s="817"/>
      <c r="IH74" s="817"/>
      <c r="II74" s="817"/>
      <c r="IJ74" s="817"/>
      <c r="IK74" s="817"/>
      <c r="IL74" s="817"/>
      <c r="IM74" s="817"/>
      <c r="IN74" s="817"/>
      <c r="IO74" s="817"/>
      <c r="IP74" s="817"/>
      <c r="IQ74" s="817"/>
      <c r="IR74" s="817"/>
      <c r="IS74" s="817"/>
      <c r="IT74" s="817"/>
      <c r="IU74" s="817"/>
      <c r="IV74" s="817"/>
    </row>
    <row r="75" spans="1:256" ht="10.5" customHeight="1">
      <c r="A75" s="852" t="s">
        <v>822</v>
      </c>
      <c r="B75" s="842">
        <v>0</v>
      </c>
      <c r="C75" s="842">
        <v>0</v>
      </c>
      <c r="D75" s="895">
        <v>0</v>
      </c>
      <c r="E75" s="842">
        <v>0</v>
      </c>
      <c r="F75" s="842">
        <v>8.6</v>
      </c>
      <c r="G75" s="842">
        <v>0</v>
      </c>
      <c r="H75" s="842">
        <v>0</v>
      </c>
      <c r="I75" s="842">
        <v>0</v>
      </c>
      <c r="J75" s="842">
        <v>5.4</v>
      </c>
      <c r="K75" s="842">
        <v>6.8</v>
      </c>
      <c r="L75" s="843">
        <v>8</v>
      </c>
      <c r="M75" s="843">
        <v>7.2</v>
      </c>
      <c r="N75" s="842">
        <v>4.7</v>
      </c>
      <c r="O75" s="817"/>
      <c r="P75" s="817"/>
      <c r="Q75" s="817"/>
      <c r="R75" s="817"/>
      <c r="S75" s="817"/>
      <c r="T75" s="817"/>
      <c r="U75" s="817"/>
      <c r="V75" s="817"/>
      <c r="W75" s="817"/>
      <c r="X75" s="817"/>
      <c r="Y75" s="817"/>
      <c r="Z75" s="817"/>
      <c r="AA75" s="817"/>
      <c r="AB75" s="817"/>
      <c r="AC75" s="817"/>
      <c r="AD75" s="817"/>
      <c r="AE75" s="817"/>
      <c r="AF75" s="817"/>
      <c r="AG75" s="817"/>
      <c r="AH75" s="817"/>
      <c r="AI75" s="817"/>
      <c r="AJ75" s="817"/>
      <c r="AK75" s="817"/>
      <c r="AL75" s="817"/>
      <c r="AM75" s="817"/>
      <c r="AN75" s="817"/>
      <c r="AO75" s="817"/>
      <c r="AP75" s="817"/>
      <c r="AQ75" s="817"/>
      <c r="AR75" s="817"/>
      <c r="AS75" s="817"/>
      <c r="AT75" s="817"/>
      <c r="AU75" s="817"/>
      <c r="AV75" s="817"/>
      <c r="AW75" s="817"/>
      <c r="AX75" s="817"/>
      <c r="AY75" s="817"/>
      <c r="AZ75" s="817"/>
      <c r="BA75" s="817"/>
      <c r="BB75" s="817"/>
      <c r="BC75" s="817"/>
      <c r="BD75" s="817"/>
      <c r="BE75" s="817"/>
      <c r="BF75" s="817"/>
      <c r="BG75" s="817"/>
      <c r="BH75" s="817"/>
      <c r="BI75" s="817"/>
      <c r="BJ75" s="817"/>
      <c r="BK75" s="817"/>
      <c r="BL75" s="817"/>
      <c r="BM75" s="817"/>
      <c r="BN75" s="817"/>
      <c r="BO75" s="817"/>
      <c r="BP75" s="817"/>
      <c r="BQ75" s="817"/>
      <c r="BR75" s="817"/>
      <c r="BS75" s="817"/>
      <c r="BT75" s="817"/>
      <c r="BU75" s="817"/>
      <c r="BV75" s="817"/>
      <c r="BW75" s="817"/>
      <c r="BX75" s="817"/>
      <c r="BY75" s="817"/>
      <c r="BZ75" s="817"/>
      <c r="CA75" s="817"/>
      <c r="CB75" s="817"/>
      <c r="CC75" s="817"/>
      <c r="CD75" s="817"/>
      <c r="CE75" s="817"/>
      <c r="CF75" s="817"/>
      <c r="CG75" s="817"/>
      <c r="CH75" s="817"/>
      <c r="CI75" s="817"/>
      <c r="CJ75" s="817"/>
      <c r="CK75" s="817"/>
      <c r="CL75" s="817"/>
      <c r="CM75" s="817"/>
      <c r="CN75" s="817"/>
      <c r="CO75" s="817"/>
      <c r="CP75" s="817"/>
      <c r="CQ75" s="817"/>
      <c r="CR75" s="817"/>
      <c r="CS75" s="817"/>
      <c r="CT75" s="817"/>
      <c r="CU75" s="817"/>
      <c r="CV75" s="817"/>
      <c r="CW75" s="817"/>
      <c r="CX75" s="817"/>
      <c r="CY75" s="817"/>
      <c r="CZ75" s="817"/>
      <c r="DA75" s="817"/>
      <c r="DB75" s="817"/>
      <c r="DC75" s="817"/>
      <c r="DD75" s="817"/>
      <c r="DE75" s="817"/>
      <c r="DF75" s="817"/>
      <c r="DG75" s="817"/>
      <c r="DH75" s="817"/>
      <c r="DI75" s="817"/>
      <c r="DJ75" s="817"/>
      <c r="DK75" s="817"/>
      <c r="DL75" s="817"/>
      <c r="DM75" s="817"/>
      <c r="DN75" s="817"/>
      <c r="DO75" s="817"/>
      <c r="DP75" s="817"/>
      <c r="DQ75" s="817"/>
      <c r="DR75" s="817"/>
      <c r="DS75" s="817"/>
      <c r="DT75" s="817"/>
      <c r="DU75" s="817"/>
      <c r="DV75" s="817"/>
      <c r="DW75" s="817"/>
      <c r="DX75" s="817"/>
      <c r="DY75" s="817"/>
      <c r="DZ75" s="817"/>
      <c r="EA75" s="817"/>
      <c r="EB75" s="817"/>
      <c r="EC75" s="817"/>
      <c r="ED75" s="817"/>
      <c r="EE75" s="817"/>
      <c r="EF75" s="817"/>
      <c r="EG75" s="817"/>
      <c r="EH75" s="817"/>
      <c r="EI75" s="817"/>
      <c r="EJ75" s="817"/>
      <c r="EK75" s="817"/>
      <c r="EL75" s="817"/>
      <c r="EM75" s="817"/>
      <c r="EN75" s="817"/>
      <c r="EO75" s="817"/>
      <c r="EP75" s="817"/>
      <c r="EQ75" s="817"/>
      <c r="ER75" s="817"/>
      <c r="ES75" s="817"/>
      <c r="ET75" s="817"/>
      <c r="EU75" s="817"/>
      <c r="EV75" s="817"/>
      <c r="EW75" s="817"/>
      <c r="EX75" s="817"/>
      <c r="EY75" s="817"/>
      <c r="EZ75" s="817"/>
      <c r="FA75" s="817"/>
      <c r="FB75" s="817"/>
      <c r="FC75" s="817"/>
      <c r="FD75" s="817"/>
      <c r="FE75" s="817"/>
      <c r="FF75" s="817"/>
      <c r="FG75" s="817"/>
      <c r="FH75" s="817"/>
      <c r="FI75" s="817"/>
      <c r="FJ75" s="817"/>
      <c r="FK75" s="817"/>
      <c r="FL75" s="817"/>
      <c r="FM75" s="817"/>
      <c r="FN75" s="817"/>
      <c r="FO75" s="817"/>
      <c r="FP75" s="817"/>
      <c r="FQ75" s="817"/>
      <c r="FR75" s="817"/>
      <c r="FS75" s="817"/>
      <c r="FT75" s="817"/>
      <c r="FU75" s="817"/>
      <c r="FV75" s="817"/>
      <c r="FW75" s="817"/>
      <c r="FX75" s="817"/>
      <c r="FY75" s="817"/>
      <c r="FZ75" s="817"/>
      <c r="GA75" s="817"/>
      <c r="GB75" s="817"/>
      <c r="GC75" s="817"/>
      <c r="GD75" s="817"/>
      <c r="GE75" s="817"/>
      <c r="GF75" s="817"/>
      <c r="GG75" s="817"/>
      <c r="GH75" s="817"/>
      <c r="GI75" s="817"/>
      <c r="GJ75" s="817"/>
      <c r="GK75" s="817"/>
      <c r="GL75" s="817"/>
      <c r="GM75" s="817"/>
      <c r="GN75" s="817"/>
      <c r="GO75" s="817"/>
      <c r="GP75" s="817"/>
      <c r="GQ75" s="817"/>
      <c r="GR75" s="817"/>
      <c r="GS75" s="817"/>
      <c r="GT75" s="817"/>
      <c r="GU75" s="817"/>
      <c r="GV75" s="817"/>
      <c r="GW75" s="817"/>
      <c r="GX75" s="817"/>
      <c r="GY75" s="817"/>
      <c r="GZ75" s="817"/>
      <c r="HA75" s="817"/>
      <c r="HB75" s="817"/>
      <c r="HC75" s="817"/>
      <c r="HD75" s="817"/>
      <c r="HE75" s="817"/>
      <c r="HF75" s="817"/>
      <c r="HG75" s="817"/>
      <c r="HH75" s="817"/>
      <c r="HI75" s="817"/>
      <c r="HJ75" s="817"/>
      <c r="HK75" s="817"/>
      <c r="HL75" s="817"/>
      <c r="HM75" s="817"/>
      <c r="HN75" s="817"/>
      <c r="HO75" s="817"/>
      <c r="HP75" s="817"/>
      <c r="HQ75" s="817"/>
      <c r="HR75" s="817"/>
      <c r="HS75" s="817"/>
      <c r="HT75" s="817"/>
      <c r="HU75" s="817"/>
      <c r="HV75" s="817"/>
      <c r="HW75" s="817"/>
      <c r="HX75" s="817"/>
      <c r="HY75" s="817"/>
      <c r="HZ75" s="817"/>
      <c r="IA75" s="817"/>
      <c r="IB75" s="817"/>
      <c r="IC75" s="817"/>
      <c r="ID75" s="817"/>
      <c r="IE75" s="817"/>
      <c r="IF75" s="817"/>
      <c r="IG75" s="817"/>
      <c r="IH75" s="817"/>
      <c r="II75" s="817"/>
      <c r="IJ75" s="817"/>
      <c r="IK75" s="817"/>
      <c r="IL75" s="817"/>
      <c r="IM75" s="817"/>
      <c r="IN75" s="817"/>
      <c r="IO75" s="817"/>
      <c r="IP75" s="817"/>
      <c r="IQ75" s="817"/>
      <c r="IR75" s="817"/>
      <c r="IS75" s="817"/>
      <c r="IT75" s="817"/>
      <c r="IU75" s="817"/>
      <c r="IV75" s="817"/>
    </row>
    <row r="76" spans="1:256" ht="13" thickBot="1">
      <c r="A76" s="896" t="s">
        <v>823</v>
      </c>
      <c r="B76" s="897">
        <v>419.9</v>
      </c>
      <c r="C76" s="897">
        <v>517.70000000000005</v>
      </c>
      <c r="D76" s="898">
        <v>522</v>
      </c>
      <c r="E76" s="898">
        <v>585.70000000000005</v>
      </c>
      <c r="F76" s="898">
        <v>701.3</v>
      </c>
      <c r="G76" s="898">
        <v>635.5</v>
      </c>
      <c r="H76" s="898">
        <v>673.2</v>
      </c>
      <c r="I76" s="898">
        <v>881.4</v>
      </c>
      <c r="J76" s="898">
        <v>925.1</v>
      </c>
      <c r="K76" s="898">
        <v>869.3</v>
      </c>
      <c r="L76" s="899">
        <v>849.9</v>
      </c>
      <c r="M76" s="899">
        <v>876.5</v>
      </c>
      <c r="N76" s="898">
        <v>866.8</v>
      </c>
      <c r="O76" s="817"/>
      <c r="P76" s="817"/>
      <c r="Q76" s="817"/>
      <c r="R76" s="817"/>
      <c r="S76" s="817"/>
      <c r="T76" s="817"/>
      <c r="U76" s="817"/>
      <c r="V76" s="817"/>
      <c r="W76" s="817"/>
      <c r="X76" s="817"/>
      <c r="Y76" s="817"/>
      <c r="Z76" s="817"/>
      <c r="AA76" s="817"/>
      <c r="AB76" s="817"/>
      <c r="AC76" s="817"/>
      <c r="AD76" s="817"/>
      <c r="AE76" s="817"/>
      <c r="AF76" s="817"/>
      <c r="AG76" s="817"/>
      <c r="AH76" s="817"/>
      <c r="AI76" s="817"/>
      <c r="AJ76" s="817"/>
      <c r="AK76" s="817"/>
      <c r="AL76" s="817"/>
      <c r="AM76" s="817"/>
      <c r="AN76" s="817"/>
      <c r="AO76" s="817"/>
      <c r="AP76" s="817"/>
      <c r="AQ76" s="817"/>
      <c r="AR76" s="817"/>
      <c r="AS76" s="817"/>
      <c r="AT76" s="817"/>
      <c r="AU76" s="817"/>
      <c r="AV76" s="817"/>
      <c r="AW76" s="817"/>
      <c r="AX76" s="817"/>
      <c r="AY76" s="817"/>
      <c r="AZ76" s="817"/>
      <c r="BA76" s="817"/>
      <c r="BB76" s="817"/>
      <c r="BC76" s="817"/>
      <c r="BD76" s="817"/>
      <c r="BE76" s="817"/>
      <c r="BF76" s="817"/>
      <c r="BG76" s="817"/>
      <c r="BH76" s="817"/>
      <c r="BI76" s="817"/>
      <c r="BJ76" s="817"/>
      <c r="BK76" s="817"/>
      <c r="BL76" s="817"/>
      <c r="BM76" s="817"/>
      <c r="BN76" s="817"/>
      <c r="BO76" s="817"/>
      <c r="BP76" s="817"/>
      <c r="BQ76" s="817"/>
      <c r="BR76" s="817"/>
      <c r="BS76" s="817"/>
      <c r="BT76" s="817"/>
      <c r="BU76" s="817"/>
      <c r="BV76" s="817"/>
      <c r="BW76" s="817"/>
      <c r="BX76" s="817"/>
      <c r="BY76" s="817"/>
      <c r="BZ76" s="817"/>
      <c r="CA76" s="817"/>
      <c r="CB76" s="817"/>
      <c r="CC76" s="817"/>
      <c r="CD76" s="817"/>
      <c r="CE76" s="817"/>
      <c r="CF76" s="817"/>
      <c r="CG76" s="817"/>
      <c r="CH76" s="817"/>
      <c r="CI76" s="817"/>
      <c r="CJ76" s="817"/>
      <c r="CK76" s="817"/>
      <c r="CL76" s="817"/>
      <c r="CM76" s="817"/>
      <c r="CN76" s="817"/>
      <c r="CO76" s="817"/>
      <c r="CP76" s="817"/>
      <c r="CQ76" s="817"/>
      <c r="CR76" s="817"/>
      <c r="CS76" s="817"/>
      <c r="CT76" s="817"/>
      <c r="CU76" s="817"/>
      <c r="CV76" s="817"/>
      <c r="CW76" s="817"/>
      <c r="CX76" s="817"/>
      <c r="CY76" s="817"/>
      <c r="CZ76" s="817"/>
      <c r="DA76" s="817"/>
      <c r="DB76" s="817"/>
      <c r="DC76" s="817"/>
      <c r="DD76" s="817"/>
      <c r="DE76" s="817"/>
      <c r="DF76" s="817"/>
      <c r="DG76" s="817"/>
      <c r="DH76" s="817"/>
      <c r="DI76" s="817"/>
      <c r="DJ76" s="817"/>
      <c r="DK76" s="817"/>
      <c r="DL76" s="817"/>
      <c r="DM76" s="817"/>
      <c r="DN76" s="817"/>
      <c r="DO76" s="817"/>
      <c r="DP76" s="817"/>
      <c r="DQ76" s="817"/>
      <c r="DR76" s="817"/>
      <c r="DS76" s="817"/>
      <c r="DT76" s="817"/>
      <c r="DU76" s="817"/>
      <c r="DV76" s="817"/>
      <c r="DW76" s="817"/>
      <c r="DX76" s="817"/>
      <c r="DY76" s="817"/>
      <c r="DZ76" s="817"/>
      <c r="EA76" s="817"/>
      <c r="EB76" s="817"/>
      <c r="EC76" s="817"/>
      <c r="ED76" s="817"/>
      <c r="EE76" s="817"/>
      <c r="EF76" s="817"/>
      <c r="EG76" s="817"/>
      <c r="EH76" s="817"/>
      <c r="EI76" s="817"/>
      <c r="EJ76" s="817"/>
      <c r="EK76" s="817"/>
      <c r="EL76" s="817"/>
      <c r="EM76" s="817"/>
      <c r="EN76" s="817"/>
      <c r="EO76" s="817"/>
      <c r="EP76" s="817"/>
      <c r="EQ76" s="817"/>
      <c r="ER76" s="817"/>
      <c r="ES76" s="817"/>
      <c r="ET76" s="817"/>
      <c r="EU76" s="817"/>
      <c r="EV76" s="817"/>
      <c r="EW76" s="817"/>
      <c r="EX76" s="817"/>
      <c r="EY76" s="817"/>
      <c r="EZ76" s="817"/>
      <c r="FA76" s="817"/>
      <c r="FB76" s="817"/>
      <c r="FC76" s="817"/>
      <c r="FD76" s="817"/>
      <c r="FE76" s="817"/>
      <c r="FF76" s="817"/>
      <c r="FG76" s="817"/>
      <c r="FH76" s="817"/>
      <c r="FI76" s="817"/>
      <c r="FJ76" s="817"/>
      <c r="FK76" s="817"/>
      <c r="FL76" s="817"/>
      <c r="FM76" s="817"/>
      <c r="FN76" s="817"/>
      <c r="FO76" s="817"/>
      <c r="FP76" s="817"/>
      <c r="FQ76" s="817"/>
      <c r="FR76" s="817"/>
      <c r="FS76" s="817"/>
      <c r="FT76" s="817"/>
      <c r="FU76" s="817"/>
      <c r="FV76" s="817"/>
      <c r="FW76" s="817"/>
      <c r="FX76" s="817"/>
      <c r="FY76" s="817"/>
      <c r="FZ76" s="817"/>
      <c r="GA76" s="817"/>
      <c r="GB76" s="817"/>
      <c r="GC76" s="817"/>
      <c r="GD76" s="817"/>
      <c r="GE76" s="817"/>
      <c r="GF76" s="817"/>
      <c r="GG76" s="817"/>
      <c r="GH76" s="817"/>
      <c r="GI76" s="817"/>
      <c r="GJ76" s="817"/>
      <c r="GK76" s="817"/>
      <c r="GL76" s="817"/>
      <c r="GM76" s="817"/>
      <c r="GN76" s="817"/>
      <c r="GO76" s="817"/>
      <c r="GP76" s="817"/>
      <c r="GQ76" s="817"/>
      <c r="GR76" s="817"/>
      <c r="GS76" s="817"/>
      <c r="GT76" s="817"/>
      <c r="GU76" s="817"/>
      <c r="GV76" s="817"/>
      <c r="GW76" s="817"/>
      <c r="GX76" s="817"/>
      <c r="GY76" s="817"/>
      <c r="GZ76" s="817"/>
      <c r="HA76" s="817"/>
      <c r="HB76" s="817"/>
      <c r="HC76" s="817"/>
      <c r="HD76" s="817"/>
      <c r="HE76" s="817"/>
      <c r="HF76" s="817"/>
      <c r="HG76" s="817"/>
      <c r="HH76" s="817"/>
      <c r="HI76" s="817"/>
      <c r="HJ76" s="817"/>
      <c r="HK76" s="817"/>
      <c r="HL76" s="817"/>
      <c r="HM76" s="817"/>
      <c r="HN76" s="817"/>
      <c r="HO76" s="817"/>
      <c r="HP76" s="817"/>
      <c r="HQ76" s="817"/>
      <c r="HR76" s="817"/>
      <c r="HS76" s="817"/>
      <c r="HT76" s="817"/>
      <c r="HU76" s="817"/>
      <c r="HV76" s="817"/>
      <c r="HW76" s="817"/>
      <c r="HX76" s="817"/>
      <c r="HY76" s="817"/>
      <c r="HZ76" s="817"/>
      <c r="IA76" s="817"/>
      <c r="IB76" s="817"/>
      <c r="IC76" s="817"/>
      <c r="ID76" s="817"/>
      <c r="IE76" s="817"/>
      <c r="IF76" s="817"/>
      <c r="IG76" s="817"/>
      <c r="IH76" s="817"/>
      <c r="II76" s="817"/>
      <c r="IJ76" s="817"/>
      <c r="IK76" s="817"/>
      <c r="IL76" s="817"/>
      <c r="IM76" s="817"/>
      <c r="IN76" s="817"/>
      <c r="IO76" s="817"/>
      <c r="IP76" s="817"/>
      <c r="IQ76" s="817"/>
      <c r="IR76" s="817"/>
      <c r="IS76" s="817"/>
      <c r="IT76" s="817"/>
      <c r="IU76" s="817"/>
      <c r="IV76" s="817"/>
    </row>
    <row r="77" spans="1:256" ht="13" thickTop="1">
      <c r="A77" s="900" t="s">
        <v>849</v>
      </c>
      <c r="B77" s="901">
        <v>175.6</v>
      </c>
      <c r="C77" s="901">
        <v>227</v>
      </c>
      <c r="D77" s="902">
        <v>228.5</v>
      </c>
      <c r="E77" s="902">
        <v>266.8</v>
      </c>
      <c r="F77" s="902">
        <v>337</v>
      </c>
      <c r="G77" s="902">
        <v>296.3</v>
      </c>
      <c r="H77" s="902">
        <v>318.89999999999998</v>
      </c>
      <c r="I77" s="902">
        <v>410.5</v>
      </c>
      <c r="J77" s="902">
        <v>438.5</v>
      </c>
      <c r="K77" s="902">
        <v>408.3</v>
      </c>
      <c r="L77" s="903">
        <v>377.9</v>
      </c>
      <c r="M77" s="904">
        <v>386.3</v>
      </c>
      <c r="N77" s="902">
        <v>403.7</v>
      </c>
      <c r="O77" s="817"/>
      <c r="P77" s="817"/>
      <c r="Q77" s="817"/>
      <c r="R77" s="817"/>
      <c r="S77" s="817"/>
      <c r="T77" s="817"/>
      <c r="U77" s="817"/>
      <c r="V77" s="817"/>
      <c r="W77" s="817"/>
      <c r="X77" s="817"/>
      <c r="Y77" s="817"/>
      <c r="Z77" s="817"/>
      <c r="AA77" s="817"/>
      <c r="AB77" s="817"/>
      <c r="AC77" s="817"/>
      <c r="AD77" s="817"/>
      <c r="AE77" s="817"/>
      <c r="AF77" s="817"/>
      <c r="AG77" s="817"/>
      <c r="AH77" s="817"/>
      <c r="AI77" s="817"/>
      <c r="AJ77" s="817"/>
      <c r="AK77" s="817"/>
      <c r="AL77" s="817"/>
      <c r="AM77" s="817"/>
      <c r="AN77" s="817"/>
      <c r="AO77" s="817"/>
      <c r="AP77" s="817"/>
      <c r="AQ77" s="817"/>
      <c r="AR77" s="817"/>
      <c r="AS77" s="817"/>
      <c r="AT77" s="817"/>
      <c r="AU77" s="817"/>
      <c r="AV77" s="817"/>
      <c r="AW77" s="817"/>
      <c r="AX77" s="817"/>
      <c r="AY77" s="817"/>
      <c r="AZ77" s="817"/>
      <c r="BA77" s="817"/>
      <c r="BB77" s="817"/>
      <c r="BC77" s="817"/>
      <c r="BD77" s="817"/>
      <c r="BE77" s="817"/>
      <c r="BF77" s="817"/>
      <c r="BG77" s="817"/>
      <c r="BH77" s="817"/>
      <c r="BI77" s="817"/>
      <c r="BJ77" s="817"/>
      <c r="BK77" s="817"/>
      <c r="BL77" s="817"/>
      <c r="BM77" s="817"/>
      <c r="BN77" s="817"/>
      <c r="BO77" s="817"/>
      <c r="BP77" s="817"/>
      <c r="BQ77" s="817"/>
      <c r="BR77" s="817"/>
      <c r="BS77" s="817"/>
      <c r="BT77" s="817"/>
      <c r="BU77" s="817"/>
      <c r="BV77" s="817"/>
      <c r="BW77" s="817"/>
      <c r="BX77" s="817"/>
      <c r="BY77" s="817"/>
      <c r="BZ77" s="817"/>
      <c r="CA77" s="817"/>
      <c r="CB77" s="817"/>
      <c r="CC77" s="817"/>
      <c r="CD77" s="817"/>
      <c r="CE77" s="817"/>
      <c r="CF77" s="817"/>
      <c r="CG77" s="817"/>
      <c r="CH77" s="817"/>
      <c r="CI77" s="817"/>
      <c r="CJ77" s="817"/>
      <c r="CK77" s="817"/>
      <c r="CL77" s="817"/>
      <c r="CM77" s="817"/>
      <c r="CN77" s="817"/>
      <c r="CO77" s="817"/>
      <c r="CP77" s="817"/>
      <c r="CQ77" s="817"/>
      <c r="CR77" s="817"/>
      <c r="CS77" s="817"/>
      <c r="CT77" s="817"/>
      <c r="CU77" s="817"/>
      <c r="CV77" s="817"/>
      <c r="CW77" s="817"/>
      <c r="CX77" s="817"/>
      <c r="CY77" s="817"/>
      <c r="CZ77" s="817"/>
      <c r="DA77" s="817"/>
      <c r="DB77" s="817"/>
      <c r="DC77" s="817"/>
      <c r="DD77" s="817"/>
      <c r="DE77" s="817"/>
      <c r="DF77" s="817"/>
      <c r="DG77" s="817"/>
      <c r="DH77" s="817"/>
      <c r="DI77" s="817"/>
      <c r="DJ77" s="817"/>
      <c r="DK77" s="817"/>
      <c r="DL77" s="817"/>
      <c r="DM77" s="817"/>
      <c r="DN77" s="817"/>
      <c r="DO77" s="817"/>
      <c r="DP77" s="817"/>
      <c r="DQ77" s="817"/>
      <c r="DR77" s="817"/>
      <c r="DS77" s="817"/>
      <c r="DT77" s="817"/>
      <c r="DU77" s="817"/>
      <c r="DV77" s="817"/>
      <c r="DW77" s="817"/>
      <c r="DX77" s="817"/>
      <c r="DY77" s="817"/>
      <c r="DZ77" s="817"/>
      <c r="EA77" s="817"/>
      <c r="EB77" s="817"/>
      <c r="EC77" s="817"/>
      <c r="ED77" s="817"/>
      <c r="EE77" s="817"/>
      <c r="EF77" s="817"/>
      <c r="EG77" s="817"/>
      <c r="EH77" s="817"/>
      <c r="EI77" s="817"/>
      <c r="EJ77" s="817"/>
      <c r="EK77" s="817"/>
      <c r="EL77" s="817"/>
      <c r="EM77" s="817"/>
      <c r="EN77" s="817"/>
      <c r="EO77" s="817"/>
      <c r="EP77" s="817"/>
      <c r="EQ77" s="817"/>
      <c r="ER77" s="817"/>
      <c r="ES77" s="817"/>
      <c r="ET77" s="817"/>
      <c r="EU77" s="817"/>
      <c r="EV77" s="817"/>
      <c r="EW77" s="817"/>
      <c r="EX77" s="817"/>
      <c r="EY77" s="817"/>
      <c r="EZ77" s="817"/>
      <c r="FA77" s="817"/>
      <c r="FB77" s="817"/>
      <c r="FC77" s="817"/>
      <c r="FD77" s="817"/>
      <c r="FE77" s="817"/>
      <c r="FF77" s="817"/>
      <c r="FG77" s="817"/>
      <c r="FH77" s="817"/>
      <c r="FI77" s="817"/>
      <c r="FJ77" s="817"/>
      <c r="FK77" s="817"/>
      <c r="FL77" s="817"/>
      <c r="FM77" s="817"/>
      <c r="FN77" s="817"/>
      <c r="FO77" s="817"/>
      <c r="FP77" s="817"/>
      <c r="FQ77" s="817"/>
      <c r="FR77" s="817"/>
      <c r="FS77" s="817"/>
      <c r="FT77" s="817"/>
      <c r="FU77" s="817"/>
      <c r="FV77" s="817"/>
      <c r="FW77" s="817"/>
      <c r="FX77" s="817"/>
      <c r="FY77" s="817"/>
      <c r="FZ77" s="817"/>
      <c r="GA77" s="817"/>
      <c r="GB77" s="817"/>
      <c r="GC77" s="817"/>
      <c r="GD77" s="817"/>
      <c r="GE77" s="817"/>
      <c r="GF77" s="817"/>
      <c r="GG77" s="817"/>
      <c r="GH77" s="817"/>
      <c r="GI77" s="817"/>
      <c r="GJ77" s="817"/>
      <c r="GK77" s="817"/>
      <c r="GL77" s="817"/>
      <c r="GM77" s="817"/>
      <c r="GN77" s="817"/>
      <c r="GO77" s="817"/>
      <c r="GP77" s="817"/>
      <c r="GQ77" s="817"/>
      <c r="GR77" s="817"/>
      <c r="GS77" s="817"/>
      <c r="GT77" s="817"/>
      <c r="GU77" s="817"/>
      <c r="GV77" s="817"/>
      <c r="GW77" s="817"/>
      <c r="GX77" s="817"/>
      <c r="GY77" s="817"/>
      <c r="GZ77" s="817"/>
      <c r="HA77" s="817"/>
      <c r="HB77" s="817"/>
      <c r="HC77" s="817"/>
      <c r="HD77" s="817"/>
      <c r="HE77" s="817"/>
      <c r="HF77" s="817"/>
      <c r="HG77" s="817"/>
      <c r="HH77" s="817"/>
      <c r="HI77" s="817"/>
      <c r="HJ77" s="817"/>
      <c r="HK77" s="817"/>
      <c r="HL77" s="817"/>
      <c r="HM77" s="817"/>
      <c r="HN77" s="817"/>
      <c r="HO77" s="817"/>
      <c r="HP77" s="817"/>
      <c r="HQ77" s="817"/>
      <c r="HR77" s="817"/>
      <c r="HS77" s="817"/>
      <c r="HT77" s="817"/>
      <c r="HU77" s="817"/>
      <c r="HV77" s="817"/>
      <c r="HW77" s="817"/>
      <c r="HX77" s="817"/>
      <c r="HY77" s="817"/>
      <c r="HZ77" s="817"/>
      <c r="IA77" s="817"/>
      <c r="IB77" s="817"/>
      <c r="IC77" s="817"/>
      <c r="ID77" s="817"/>
      <c r="IE77" s="817"/>
      <c r="IF77" s="817"/>
      <c r="IG77" s="817"/>
      <c r="IH77" s="817"/>
      <c r="II77" s="817"/>
      <c r="IJ77" s="817"/>
      <c r="IK77" s="817"/>
      <c r="IL77" s="817"/>
      <c r="IM77" s="817"/>
      <c r="IN77" s="817"/>
      <c r="IO77" s="817"/>
      <c r="IP77" s="817"/>
      <c r="IQ77" s="817"/>
      <c r="IR77" s="817"/>
      <c r="IS77" s="817"/>
      <c r="IT77" s="817"/>
      <c r="IU77" s="817"/>
      <c r="IV77" s="817"/>
    </row>
    <row r="78" spans="1:256">
      <c r="A78" s="860" t="s">
        <v>850</v>
      </c>
      <c r="B78" s="841">
        <v>2042</v>
      </c>
      <c r="C78" s="841">
        <v>2640</v>
      </c>
      <c r="D78" s="842">
        <v>2658</v>
      </c>
      <c r="E78" s="842">
        <v>3103</v>
      </c>
      <c r="F78" s="842">
        <v>3920</v>
      </c>
      <c r="G78" s="842">
        <v>3445.7</v>
      </c>
      <c r="H78" s="842">
        <v>3708.4</v>
      </c>
      <c r="I78" s="842">
        <v>4773.6000000000004</v>
      </c>
      <c r="J78" s="842">
        <v>5100.2</v>
      </c>
      <c r="K78" s="842">
        <v>4749</v>
      </c>
      <c r="L78" s="843">
        <v>4394.6000000000004</v>
      </c>
      <c r="M78" s="853">
        <v>4492.3999999999996</v>
      </c>
      <c r="N78" s="842">
        <v>4695.1000000000004</v>
      </c>
      <c r="O78" s="817"/>
      <c r="P78" s="817"/>
      <c r="Q78" s="817"/>
      <c r="R78" s="817"/>
      <c r="S78" s="817"/>
      <c r="T78" s="817"/>
      <c r="U78" s="817"/>
      <c r="V78" s="817"/>
      <c r="W78" s="817"/>
      <c r="X78" s="817"/>
      <c r="Y78" s="817"/>
      <c r="Z78" s="817"/>
      <c r="AA78" s="817"/>
      <c r="AB78" s="817"/>
      <c r="AC78" s="817"/>
      <c r="AD78" s="817"/>
      <c r="AE78" s="817"/>
      <c r="AF78" s="817"/>
      <c r="AG78" s="817"/>
      <c r="AH78" s="817"/>
      <c r="AI78" s="817"/>
      <c r="AJ78" s="817"/>
      <c r="AK78" s="817"/>
      <c r="AL78" s="817"/>
      <c r="AM78" s="817"/>
      <c r="AN78" s="817"/>
      <c r="AO78" s="817"/>
      <c r="AP78" s="817"/>
      <c r="AQ78" s="817"/>
      <c r="AR78" s="817"/>
      <c r="AS78" s="817"/>
      <c r="AT78" s="817"/>
      <c r="AU78" s="817"/>
      <c r="AV78" s="817"/>
      <c r="AW78" s="817"/>
      <c r="AX78" s="817"/>
      <c r="AY78" s="817"/>
      <c r="AZ78" s="817"/>
      <c r="BA78" s="817"/>
      <c r="BB78" s="817"/>
      <c r="BC78" s="817"/>
      <c r="BD78" s="817"/>
      <c r="BE78" s="817"/>
      <c r="BF78" s="817"/>
      <c r="BG78" s="817"/>
      <c r="BH78" s="817"/>
      <c r="BI78" s="817"/>
      <c r="BJ78" s="817"/>
      <c r="BK78" s="817"/>
      <c r="BL78" s="817"/>
      <c r="BM78" s="817"/>
      <c r="BN78" s="817"/>
      <c r="BO78" s="817"/>
      <c r="BP78" s="817"/>
      <c r="BQ78" s="817"/>
      <c r="BR78" s="817"/>
      <c r="BS78" s="817"/>
      <c r="BT78" s="817"/>
      <c r="BU78" s="817"/>
      <c r="BV78" s="817"/>
      <c r="BW78" s="817"/>
      <c r="BX78" s="817"/>
      <c r="BY78" s="817"/>
      <c r="BZ78" s="817"/>
      <c r="CA78" s="817"/>
      <c r="CB78" s="817"/>
      <c r="CC78" s="817"/>
      <c r="CD78" s="817"/>
      <c r="CE78" s="817"/>
      <c r="CF78" s="817"/>
      <c r="CG78" s="817"/>
      <c r="CH78" s="817"/>
      <c r="CI78" s="817"/>
      <c r="CJ78" s="817"/>
      <c r="CK78" s="817"/>
      <c r="CL78" s="817"/>
      <c r="CM78" s="817"/>
      <c r="CN78" s="817"/>
      <c r="CO78" s="817"/>
      <c r="CP78" s="817"/>
      <c r="CQ78" s="817"/>
      <c r="CR78" s="817"/>
      <c r="CS78" s="817"/>
      <c r="CT78" s="817"/>
      <c r="CU78" s="817"/>
      <c r="CV78" s="817"/>
      <c r="CW78" s="817"/>
      <c r="CX78" s="817"/>
      <c r="CY78" s="817"/>
      <c r="CZ78" s="817"/>
      <c r="DA78" s="817"/>
      <c r="DB78" s="817"/>
      <c r="DC78" s="817"/>
      <c r="DD78" s="817"/>
      <c r="DE78" s="817"/>
      <c r="DF78" s="817"/>
      <c r="DG78" s="817"/>
      <c r="DH78" s="817"/>
      <c r="DI78" s="817"/>
      <c r="DJ78" s="817"/>
      <c r="DK78" s="817"/>
      <c r="DL78" s="817"/>
      <c r="DM78" s="817"/>
      <c r="DN78" s="817"/>
      <c r="DO78" s="817"/>
      <c r="DP78" s="817"/>
      <c r="DQ78" s="817"/>
      <c r="DR78" s="817"/>
      <c r="DS78" s="817"/>
      <c r="DT78" s="817"/>
      <c r="DU78" s="817"/>
      <c r="DV78" s="817"/>
      <c r="DW78" s="817"/>
      <c r="DX78" s="817"/>
      <c r="DY78" s="817"/>
      <c r="DZ78" s="817"/>
      <c r="EA78" s="817"/>
      <c r="EB78" s="817"/>
      <c r="EC78" s="817"/>
      <c r="ED78" s="817"/>
      <c r="EE78" s="817"/>
      <c r="EF78" s="817"/>
      <c r="EG78" s="817"/>
      <c r="EH78" s="817"/>
      <c r="EI78" s="817"/>
      <c r="EJ78" s="817"/>
      <c r="EK78" s="817"/>
      <c r="EL78" s="817"/>
      <c r="EM78" s="817"/>
      <c r="EN78" s="817"/>
      <c r="EO78" s="817"/>
      <c r="EP78" s="817"/>
      <c r="EQ78" s="817"/>
      <c r="ER78" s="817"/>
      <c r="ES78" s="817"/>
      <c r="ET78" s="817"/>
      <c r="EU78" s="817"/>
      <c r="EV78" s="817"/>
      <c r="EW78" s="817"/>
      <c r="EX78" s="817"/>
      <c r="EY78" s="817"/>
      <c r="EZ78" s="817"/>
      <c r="FA78" s="817"/>
      <c r="FB78" s="817"/>
      <c r="FC78" s="817"/>
      <c r="FD78" s="817"/>
      <c r="FE78" s="817"/>
      <c r="FF78" s="817"/>
      <c r="FG78" s="817"/>
      <c r="FH78" s="817"/>
      <c r="FI78" s="817"/>
      <c r="FJ78" s="817"/>
      <c r="FK78" s="817"/>
      <c r="FL78" s="817"/>
      <c r="FM78" s="817"/>
      <c r="FN78" s="817"/>
      <c r="FO78" s="817"/>
      <c r="FP78" s="817"/>
      <c r="FQ78" s="817"/>
      <c r="FR78" s="817"/>
      <c r="FS78" s="817"/>
      <c r="FT78" s="817"/>
      <c r="FU78" s="817"/>
      <c r="FV78" s="817"/>
      <c r="FW78" s="817"/>
      <c r="FX78" s="817"/>
      <c r="FY78" s="817"/>
      <c r="FZ78" s="817"/>
      <c r="GA78" s="817"/>
      <c r="GB78" s="817"/>
      <c r="GC78" s="817"/>
      <c r="GD78" s="817"/>
      <c r="GE78" s="817"/>
      <c r="GF78" s="817"/>
      <c r="GG78" s="817"/>
      <c r="GH78" s="817"/>
      <c r="GI78" s="817"/>
      <c r="GJ78" s="817"/>
      <c r="GK78" s="817"/>
      <c r="GL78" s="817"/>
      <c r="GM78" s="817"/>
      <c r="GN78" s="817"/>
      <c r="GO78" s="817"/>
      <c r="GP78" s="817"/>
      <c r="GQ78" s="817"/>
      <c r="GR78" s="817"/>
      <c r="GS78" s="817"/>
      <c r="GT78" s="817"/>
      <c r="GU78" s="817"/>
      <c r="GV78" s="817"/>
      <c r="GW78" s="817"/>
      <c r="GX78" s="817"/>
      <c r="GY78" s="817"/>
      <c r="GZ78" s="817"/>
      <c r="HA78" s="817"/>
      <c r="HB78" s="817"/>
      <c r="HC78" s="817"/>
      <c r="HD78" s="817"/>
      <c r="HE78" s="817"/>
      <c r="HF78" s="817"/>
      <c r="HG78" s="817"/>
      <c r="HH78" s="817"/>
      <c r="HI78" s="817"/>
      <c r="HJ78" s="817"/>
      <c r="HK78" s="817"/>
      <c r="HL78" s="817"/>
      <c r="HM78" s="817"/>
      <c r="HN78" s="817"/>
      <c r="HO78" s="817"/>
      <c r="HP78" s="817"/>
      <c r="HQ78" s="817"/>
      <c r="HR78" s="817"/>
      <c r="HS78" s="817"/>
      <c r="HT78" s="817"/>
      <c r="HU78" s="817"/>
      <c r="HV78" s="817"/>
      <c r="HW78" s="817"/>
      <c r="HX78" s="817"/>
      <c r="HY78" s="817"/>
      <c r="HZ78" s="817"/>
      <c r="IA78" s="817"/>
      <c r="IB78" s="817"/>
      <c r="IC78" s="817"/>
      <c r="ID78" s="817"/>
      <c r="IE78" s="817"/>
      <c r="IF78" s="817"/>
      <c r="IG78" s="817"/>
      <c r="IH78" s="817"/>
      <c r="II78" s="817"/>
      <c r="IJ78" s="817"/>
      <c r="IK78" s="817"/>
      <c r="IL78" s="817"/>
      <c r="IM78" s="817"/>
      <c r="IN78" s="817"/>
      <c r="IO78" s="817"/>
      <c r="IP78" s="817"/>
      <c r="IQ78" s="817"/>
      <c r="IR78" s="817"/>
      <c r="IS78" s="817"/>
      <c r="IT78" s="817"/>
      <c r="IU78" s="817"/>
      <c r="IV78" s="817"/>
    </row>
    <row r="79" spans="1:256">
      <c r="A79" s="905" t="s">
        <v>851</v>
      </c>
      <c r="B79" s="906">
        <v>162.30000000000001</v>
      </c>
      <c r="C79" s="906">
        <v>211.7</v>
      </c>
      <c r="D79" s="907">
        <v>211</v>
      </c>
      <c r="E79" s="907">
        <v>238.5</v>
      </c>
      <c r="F79" s="907">
        <v>258.2</v>
      </c>
      <c r="G79" s="907">
        <v>225.3</v>
      </c>
      <c r="H79" s="907">
        <v>209.6</v>
      </c>
      <c r="I79" s="907">
        <v>271.60000000000002</v>
      </c>
      <c r="J79" s="907">
        <v>314</v>
      </c>
      <c r="K79" s="907">
        <v>300.10000000000002</v>
      </c>
      <c r="L79" s="908">
        <v>279</v>
      </c>
      <c r="M79" s="908">
        <v>333.7</v>
      </c>
      <c r="N79" s="907">
        <v>296.60000000000002</v>
      </c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  <c r="AA79" s="817"/>
      <c r="AB79" s="817"/>
      <c r="AC79" s="817"/>
      <c r="AD79" s="817"/>
      <c r="AE79" s="817"/>
      <c r="AF79" s="817"/>
      <c r="AG79" s="817"/>
      <c r="AH79" s="817"/>
      <c r="AI79" s="817"/>
      <c r="AJ79" s="817"/>
      <c r="AK79" s="817"/>
      <c r="AL79" s="817"/>
      <c r="AM79" s="817"/>
      <c r="AN79" s="817"/>
      <c r="AO79" s="817"/>
      <c r="AP79" s="817"/>
      <c r="AQ79" s="817"/>
      <c r="AR79" s="817"/>
      <c r="AS79" s="817"/>
      <c r="AT79" s="817"/>
      <c r="AU79" s="817"/>
      <c r="AV79" s="817"/>
      <c r="AW79" s="817"/>
      <c r="AX79" s="817"/>
      <c r="AY79" s="817"/>
      <c r="AZ79" s="817"/>
      <c r="BA79" s="817"/>
      <c r="BB79" s="817"/>
      <c r="BC79" s="817"/>
      <c r="BD79" s="817"/>
      <c r="BE79" s="817"/>
      <c r="BF79" s="817"/>
      <c r="BG79" s="817"/>
      <c r="BH79" s="817"/>
      <c r="BI79" s="817"/>
      <c r="BJ79" s="817"/>
      <c r="BK79" s="817"/>
      <c r="BL79" s="817"/>
      <c r="BM79" s="817"/>
      <c r="BN79" s="817"/>
      <c r="BO79" s="817"/>
      <c r="BP79" s="817"/>
      <c r="BQ79" s="817"/>
      <c r="BR79" s="817"/>
      <c r="BS79" s="817"/>
      <c r="BT79" s="817"/>
      <c r="BU79" s="817"/>
      <c r="BV79" s="817"/>
      <c r="BW79" s="817"/>
      <c r="BX79" s="817"/>
      <c r="BY79" s="817"/>
      <c r="BZ79" s="817"/>
      <c r="CA79" s="817"/>
      <c r="CB79" s="817"/>
      <c r="CC79" s="817"/>
      <c r="CD79" s="817"/>
      <c r="CE79" s="817"/>
      <c r="CF79" s="817"/>
      <c r="CG79" s="817"/>
      <c r="CH79" s="817"/>
      <c r="CI79" s="817"/>
      <c r="CJ79" s="817"/>
      <c r="CK79" s="817"/>
      <c r="CL79" s="817"/>
      <c r="CM79" s="817"/>
      <c r="CN79" s="817"/>
      <c r="CO79" s="817"/>
      <c r="CP79" s="817"/>
      <c r="CQ79" s="817"/>
      <c r="CR79" s="817"/>
      <c r="CS79" s="817"/>
      <c r="CT79" s="817"/>
      <c r="CU79" s="817"/>
      <c r="CV79" s="817"/>
      <c r="CW79" s="817"/>
      <c r="CX79" s="817"/>
      <c r="CY79" s="817"/>
      <c r="CZ79" s="817"/>
      <c r="DA79" s="817"/>
      <c r="DB79" s="817"/>
      <c r="DC79" s="817"/>
      <c r="DD79" s="817"/>
      <c r="DE79" s="817"/>
      <c r="DF79" s="817"/>
      <c r="DG79" s="817"/>
      <c r="DH79" s="817"/>
      <c r="DI79" s="817"/>
      <c r="DJ79" s="817"/>
      <c r="DK79" s="817"/>
      <c r="DL79" s="817"/>
      <c r="DM79" s="817"/>
      <c r="DN79" s="817"/>
      <c r="DO79" s="817"/>
      <c r="DP79" s="817"/>
      <c r="DQ79" s="817"/>
      <c r="DR79" s="817"/>
      <c r="DS79" s="817"/>
      <c r="DT79" s="817"/>
      <c r="DU79" s="817"/>
      <c r="DV79" s="817"/>
      <c r="DW79" s="817"/>
      <c r="DX79" s="817"/>
      <c r="DY79" s="817"/>
      <c r="DZ79" s="817"/>
      <c r="EA79" s="817"/>
      <c r="EB79" s="817"/>
      <c r="EC79" s="817"/>
      <c r="ED79" s="817"/>
      <c r="EE79" s="817"/>
      <c r="EF79" s="817"/>
      <c r="EG79" s="817"/>
      <c r="EH79" s="817"/>
      <c r="EI79" s="817"/>
      <c r="EJ79" s="817"/>
      <c r="EK79" s="817"/>
      <c r="EL79" s="817"/>
      <c r="EM79" s="817"/>
      <c r="EN79" s="817"/>
      <c r="EO79" s="817"/>
      <c r="EP79" s="817"/>
      <c r="EQ79" s="817"/>
      <c r="ER79" s="817"/>
      <c r="ES79" s="817"/>
      <c r="ET79" s="817"/>
      <c r="EU79" s="817"/>
      <c r="EV79" s="817"/>
      <c r="EW79" s="817"/>
      <c r="EX79" s="817"/>
      <c r="EY79" s="817"/>
      <c r="EZ79" s="817"/>
      <c r="FA79" s="817"/>
      <c r="FB79" s="817"/>
      <c r="FC79" s="817"/>
      <c r="FD79" s="817"/>
      <c r="FE79" s="817"/>
      <c r="FF79" s="817"/>
      <c r="FG79" s="817"/>
      <c r="FH79" s="817"/>
      <c r="FI79" s="817"/>
      <c r="FJ79" s="817"/>
      <c r="FK79" s="817"/>
      <c r="FL79" s="817"/>
      <c r="FM79" s="817"/>
      <c r="FN79" s="817"/>
      <c r="FO79" s="817"/>
      <c r="FP79" s="817"/>
      <c r="FQ79" s="817"/>
      <c r="FR79" s="817"/>
      <c r="FS79" s="817"/>
      <c r="FT79" s="817"/>
      <c r="FU79" s="817"/>
      <c r="FV79" s="817"/>
      <c r="FW79" s="817"/>
      <c r="FX79" s="817"/>
      <c r="FY79" s="817"/>
      <c r="FZ79" s="817"/>
      <c r="GA79" s="817"/>
      <c r="GB79" s="817"/>
      <c r="GC79" s="817"/>
      <c r="GD79" s="817"/>
      <c r="GE79" s="817"/>
      <c r="GF79" s="817"/>
      <c r="GG79" s="817"/>
      <c r="GH79" s="817"/>
      <c r="GI79" s="817"/>
      <c r="GJ79" s="817"/>
      <c r="GK79" s="817"/>
      <c r="GL79" s="817"/>
      <c r="GM79" s="817"/>
      <c r="GN79" s="817"/>
      <c r="GO79" s="817"/>
      <c r="GP79" s="817"/>
      <c r="GQ79" s="817"/>
      <c r="GR79" s="817"/>
      <c r="GS79" s="817"/>
      <c r="GT79" s="817"/>
      <c r="GU79" s="817"/>
      <c r="GV79" s="817"/>
      <c r="GW79" s="817"/>
      <c r="GX79" s="817"/>
      <c r="GY79" s="817"/>
      <c r="GZ79" s="817"/>
      <c r="HA79" s="817"/>
      <c r="HB79" s="817"/>
      <c r="HC79" s="817"/>
      <c r="HD79" s="817"/>
      <c r="HE79" s="817"/>
      <c r="HF79" s="817"/>
      <c r="HG79" s="817"/>
      <c r="HH79" s="817"/>
      <c r="HI79" s="817"/>
      <c r="HJ79" s="817"/>
      <c r="HK79" s="817"/>
      <c r="HL79" s="817"/>
      <c r="HM79" s="817"/>
      <c r="HN79" s="817"/>
      <c r="HO79" s="817"/>
      <c r="HP79" s="817"/>
      <c r="HQ79" s="817"/>
      <c r="HR79" s="817"/>
      <c r="HS79" s="817"/>
      <c r="HT79" s="817"/>
      <c r="HU79" s="817"/>
      <c r="HV79" s="817"/>
      <c r="HW79" s="817"/>
      <c r="HX79" s="817"/>
      <c r="HY79" s="817"/>
      <c r="HZ79" s="817"/>
      <c r="IA79" s="817"/>
      <c r="IB79" s="817"/>
      <c r="IC79" s="817"/>
      <c r="ID79" s="817"/>
      <c r="IE79" s="817"/>
      <c r="IF79" s="817"/>
      <c r="IG79" s="817"/>
      <c r="IH79" s="817"/>
      <c r="II79" s="817"/>
      <c r="IJ79" s="817"/>
      <c r="IK79" s="817"/>
      <c r="IL79" s="817"/>
      <c r="IM79" s="817"/>
      <c r="IN79" s="817"/>
      <c r="IO79" s="817"/>
      <c r="IP79" s="817"/>
      <c r="IQ79" s="817"/>
      <c r="IR79" s="817"/>
      <c r="IS79" s="817"/>
      <c r="IT79" s="817"/>
      <c r="IU79" s="817"/>
      <c r="IV79" s="817"/>
    </row>
    <row r="80" spans="1:256" ht="13" thickBot="1">
      <c r="A80" s="845" t="s">
        <v>852</v>
      </c>
      <c r="B80" s="846">
        <v>1888</v>
      </c>
      <c r="C80" s="846">
        <v>2462</v>
      </c>
      <c r="D80" s="847">
        <v>2454</v>
      </c>
      <c r="E80" s="847">
        <v>2774</v>
      </c>
      <c r="F80" s="847">
        <v>3002</v>
      </c>
      <c r="G80" s="847">
        <v>2619.4</v>
      </c>
      <c r="H80" s="847">
        <v>2437.1999999999998</v>
      </c>
      <c r="I80" s="847">
        <v>3159.1</v>
      </c>
      <c r="J80" s="847">
        <v>3652.3</v>
      </c>
      <c r="K80" s="847">
        <v>3490.1</v>
      </c>
      <c r="L80" s="848">
        <v>3244.8</v>
      </c>
      <c r="M80" s="848">
        <v>3880.7</v>
      </c>
      <c r="N80" s="847">
        <v>3449.6</v>
      </c>
      <c r="O80" s="817"/>
      <c r="P80" s="817"/>
      <c r="Q80" s="817"/>
      <c r="R80" s="817"/>
      <c r="S80" s="817"/>
      <c r="T80" s="817"/>
      <c r="U80" s="817"/>
      <c r="V80" s="817"/>
      <c r="W80" s="817"/>
      <c r="X80" s="817"/>
      <c r="Y80" s="817"/>
      <c r="Z80" s="817"/>
      <c r="AA80" s="817"/>
      <c r="AB80" s="817"/>
      <c r="AC80" s="817"/>
      <c r="AD80" s="817"/>
      <c r="AE80" s="817"/>
      <c r="AF80" s="817"/>
      <c r="AG80" s="817"/>
      <c r="AH80" s="817"/>
      <c r="AI80" s="817"/>
      <c r="AJ80" s="817"/>
      <c r="AK80" s="817"/>
      <c r="AL80" s="817"/>
      <c r="AM80" s="817"/>
      <c r="AN80" s="817"/>
      <c r="AO80" s="817"/>
      <c r="AP80" s="817"/>
      <c r="AQ80" s="817"/>
      <c r="AR80" s="817"/>
      <c r="AS80" s="817"/>
      <c r="AT80" s="817"/>
      <c r="AU80" s="817"/>
      <c r="AV80" s="817"/>
      <c r="AW80" s="817"/>
      <c r="AX80" s="817"/>
      <c r="AY80" s="817"/>
      <c r="AZ80" s="817"/>
      <c r="BA80" s="817"/>
      <c r="BB80" s="817"/>
      <c r="BC80" s="817"/>
      <c r="BD80" s="817"/>
      <c r="BE80" s="817"/>
      <c r="BF80" s="817"/>
      <c r="BG80" s="817"/>
      <c r="BH80" s="817"/>
      <c r="BI80" s="817"/>
      <c r="BJ80" s="817"/>
      <c r="BK80" s="817"/>
      <c r="BL80" s="817"/>
      <c r="BM80" s="817"/>
      <c r="BN80" s="817"/>
      <c r="BO80" s="817"/>
      <c r="BP80" s="817"/>
      <c r="BQ80" s="817"/>
      <c r="BR80" s="817"/>
      <c r="BS80" s="817"/>
      <c r="BT80" s="817"/>
      <c r="BU80" s="817"/>
      <c r="BV80" s="817"/>
      <c r="BW80" s="817"/>
      <c r="BX80" s="817"/>
      <c r="BY80" s="817"/>
      <c r="BZ80" s="817"/>
      <c r="CA80" s="817"/>
      <c r="CB80" s="817"/>
      <c r="CC80" s="817"/>
      <c r="CD80" s="817"/>
      <c r="CE80" s="817"/>
      <c r="CF80" s="817"/>
      <c r="CG80" s="817"/>
      <c r="CH80" s="817"/>
      <c r="CI80" s="817"/>
      <c r="CJ80" s="817"/>
      <c r="CK80" s="817"/>
      <c r="CL80" s="817"/>
      <c r="CM80" s="817"/>
      <c r="CN80" s="817"/>
      <c r="CO80" s="817"/>
      <c r="CP80" s="817"/>
      <c r="CQ80" s="817"/>
      <c r="CR80" s="817"/>
      <c r="CS80" s="817"/>
      <c r="CT80" s="817"/>
      <c r="CU80" s="817"/>
      <c r="CV80" s="817"/>
      <c r="CW80" s="817"/>
      <c r="CX80" s="817"/>
      <c r="CY80" s="817"/>
      <c r="CZ80" s="817"/>
      <c r="DA80" s="817"/>
      <c r="DB80" s="817"/>
      <c r="DC80" s="817"/>
      <c r="DD80" s="817"/>
      <c r="DE80" s="817"/>
      <c r="DF80" s="817"/>
      <c r="DG80" s="817"/>
      <c r="DH80" s="817"/>
      <c r="DI80" s="817"/>
      <c r="DJ80" s="817"/>
      <c r="DK80" s="817"/>
      <c r="DL80" s="817"/>
      <c r="DM80" s="817"/>
      <c r="DN80" s="817"/>
      <c r="DO80" s="817"/>
      <c r="DP80" s="817"/>
      <c r="DQ80" s="817"/>
      <c r="DR80" s="817"/>
      <c r="DS80" s="817"/>
      <c r="DT80" s="817"/>
      <c r="DU80" s="817"/>
      <c r="DV80" s="817"/>
      <c r="DW80" s="817"/>
      <c r="DX80" s="817"/>
      <c r="DY80" s="817"/>
      <c r="DZ80" s="817"/>
      <c r="EA80" s="817"/>
      <c r="EB80" s="817"/>
      <c r="EC80" s="817"/>
      <c r="ED80" s="817"/>
      <c r="EE80" s="817"/>
      <c r="EF80" s="817"/>
      <c r="EG80" s="817"/>
      <c r="EH80" s="817"/>
      <c r="EI80" s="817"/>
      <c r="EJ80" s="817"/>
      <c r="EK80" s="817"/>
      <c r="EL80" s="817"/>
      <c r="EM80" s="817"/>
      <c r="EN80" s="817"/>
      <c r="EO80" s="817"/>
      <c r="EP80" s="817"/>
      <c r="EQ80" s="817"/>
      <c r="ER80" s="817"/>
      <c r="ES80" s="817"/>
      <c r="ET80" s="817"/>
      <c r="EU80" s="817"/>
      <c r="EV80" s="817"/>
      <c r="EW80" s="817"/>
      <c r="EX80" s="817"/>
      <c r="EY80" s="817"/>
      <c r="EZ80" s="817"/>
      <c r="FA80" s="817"/>
      <c r="FB80" s="817"/>
      <c r="FC80" s="817"/>
      <c r="FD80" s="817"/>
      <c r="FE80" s="817"/>
      <c r="FF80" s="817"/>
      <c r="FG80" s="817"/>
      <c r="FH80" s="817"/>
      <c r="FI80" s="817"/>
      <c r="FJ80" s="817"/>
      <c r="FK80" s="817"/>
      <c r="FL80" s="817"/>
      <c r="FM80" s="817"/>
      <c r="FN80" s="817"/>
      <c r="FO80" s="817"/>
      <c r="FP80" s="817"/>
      <c r="FQ80" s="817"/>
      <c r="FR80" s="817"/>
      <c r="FS80" s="817"/>
      <c r="FT80" s="817"/>
      <c r="FU80" s="817"/>
      <c r="FV80" s="817"/>
      <c r="FW80" s="817"/>
      <c r="FX80" s="817"/>
      <c r="FY80" s="817"/>
      <c r="FZ80" s="817"/>
      <c r="GA80" s="817"/>
      <c r="GB80" s="817"/>
      <c r="GC80" s="817"/>
      <c r="GD80" s="817"/>
      <c r="GE80" s="817"/>
      <c r="GF80" s="817"/>
      <c r="GG80" s="817"/>
      <c r="GH80" s="817"/>
      <c r="GI80" s="817"/>
      <c r="GJ80" s="817"/>
      <c r="GK80" s="817"/>
      <c r="GL80" s="817"/>
      <c r="GM80" s="817"/>
      <c r="GN80" s="817"/>
      <c r="GO80" s="817"/>
      <c r="GP80" s="817"/>
      <c r="GQ80" s="817"/>
      <c r="GR80" s="817"/>
      <c r="GS80" s="817"/>
      <c r="GT80" s="817"/>
      <c r="GU80" s="817"/>
      <c r="GV80" s="817"/>
      <c r="GW80" s="817"/>
      <c r="GX80" s="817"/>
      <c r="GY80" s="817"/>
      <c r="GZ80" s="817"/>
      <c r="HA80" s="817"/>
      <c r="HB80" s="817"/>
      <c r="HC80" s="817"/>
      <c r="HD80" s="817"/>
      <c r="HE80" s="817"/>
      <c r="HF80" s="817"/>
      <c r="HG80" s="817"/>
      <c r="HH80" s="817"/>
      <c r="HI80" s="817"/>
      <c r="HJ80" s="817"/>
      <c r="HK80" s="817"/>
      <c r="HL80" s="817"/>
      <c r="HM80" s="817"/>
      <c r="HN80" s="817"/>
      <c r="HO80" s="817"/>
      <c r="HP80" s="817"/>
      <c r="HQ80" s="817"/>
      <c r="HR80" s="817"/>
      <c r="HS80" s="817"/>
      <c r="HT80" s="817"/>
      <c r="HU80" s="817"/>
      <c r="HV80" s="817"/>
      <c r="HW80" s="817"/>
      <c r="HX80" s="817"/>
      <c r="HY80" s="817"/>
      <c r="HZ80" s="817"/>
      <c r="IA80" s="817"/>
      <c r="IB80" s="817"/>
      <c r="IC80" s="817"/>
      <c r="ID80" s="817"/>
      <c r="IE80" s="817"/>
      <c r="IF80" s="817"/>
      <c r="IG80" s="817"/>
      <c r="IH80" s="817"/>
      <c r="II80" s="817"/>
      <c r="IJ80" s="817"/>
      <c r="IK80" s="817"/>
      <c r="IL80" s="817"/>
      <c r="IM80" s="817"/>
      <c r="IN80" s="817"/>
      <c r="IO80" s="817"/>
      <c r="IP80" s="817"/>
      <c r="IQ80" s="817"/>
      <c r="IR80" s="817"/>
      <c r="IS80" s="817"/>
      <c r="IT80" s="817"/>
      <c r="IU80" s="817"/>
      <c r="IV80" s="817"/>
    </row>
    <row r="81" spans="1:256" ht="11.25" customHeight="1" thickTop="1">
      <c r="A81" s="818" t="s">
        <v>166</v>
      </c>
      <c r="B81" s="890"/>
      <c r="C81" s="890"/>
      <c r="D81" s="909"/>
      <c r="E81" s="909"/>
      <c r="F81" s="909"/>
      <c r="G81" s="909"/>
      <c r="H81" s="909"/>
      <c r="I81" s="909"/>
      <c r="J81" s="909"/>
      <c r="K81" s="909"/>
      <c r="L81" s="909"/>
      <c r="M81" s="909"/>
      <c r="N81" s="909"/>
      <c r="O81" s="817"/>
      <c r="P81" s="817"/>
      <c r="Q81" s="817"/>
      <c r="R81" s="817"/>
      <c r="S81" s="817"/>
      <c r="T81" s="817"/>
      <c r="U81" s="817"/>
      <c r="V81" s="817"/>
      <c r="W81" s="817"/>
      <c r="X81" s="817"/>
      <c r="Y81" s="817"/>
      <c r="Z81" s="817"/>
      <c r="AA81" s="817"/>
      <c r="AB81" s="817"/>
      <c r="AC81" s="817"/>
      <c r="AD81" s="817"/>
      <c r="AE81" s="817"/>
      <c r="AF81" s="817"/>
      <c r="AG81" s="817"/>
      <c r="AH81" s="817"/>
      <c r="AI81" s="817"/>
      <c r="AJ81" s="817"/>
      <c r="AK81" s="817"/>
      <c r="AL81" s="817"/>
      <c r="AM81" s="817"/>
      <c r="AN81" s="817"/>
      <c r="AO81" s="817"/>
      <c r="AP81" s="817"/>
      <c r="AQ81" s="817"/>
      <c r="AR81" s="817"/>
      <c r="AS81" s="817"/>
      <c r="AT81" s="817"/>
      <c r="AU81" s="817"/>
      <c r="AV81" s="817"/>
      <c r="AW81" s="817"/>
      <c r="AX81" s="817"/>
      <c r="AY81" s="817"/>
      <c r="AZ81" s="817"/>
      <c r="BA81" s="817"/>
      <c r="BB81" s="817"/>
      <c r="BC81" s="817"/>
      <c r="BD81" s="817"/>
      <c r="BE81" s="817"/>
      <c r="BF81" s="817"/>
      <c r="BG81" s="817"/>
      <c r="BH81" s="817"/>
      <c r="BI81" s="817"/>
      <c r="BJ81" s="817"/>
      <c r="BK81" s="817"/>
      <c r="BL81" s="817"/>
      <c r="BM81" s="817"/>
      <c r="BN81" s="817"/>
      <c r="BO81" s="817"/>
      <c r="BP81" s="817"/>
      <c r="BQ81" s="817"/>
      <c r="BR81" s="817"/>
      <c r="BS81" s="817"/>
      <c r="BT81" s="817"/>
      <c r="BU81" s="817"/>
      <c r="BV81" s="817"/>
      <c r="BW81" s="817"/>
      <c r="BX81" s="817"/>
      <c r="BY81" s="817"/>
      <c r="BZ81" s="817"/>
      <c r="CA81" s="817"/>
      <c r="CB81" s="817"/>
      <c r="CC81" s="817"/>
      <c r="CD81" s="817"/>
      <c r="CE81" s="817"/>
      <c r="CF81" s="817"/>
      <c r="CG81" s="817"/>
      <c r="CH81" s="817"/>
      <c r="CI81" s="817"/>
      <c r="CJ81" s="817"/>
      <c r="CK81" s="817"/>
      <c r="CL81" s="817"/>
      <c r="CM81" s="817"/>
      <c r="CN81" s="817"/>
      <c r="CO81" s="817"/>
      <c r="CP81" s="817"/>
      <c r="CQ81" s="817"/>
      <c r="CR81" s="817"/>
      <c r="CS81" s="817"/>
      <c r="CT81" s="817"/>
      <c r="CU81" s="817"/>
      <c r="CV81" s="817"/>
      <c r="CW81" s="817"/>
      <c r="CX81" s="817"/>
      <c r="CY81" s="817"/>
      <c r="CZ81" s="817"/>
      <c r="DA81" s="817"/>
      <c r="DB81" s="817"/>
      <c r="DC81" s="817"/>
      <c r="DD81" s="817"/>
      <c r="DE81" s="817"/>
      <c r="DF81" s="817"/>
      <c r="DG81" s="817"/>
      <c r="DH81" s="817"/>
      <c r="DI81" s="817"/>
      <c r="DJ81" s="817"/>
      <c r="DK81" s="817"/>
      <c r="DL81" s="817"/>
      <c r="DM81" s="817"/>
      <c r="DN81" s="817"/>
      <c r="DO81" s="817"/>
      <c r="DP81" s="817"/>
      <c r="DQ81" s="817"/>
      <c r="DR81" s="817"/>
      <c r="DS81" s="817"/>
      <c r="DT81" s="817"/>
      <c r="DU81" s="817"/>
      <c r="DV81" s="817"/>
      <c r="DW81" s="817"/>
      <c r="DX81" s="817"/>
      <c r="DY81" s="817"/>
      <c r="DZ81" s="817"/>
      <c r="EA81" s="817"/>
      <c r="EB81" s="817"/>
      <c r="EC81" s="817"/>
      <c r="ED81" s="817"/>
      <c r="EE81" s="817"/>
      <c r="EF81" s="817"/>
      <c r="EG81" s="817"/>
      <c r="EH81" s="817"/>
      <c r="EI81" s="817"/>
      <c r="EJ81" s="817"/>
      <c r="EK81" s="817"/>
      <c r="EL81" s="817"/>
      <c r="EM81" s="817"/>
      <c r="EN81" s="817"/>
      <c r="EO81" s="817"/>
      <c r="EP81" s="817"/>
      <c r="EQ81" s="817"/>
      <c r="ER81" s="817"/>
      <c r="ES81" s="817"/>
      <c r="ET81" s="817"/>
      <c r="EU81" s="817"/>
      <c r="EV81" s="817"/>
      <c r="EW81" s="817"/>
      <c r="EX81" s="817"/>
      <c r="EY81" s="817"/>
      <c r="EZ81" s="817"/>
      <c r="FA81" s="817"/>
      <c r="FB81" s="817"/>
      <c r="FC81" s="817"/>
      <c r="FD81" s="817"/>
      <c r="FE81" s="817"/>
      <c r="FF81" s="817"/>
      <c r="FG81" s="817"/>
      <c r="FH81" s="817"/>
      <c r="FI81" s="817"/>
      <c r="FJ81" s="817"/>
      <c r="FK81" s="817"/>
      <c r="FL81" s="817"/>
      <c r="FM81" s="817"/>
      <c r="FN81" s="817"/>
      <c r="FO81" s="817"/>
      <c r="FP81" s="817"/>
      <c r="FQ81" s="817"/>
      <c r="FR81" s="817"/>
      <c r="FS81" s="817"/>
      <c r="FT81" s="817"/>
      <c r="FU81" s="817"/>
      <c r="FV81" s="817"/>
      <c r="FW81" s="817"/>
      <c r="FX81" s="817"/>
      <c r="FY81" s="817"/>
      <c r="FZ81" s="817"/>
      <c r="GA81" s="817"/>
      <c r="GB81" s="817"/>
      <c r="GC81" s="817"/>
      <c r="GD81" s="817"/>
      <c r="GE81" s="817"/>
      <c r="GF81" s="817"/>
      <c r="GG81" s="817"/>
      <c r="GH81" s="817"/>
      <c r="GI81" s="817"/>
      <c r="GJ81" s="817"/>
      <c r="GK81" s="817"/>
      <c r="GL81" s="817"/>
      <c r="GM81" s="817"/>
      <c r="GN81" s="817"/>
      <c r="GO81" s="817"/>
      <c r="GP81" s="817"/>
      <c r="GQ81" s="817"/>
      <c r="GR81" s="817"/>
      <c r="GS81" s="817"/>
      <c r="GT81" s="817"/>
      <c r="GU81" s="817"/>
      <c r="GV81" s="817"/>
      <c r="GW81" s="817"/>
      <c r="GX81" s="817"/>
      <c r="GY81" s="817"/>
      <c r="GZ81" s="817"/>
      <c r="HA81" s="817"/>
      <c r="HB81" s="817"/>
      <c r="HC81" s="817"/>
      <c r="HD81" s="817"/>
      <c r="HE81" s="817"/>
      <c r="HF81" s="817"/>
      <c r="HG81" s="817"/>
      <c r="HH81" s="817"/>
      <c r="HI81" s="817"/>
      <c r="HJ81" s="817"/>
      <c r="HK81" s="817"/>
      <c r="HL81" s="817"/>
      <c r="HM81" s="817"/>
      <c r="HN81" s="817"/>
      <c r="HO81" s="817"/>
      <c r="HP81" s="817"/>
      <c r="HQ81" s="817"/>
      <c r="HR81" s="817"/>
      <c r="HS81" s="817"/>
      <c r="HT81" s="817"/>
      <c r="HU81" s="817"/>
      <c r="HV81" s="817"/>
      <c r="HW81" s="817"/>
      <c r="HX81" s="817"/>
      <c r="HY81" s="817"/>
      <c r="HZ81" s="817"/>
      <c r="IA81" s="817"/>
      <c r="IB81" s="817"/>
      <c r="IC81" s="817"/>
      <c r="ID81" s="817"/>
      <c r="IE81" s="817"/>
      <c r="IF81" s="817"/>
      <c r="IG81" s="817"/>
      <c r="IH81" s="817"/>
      <c r="II81" s="817"/>
      <c r="IJ81" s="817"/>
      <c r="IK81" s="817"/>
      <c r="IL81" s="817"/>
      <c r="IM81" s="817"/>
      <c r="IN81" s="817"/>
      <c r="IO81" s="817"/>
      <c r="IP81" s="817"/>
      <c r="IQ81" s="817"/>
      <c r="IR81" s="817"/>
      <c r="IS81" s="817"/>
      <c r="IT81" s="817"/>
      <c r="IU81" s="817"/>
      <c r="IV81" s="817"/>
    </row>
    <row r="82" spans="1:256" ht="10.5" customHeight="1">
      <c r="A82" s="803" t="s">
        <v>455</v>
      </c>
      <c r="B82" s="827">
        <v>0</v>
      </c>
      <c r="C82" s="827">
        <v>0</v>
      </c>
      <c r="D82" s="891">
        <v>22.3</v>
      </c>
      <c r="E82" s="891">
        <v>21.8</v>
      </c>
      <c r="F82" s="891">
        <v>23.6</v>
      </c>
      <c r="G82" s="891">
        <v>19.100000000000001</v>
      </c>
      <c r="H82" s="891">
        <v>13.6</v>
      </c>
      <c r="I82" s="891">
        <v>0</v>
      </c>
      <c r="J82" s="909">
        <v>0</v>
      </c>
      <c r="K82" s="891">
        <v>0</v>
      </c>
      <c r="L82" s="892">
        <v>0</v>
      </c>
      <c r="M82" s="892">
        <v>0</v>
      </c>
      <c r="N82" s="892">
        <v>0</v>
      </c>
      <c r="O82" s="817"/>
      <c r="P82" s="817"/>
      <c r="Q82" s="817"/>
      <c r="R82" s="817"/>
      <c r="S82" s="817"/>
      <c r="T82" s="817"/>
      <c r="U82" s="817"/>
      <c r="V82" s="817"/>
      <c r="W82" s="817"/>
      <c r="X82" s="817"/>
      <c r="Y82" s="817"/>
      <c r="Z82" s="817"/>
      <c r="AA82" s="817"/>
      <c r="AB82" s="817"/>
      <c r="AC82" s="817"/>
      <c r="AD82" s="817"/>
      <c r="AE82" s="817"/>
      <c r="AF82" s="817"/>
      <c r="AG82" s="817"/>
      <c r="AH82" s="817"/>
      <c r="AI82" s="817"/>
      <c r="AJ82" s="817"/>
      <c r="AK82" s="817"/>
      <c r="AL82" s="817"/>
      <c r="AM82" s="817"/>
      <c r="AN82" s="817"/>
      <c r="AO82" s="817"/>
      <c r="AP82" s="817"/>
      <c r="AQ82" s="817"/>
      <c r="AR82" s="817"/>
      <c r="AS82" s="817"/>
      <c r="AT82" s="817"/>
      <c r="AU82" s="817"/>
      <c r="AV82" s="817"/>
      <c r="AW82" s="817"/>
      <c r="AX82" s="817"/>
      <c r="AY82" s="817"/>
      <c r="AZ82" s="817"/>
      <c r="BA82" s="817"/>
      <c r="BB82" s="817"/>
      <c r="BC82" s="817"/>
      <c r="BD82" s="817"/>
      <c r="BE82" s="817"/>
      <c r="BF82" s="817"/>
      <c r="BG82" s="817"/>
      <c r="BH82" s="817"/>
      <c r="BI82" s="817"/>
      <c r="BJ82" s="817"/>
      <c r="BK82" s="817"/>
      <c r="BL82" s="817"/>
      <c r="BM82" s="817"/>
      <c r="BN82" s="817"/>
      <c r="BO82" s="817"/>
      <c r="BP82" s="817"/>
      <c r="BQ82" s="817"/>
      <c r="BR82" s="817"/>
      <c r="BS82" s="817"/>
      <c r="BT82" s="817"/>
      <c r="BU82" s="817"/>
      <c r="BV82" s="817"/>
      <c r="BW82" s="817"/>
      <c r="BX82" s="817"/>
      <c r="BY82" s="817"/>
      <c r="BZ82" s="817"/>
      <c r="CA82" s="817"/>
      <c r="CB82" s="817"/>
      <c r="CC82" s="817"/>
      <c r="CD82" s="817"/>
      <c r="CE82" s="817"/>
      <c r="CF82" s="817"/>
      <c r="CG82" s="817"/>
      <c r="CH82" s="817"/>
      <c r="CI82" s="817"/>
      <c r="CJ82" s="817"/>
      <c r="CK82" s="817"/>
      <c r="CL82" s="817"/>
      <c r="CM82" s="817"/>
      <c r="CN82" s="817"/>
      <c r="CO82" s="817"/>
      <c r="CP82" s="817"/>
      <c r="CQ82" s="817"/>
      <c r="CR82" s="817"/>
      <c r="CS82" s="817"/>
      <c r="CT82" s="817"/>
      <c r="CU82" s="817"/>
      <c r="CV82" s="817"/>
      <c r="CW82" s="817"/>
      <c r="CX82" s="817"/>
      <c r="CY82" s="817"/>
      <c r="CZ82" s="817"/>
      <c r="DA82" s="817"/>
      <c r="DB82" s="817"/>
      <c r="DC82" s="817"/>
      <c r="DD82" s="817"/>
      <c r="DE82" s="817"/>
      <c r="DF82" s="817"/>
      <c r="DG82" s="817"/>
      <c r="DH82" s="817"/>
      <c r="DI82" s="817"/>
      <c r="DJ82" s="817"/>
      <c r="DK82" s="817"/>
      <c r="DL82" s="817"/>
      <c r="DM82" s="817"/>
      <c r="DN82" s="817"/>
      <c r="DO82" s="817"/>
      <c r="DP82" s="817"/>
      <c r="DQ82" s="817"/>
      <c r="DR82" s="817"/>
      <c r="DS82" s="817"/>
      <c r="DT82" s="817"/>
      <c r="DU82" s="817"/>
      <c r="DV82" s="817"/>
      <c r="DW82" s="817"/>
      <c r="DX82" s="817"/>
      <c r="DY82" s="817"/>
      <c r="DZ82" s="817"/>
      <c r="EA82" s="817"/>
      <c r="EB82" s="817"/>
      <c r="EC82" s="817"/>
      <c r="ED82" s="817"/>
      <c r="EE82" s="817"/>
      <c r="EF82" s="817"/>
      <c r="EG82" s="817"/>
      <c r="EH82" s="817"/>
      <c r="EI82" s="817"/>
      <c r="EJ82" s="817"/>
      <c r="EK82" s="817"/>
      <c r="EL82" s="817"/>
      <c r="EM82" s="817"/>
      <c r="EN82" s="817"/>
      <c r="EO82" s="817"/>
      <c r="EP82" s="817"/>
      <c r="EQ82" s="817"/>
      <c r="ER82" s="817"/>
      <c r="ES82" s="817"/>
      <c r="ET82" s="817"/>
      <c r="EU82" s="817"/>
      <c r="EV82" s="817"/>
      <c r="EW82" s="817"/>
      <c r="EX82" s="817"/>
      <c r="EY82" s="817"/>
      <c r="EZ82" s="817"/>
      <c r="FA82" s="817"/>
      <c r="FB82" s="817"/>
      <c r="FC82" s="817"/>
      <c r="FD82" s="817"/>
      <c r="FE82" s="817"/>
      <c r="FF82" s="817"/>
      <c r="FG82" s="817"/>
      <c r="FH82" s="817"/>
      <c r="FI82" s="817"/>
      <c r="FJ82" s="817"/>
      <c r="FK82" s="817"/>
      <c r="FL82" s="817"/>
      <c r="FM82" s="817"/>
      <c r="FN82" s="817"/>
      <c r="FO82" s="817"/>
      <c r="FP82" s="817"/>
      <c r="FQ82" s="817"/>
      <c r="FR82" s="817"/>
      <c r="FS82" s="817"/>
      <c r="FT82" s="817"/>
      <c r="FU82" s="817"/>
      <c r="FV82" s="817"/>
      <c r="FW82" s="817"/>
      <c r="FX82" s="817"/>
      <c r="FY82" s="817"/>
      <c r="FZ82" s="817"/>
      <c r="GA82" s="817"/>
      <c r="GB82" s="817"/>
      <c r="GC82" s="817"/>
      <c r="GD82" s="817"/>
      <c r="GE82" s="817"/>
      <c r="GF82" s="817"/>
      <c r="GG82" s="817"/>
      <c r="GH82" s="817"/>
      <c r="GI82" s="817"/>
      <c r="GJ82" s="817"/>
      <c r="GK82" s="817"/>
      <c r="GL82" s="817"/>
      <c r="GM82" s="817"/>
      <c r="GN82" s="817"/>
      <c r="GO82" s="817"/>
      <c r="GP82" s="817"/>
      <c r="GQ82" s="817"/>
      <c r="GR82" s="817"/>
      <c r="GS82" s="817"/>
      <c r="GT82" s="817"/>
      <c r="GU82" s="817"/>
      <c r="GV82" s="817"/>
      <c r="GW82" s="817"/>
      <c r="GX82" s="817"/>
      <c r="GY82" s="817"/>
      <c r="GZ82" s="817"/>
      <c r="HA82" s="817"/>
      <c r="HB82" s="817"/>
      <c r="HC82" s="817"/>
      <c r="HD82" s="817"/>
      <c r="HE82" s="817"/>
      <c r="HF82" s="817"/>
      <c r="HG82" s="817"/>
      <c r="HH82" s="817"/>
      <c r="HI82" s="817"/>
      <c r="HJ82" s="817"/>
      <c r="HK82" s="817"/>
      <c r="HL82" s="817"/>
      <c r="HM82" s="817"/>
      <c r="HN82" s="817"/>
      <c r="HO82" s="817"/>
      <c r="HP82" s="817"/>
      <c r="HQ82" s="817"/>
      <c r="HR82" s="817"/>
      <c r="HS82" s="817"/>
      <c r="HT82" s="817"/>
      <c r="HU82" s="817"/>
      <c r="HV82" s="817"/>
      <c r="HW82" s="817"/>
      <c r="HX82" s="817"/>
      <c r="HY82" s="817"/>
      <c r="HZ82" s="817"/>
      <c r="IA82" s="817"/>
      <c r="IB82" s="817"/>
      <c r="IC82" s="817"/>
      <c r="ID82" s="817"/>
      <c r="IE82" s="817"/>
      <c r="IF82" s="817"/>
      <c r="IG82" s="817"/>
      <c r="IH82" s="817"/>
      <c r="II82" s="817"/>
      <c r="IJ82" s="817"/>
      <c r="IK82" s="817"/>
      <c r="IL82" s="817"/>
      <c r="IM82" s="817"/>
      <c r="IN82" s="817"/>
      <c r="IO82" s="817"/>
      <c r="IP82" s="817"/>
      <c r="IQ82" s="817"/>
      <c r="IR82" s="817"/>
      <c r="IS82" s="817"/>
      <c r="IT82" s="817"/>
      <c r="IU82" s="817"/>
      <c r="IV82" s="817"/>
    </row>
    <row r="83" spans="1:256" ht="10.5" customHeight="1">
      <c r="A83" s="803" t="s">
        <v>819</v>
      </c>
      <c r="B83" s="890">
        <v>7</v>
      </c>
      <c r="C83" s="890">
        <v>7</v>
      </c>
      <c r="D83" s="891">
        <v>7</v>
      </c>
      <c r="E83" s="891">
        <v>7</v>
      </c>
      <c r="F83" s="891">
        <v>5.2</v>
      </c>
      <c r="G83" s="891">
        <v>5.2</v>
      </c>
      <c r="H83" s="891">
        <v>5.2</v>
      </c>
      <c r="I83" s="891">
        <v>7</v>
      </c>
      <c r="J83" s="891">
        <v>24.1</v>
      </c>
      <c r="K83" s="891">
        <v>28</v>
      </c>
      <c r="L83" s="892">
        <v>25.8</v>
      </c>
      <c r="M83" s="892">
        <v>24.4</v>
      </c>
      <c r="N83" s="891">
        <v>26.1</v>
      </c>
      <c r="O83" s="817"/>
      <c r="P83" s="817"/>
      <c r="Q83" s="817"/>
      <c r="R83" s="817"/>
      <c r="S83" s="817"/>
      <c r="T83" s="817"/>
      <c r="U83" s="817"/>
      <c r="V83" s="817"/>
      <c r="W83" s="817"/>
      <c r="X83" s="817"/>
      <c r="Y83" s="817"/>
      <c r="Z83" s="817"/>
      <c r="AA83" s="817"/>
      <c r="AB83" s="817"/>
      <c r="AC83" s="817"/>
      <c r="AD83" s="817"/>
      <c r="AE83" s="817"/>
      <c r="AF83" s="817"/>
      <c r="AG83" s="817"/>
      <c r="AH83" s="817"/>
      <c r="AI83" s="817"/>
      <c r="AJ83" s="817"/>
      <c r="AK83" s="817"/>
      <c r="AL83" s="817"/>
      <c r="AM83" s="817"/>
      <c r="AN83" s="817"/>
      <c r="AO83" s="817"/>
      <c r="AP83" s="817"/>
      <c r="AQ83" s="817"/>
      <c r="AR83" s="817"/>
      <c r="AS83" s="817"/>
      <c r="AT83" s="817"/>
      <c r="AU83" s="817"/>
      <c r="AV83" s="817"/>
      <c r="AW83" s="817"/>
      <c r="AX83" s="817"/>
      <c r="AY83" s="817"/>
      <c r="AZ83" s="817"/>
      <c r="BA83" s="817"/>
      <c r="BB83" s="817"/>
      <c r="BC83" s="817"/>
      <c r="BD83" s="817"/>
      <c r="BE83" s="817"/>
      <c r="BF83" s="817"/>
      <c r="BG83" s="817"/>
      <c r="BH83" s="817"/>
      <c r="BI83" s="817"/>
      <c r="BJ83" s="817"/>
      <c r="BK83" s="817"/>
      <c r="BL83" s="817"/>
      <c r="BM83" s="817"/>
      <c r="BN83" s="817"/>
      <c r="BO83" s="817"/>
      <c r="BP83" s="817"/>
      <c r="BQ83" s="817"/>
      <c r="BR83" s="817"/>
      <c r="BS83" s="817"/>
      <c r="BT83" s="817"/>
      <c r="BU83" s="817"/>
      <c r="BV83" s="817"/>
      <c r="BW83" s="817"/>
      <c r="BX83" s="817"/>
      <c r="BY83" s="817"/>
      <c r="BZ83" s="817"/>
      <c r="CA83" s="817"/>
      <c r="CB83" s="817"/>
      <c r="CC83" s="817"/>
      <c r="CD83" s="817"/>
      <c r="CE83" s="817"/>
      <c r="CF83" s="817"/>
      <c r="CG83" s="817"/>
      <c r="CH83" s="817"/>
      <c r="CI83" s="817"/>
      <c r="CJ83" s="817"/>
      <c r="CK83" s="817"/>
      <c r="CL83" s="817"/>
      <c r="CM83" s="817"/>
      <c r="CN83" s="817"/>
      <c r="CO83" s="817"/>
      <c r="CP83" s="817"/>
      <c r="CQ83" s="817"/>
      <c r="CR83" s="817"/>
      <c r="CS83" s="817"/>
      <c r="CT83" s="817"/>
      <c r="CU83" s="817"/>
      <c r="CV83" s="817"/>
      <c r="CW83" s="817"/>
      <c r="CX83" s="817"/>
      <c r="CY83" s="817"/>
      <c r="CZ83" s="817"/>
      <c r="DA83" s="817"/>
      <c r="DB83" s="817"/>
      <c r="DC83" s="817"/>
      <c r="DD83" s="817"/>
      <c r="DE83" s="817"/>
      <c r="DF83" s="817"/>
      <c r="DG83" s="817"/>
      <c r="DH83" s="817"/>
      <c r="DI83" s="817"/>
      <c r="DJ83" s="817"/>
      <c r="DK83" s="817"/>
      <c r="DL83" s="817"/>
      <c r="DM83" s="817"/>
      <c r="DN83" s="817"/>
      <c r="DO83" s="817"/>
      <c r="DP83" s="817"/>
      <c r="DQ83" s="817"/>
      <c r="DR83" s="817"/>
      <c r="DS83" s="817"/>
      <c r="DT83" s="817"/>
      <c r="DU83" s="817"/>
      <c r="DV83" s="817"/>
      <c r="DW83" s="817"/>
      <c r="DX83" s="817"/>
      <c r="DY83" s="817"/>
      <c r="DZ83" s="817"/>
      <c r="EA83" s="817"/>
      <c r="EB83" s="817"/>
      <c r="EC83" s="817"/>
      <c r="ED83" s="817"/>
      <c r="EE83" s="817"/>
      <c r="EF83" s="817"/>
      <c r="EG83" s="817"/>
      <c r="EH83" s="817"/>
      <c r="EI83" s="817"/>
      <c r="EJ83" s="817"/>
      <c r="EK83" s="817"/>
      <c r="EL83" s="817"/>
      <c r="EM83" s="817"/>
      <c r="EN83" s="817"/>
      <c r="EO83" s="817"/>
      <c r="EP83" s="817"/>
      <c r="EQ83" s="817"/>
      <c r="ER83" s="817"/>
      <c r="ES83" s="817"/>
      <c r="ET83" s="817"/>
      <c r="EU83" s="817"/>
      <c r="EV83" s="817"/>
      <c r="EW83" s="817"/>
      <c r="EX83" s="817"/>
      <c r="EY83" s="817"/>
      <c r="EZ83" s="817"/>
      <c r="FA83" s="817"/>
      <c r="FB83" s="817"/>
      <c r="FC83" s="817"/>
      <c r="FD83" s="817"/>
      <c r="FE83" s="817"/>
      <c r="FF83" s="817"/>
      <c r="FG83" s="817"/>
      <c r="FH83" s="817"/>
      <c r="FI83" s="817"/>
      <c r="FJ83" s="817"/>
      <c r="FK83" s="817"/>
      <c r="FL83" s="817"/>
      <c r="FM83" s="817"/>
      <c r="FN83" s="817"/>
      <c r="FO83" s="817"/>
      <c r="FP83" s="817"/>
      <c r="FQ83" s="817"/>
      <c r="FR83" s="817"/>
      <c r="FS83" s="817"/>
      <c r="FT83" s="817"/>
      <c r="FU83" s="817"/>
      <c r="FV83" s="817"/>
      <c r="FW83" s="817"/>
      <c r="FX83" s="817"/>
      <c r="FY83" s="817"/>
      <c r="FZ83" s="817"/>
      <c r="GA83" s="817"/>
      <c r="GB83" s="817"/>
      <c r="GC83" s="817"/>
      <c r="GD83" s="817"/>
      <c r="GE83" s="817"/>
      <c r="GF83" s="817"/>
      <c r="GG83" s="817"/>
      <c r="GH83" s="817"/>
      <c r="GI83" s="817"/>
      <c r="GJ83" s="817"/>
      <c r="GK83" s="817"/>
      <c r="GL83" s="817"/>
      <c r="GM83" s="817"/>
      <c r="GN83" s="817"/>
      <c r="GO83" s="817"/>
      <c r="GP83" s="817"/>
      <c r="GQ83" s="817"/>
      <c r="GR83" s="817"/>
      <c r="GS83" s="817"/>
      <c r="GT83" s="817"/>
      <c r="GU83" s="817"/>
      <c r="GV83" s="817"/>
      <c r="GW83" s="817"/>
      <c r="GX83" s="817"/>
      <c r="GY83" s="817"/>
      <c r="GZ83" s="817"/>
      <c r="HA83" s="817"/>
      <c r="HB83" s="817"/>
      <c r="HC83" s="817"/>
      <c r="HD83" s="817"/>
      <c r="HE83" s="817"/>
      <c r="HF83" s="817"/>
      <c r="HG83" s="817"/>
      <c r="HH83" s="817"/>
      <c r="HI83" s="817"/>
      <c r="HJ83" s="817"/>
      <c r="HK83" s="817"/>
      <c r="HL83" s="817"/>
      <c r="HM83" s="817"/>
      <c r="HN83" s="817"/>
      <c r="HO83" s="817"/>
      <c r="HP83" s="817"/>
      <c r="HQ83" s="817"/>
      <c r="HR83" s="817"/>
      <c r="HS83" s="817"/>
      <c r="HT83" s="817"/>
      <c r="HU83" s="817"/>
      <c r="HV83" s="817"/>
      <c r="HW83" s="817"/>
      <c r="HX83" s="817"/>
      <c r="HY83" s="817"/>
      <c r="HZ83" s="817"/>
      <c r="IA83" s="817"/>
      <c r="IB83" s="817"/>
      <c r="IC83" s="817"/>
      <c r="ID83" s="817"/>
      <c r="IE83" s="817"/>
      <c r="IF83" s="817"/>
      <c r="IG83" s="817"/>
      <c r="IH83" s="817"/>
      <c r="II83" s="817"/>
      <c r="IJ83" s="817"/>
      <c r="IK83" s="817"/>
      <c r="IL83" s="817"/>
      <c r="IM83" s="817"/>
      <c r="IN83" s="817"/>
      <c r="IO83" s="817"/>
      <c r="IP83" s="817"/>
      <c r="IQ83" s="817"/>
      <c r="IR83" s="817"/>
      <c r="IS83" s="817"/>
      <c r="IT83" s="817"/>
      <c r="IU83" s="817"/>
      <c r="IV83" s="817"/>
    </row>
    <row r="84" spans="1:256" ht="10.5" customHeight="1">
      <c r="A84" s="803" t="s">
        <v>820</v>
      </c>
      <c r="B84" s="890">
        <v>51.7</v>
      </c>
      <c r="C84" s="890">
        <v>56.8</v>
      </c>
      <c r="D84" s="891">
        <v>93.9</v>
      </c>
      <c r="E84" s="891">
        <v>91.3</v>
      </c>
      <c r="F84" s="891">
        <v>144.19999999999999</v>
      </c>
      <c r="G84" s="891">
        <v>112.1</v>
      </c>
      <c r="H84" s="891">
        <v>153.1</v>
      </c>
      <c r="I84" s="891">
        <v>201.1</v>
      </c>
      <c r="J84" s="891">
        <v>180.3</v>
      </c>
      <c r="K84" s="891">
        <v>84.4</v>
      </c>
      <c r="L84" s="893">
        <v>109.9</v>
      </c>
      <c r="M84" s="893">
        <v>146.69999999999999</v>
      </c>
      <c r="N84" s="891">
        <v>156.19999999999999</v>
      </c>
      <c r="O84" s="817"/>
      <c r="P84" s="817"/>
      <c r="Q84" s="817"/>
      <c r="R84" s="817"/>
      <c r="S84" s="817"/>
      <c r="T84" s="817"/>
      <c r="U84" s="817"/>
      <c r="V84" s="817"/>
      <c r="W84" s="817"/>
      <c r="X84" s="817"/>
      <c r="Y84" s="817"/>
      <c r="Z84" s="817"/>
      <c r="AA84" s="817"/>
      <c r="AB84" s="817"/>
      <c r="AC84" s="817"/>
      <c r="AD84" s="817"/>
      <c r="AE84" s="817"/>
      <c r="AF84" s="817"/>
      <c r="AG84" s="817"/>
      <c r="AH84" s="817"/>
      <c r="AI84" s="817"/>
      <c r="AJ84" s="817"/>
      <c r="AK84" s="817"/>
      <c r="AL84" s="817"/>
      <c r="AM84" s="817"/>
      <c r="AN84" s="817"/>
      <c r="AO84" s="817"/>
      <c r="AP84" s="817"/>
      <c r="AQ84" s="817"/>
      <c r="AR84" s="817"/>
      <c r="AS84" s="817"/>
      <c r="AT84" s="817"/>
      <c r="AU84" s="817"/>
      <c r="AV84" s="817"/>
      <c r="AW84" s="817"/>
      <c r="AX84" s="817"/>
      <c r="AY84" s="817"/>
      <c r="AZ84" s="817"/>
      <c r="BA84" s="817"/>
      <c r="BB84" s="817"/>
      <c r="BC84" s="817"/>
      <c r="BD84" s="817"/>
      <c r="BE84" s="817"/>
      <c r="BF84" s="817"/>
      <c r="BG84" s="817"/>
      <c r="BH84" s="817"/>
      <c r="BI84" s="817"/>
      <c r="BJ84" s="817"/>
      <c r="BK84" s="817"/>
      <c r="BL84" s="817"/>
      <c r="BM84" s="817"/>
      <c r="BN84" s="817"/>
      <c r="BO84" s="817"/>
      <c r="BP84" s="817"/>
      <c r="BQ84" s="817"/>
      <c r="BR84" s="817"/>
      <c r="BS84" s="817"/>
      <c r="BT84" s="817"/>
      <c r="BU84" s="817"/>
      <c r="BV84" s="817"/>
      <c r="BW84" s="817"/>
      <c r="BX84" s="817"/>
      <c r="BY84" s="817"/>
      <c r="BZ84" s="817"/>
      <c r="CA84" s="817"/>
      <c r="CB84" s="817"/>
      <c r="CC84" s="817"/>
      <c r="CD84" s="817"/>
      <c r="CE84" s="817"/>
      <c r="CF84" s="817"/>
      <c r="CG84" s="817"/>
      <c r="CH84" s="817"/>
      <c r="CI84" s="817"/>
      <c r="CJ84" s="817"/>
      <c r="CK84" s="817"/>
      <c r="CL84" s="817"/>
      <c r="CM84" s="817"/>
      <c r="CN84" s="817"/>
      <c r="CO84" s="817"/>
      <c r="CP84" s="817"/>
      <c r="CQ84" s="817"/>
      <c r="CR84" s="817"/>
      <c r="CS84" s="817"/>
      <c r="CT84" s="817"/>
      <c r="CU84" s="817"/>
      <c r="CV84" s="817"/>
      <c r="CW84" s="817"/>
      <c r="CX84" s="817"/>
      <c r="CY84" s="817"/>
      <c r="CZ84" s="817"/>
      <c r="DA84" s="817"/>
      <c r="DB84" s="817"/>
      <c r="DC84" s="817"/>
      <c r="DD84" s="817"/>
      <c r="DE84" s="817"/>
      <c r="DF84" s="817"/>
      <c r="DG84" s="817"/>
      <c r="DH84" s="817"/>
      <c r="DI84" s="817"/>
      <c r="DJ84" s="817"/>
      <c r="DK84" s="817"/>
      <c r="DL84" s="817"/>
      <c r="DM84" s="817"/>
      <c r="DN84" s="817"/>
      <c r="DO84" s="817"/>
      <c r="DP84" s="817"/>
      <c r="DQ84" s="817"/>
      <c r="DR84" s="817"/>
      <c r="DS84" s="817"/>
      <c r="DT84" s="817"/>
      <c r="DU84" s="817"/>
      <c r="DV84" s="817"/>
      <c r="DW84" s="817"/>
      <c r="DX84" s="817"/>
      <c r="DY84" s="817"/>
      <c r="DZ84" s="817"/>
      <c r="EA84" s="817"/>
      <c r="EB84" s="817"/>
      <c r="EC84" s="817"/>
      <c r="ED84" s="817"/>
      <c r="EE84" s="817"/>
      <c r="EF84" s="817"/>
      <c r="EG84" s="817"/>
      <c r="EH84" s="817"/>
      <c r="EI84" s="817"/>
      <c r="EJ84" s="817"/>
      <c r="EK84" s="817"/>
      <c r="EL84" s="817"/>
      <c r="EM84" s="817"/>
      <c r="EN84" s="817"/>
      <c r="EO84" s="817"/>
      <c r="EP84" s="817"/>
      <c r="EQ84" s="817"/>
      <c r="ER84" s="817"/>
      <c r="ES84" s="817"/>
      <c r="ET84" s="817"/>
      <c r="EU84" s="817"/>
      <c r="EV84" s="817"/>
      <c r="EW84" s="817"/>
      <c r="EX84" s="817"/>
      <c r="EY84" s="817"/>
      <c r="EZ84" s="817"/>
      <c r="FA84" s="817"/>
      <c r="FB84" s="817"/>
      <c r="FC84" s="817"/>
      <c r="FD84" s="817"/>
      <c r="FE84" s="817"/>
      <c r="FF84" s="817"/>
      <c r="FG84" s="817"/>
      <c r="FH84" s="817"/>
      <c r="FI84" s="817"/>
      <c r="FJ84" s="817"/>
      <c r="FK84" s="817"/>
      <c r="FL84" s="817"/>
      <c r="FM84" s="817"/>
      <c r="FN84" s="817"/>
      <c r="FO84" s="817"/>
      <c r="FP84" s="817"/>
      <c r="FQ84" s="817"/>
      <c r="FR84" s="817"/>
      <c r="FS84" s="817"/>
      <c r="FT84" s="817"/>
      <c r="FU84" s="817"/>
      <c r="FV84" s="817"/>
      <c r="FW84" s="817"/>
      <c r="FX84" s="817"/>
      <c r="FY84" s="817"/>
      <c r="FZ84" s="817"/>
      <c r="GA84" s="817"/>
      <c r="GB84" s="817"/>
      <c r="GC84" s="817"/>
      <c r="GD84" s="817"/>
      <c r="GE84" s="817"/>
      <c r="GF84" s="817"/>
      <c r="GG84" s="817"/>
      <c r="GH84" s="817"/>
      <c r="GI84" s="817"/>
      <c r="GJ84" s="817"/>
      <c r="GK84" s="817"/>
      <c r="GL84" s="817"/>
      <c r="GM84" s="817"/>
      <c r="GN84" s="817"/>
      <c r="GO84" s="817"/>
      <c r="GP84" s="817"/>
      <c r="GQ84" s="817"/>
      <c r="GR84" s="817"/>
      <c r="GS84" s="817"/>
      <c r="GT84" s="817"/>
      <c r="GU84" s="817"/>
      <c r="GV84" s="817"/>
      <c r="GW84" s="817"/>
      <c r="GX84" s="817"/>
      <c r="GY84" s="817"/>
      <c r="GZ84" s="817"/>
      <c r="HA84" s="817"/>
      <c r="HB84" s="817"/>
      <c r="HC84" s="817"/>
      <c r="HD84" s="817"/>
      <c r="HE84" s="817"/>
      <c r="HF84" s="817"/>
      <c r="HG84" s="817"/>
      <c r="HH84" s="817"/>
      <c r="HI84" s="817"/>
      <c r="HJ84" s="817"/>
      <c r="HK84" s="817"/>
      <c r="HL84" s="817"/>
      <c r="HM84" s="817"/>
      <c r="HN84" s="817"/>
      <c r="HO84" s="817"/>
      <c r="HP84" s="817"/>
      <c r="HQ84" s="817"/>
      <c r="HR84" s="817"/>
      <c r="HS84" s="817"/>
      <c r="HT84" s="817"/>
      <c r="HU84" s="817"/>
      <c r="HV84" s="817"/>
      <c r="HW84" s="817"/>
      <c r="HX84" s="817"/>
      <c r="HY84" s="817"/>
      <c r="HZ84" s="817"/>
      <c r="IA84" s="817"/>
      <c r="IB84" s="817"/>
      <c r="IC84" s="817"/>
      <c r="ID84" s="817"/>
      <c r="IE84" s="817"/>
      <c r="IF84" s="817"/>
      <c r="IG84" s="817"/>
      <c r="IH84" s="817"/>
      <c r="II84" s="817"/>
      <c r="IJ84" s="817"/>
      <c r="IK84" s="817"/>
      <c r="IL84" s="817"/>
      <c r="IM84" s="817"/>
      <c r="IN84" s="817"/>
      <c r="IO84" s="817"/>
      <c r="IP84" s="817"/>
      <c r="IQ84" s="817"/>
      <c r="IR84" s="817"/>
      <c r="IS84" s="817"/>
      <c r="IT84" s="817"/>
      <c r="IU84" s="817"/>
      <c r="IV84" s="817"/>
    </row>
    <row r="85" spans="1:256" ht="10.5" customHeight="1">
      <c r="A85" s="803" t="s">
        <v>821</v>
      </c>
      <c r="B85" s="890">
        <v>5.9</v>
      </c>
      <c r="C85" s="890">
        <v>6.2</v>
      </c>
      <c r="D85" s="891">
        <v>6.4</v>
      </c>
      <c r="E85" s="891">
        <v>5.7</v>
      </c>
      <c r="F85" s="891">
        <v>5.2</v>
      </c>
      <c r="G85" s="891">
        <v>5</v>
      </c>
      <c r="H85" s="891">
        <v>4.9000000000000004</v>
      </c>
      <c r="I85" s="891">
        <v>4.3</v>
      </c>
      <c r="J85" s="891">
        <v>5.8</v>
      </c>
      <c r="K85" s="891">
        <v>4.9000000000000004</v>
      </c>
      <c r="L85" s="893">
        <v>3.2</v>
      </c>
      <c r="M85" s="893">
        <v>4.0999999999999996</v>
      </c>
      <c r="N85" s="891">
        <v>3.9</v>
      </c>
      <c r="O85" s="817"/>
      <c r="P85" s="817"/>
      <c r="Q85" s="817"/>
      <c r="R85" s="817"/>
      <c r="S85" s="817"/>
      <c r="T85" s="817"/>
      <c r="U85" s="817"/>
      <c r="V85" s="817"/>
      <c r="W85" s="817"/>
      <c r="X85" s="817"/>
      <c r="Y85" s="817"/>
      <c r="Z85" s="817"/>
      <c r="AA85" s="817"/>
      <c r="AB85" s="817"/>
      <c r="AC85" s="817"/>
      <c r="AD85" s="817"/>
      <c r="AE85" s="817"/>
      <c r="AF85" s="817"/>
      <c r="AG85" s="817"/>
      <c r="AH85" s="817"/>
      <c r="AI85" s="817"/>
      <c r="AJ85" s="817"/>
      <c r="AK85" s="817"/>
      <c r="AL85" s="817"/>
      <c r="AM85" s="817"/>
      <c r="AN85" s="817"/>
      <c r="AO85" s="817"/>
      <c r="AP85" s="817"/>
      <c r="AQ85" s="817"/>
      <c r="AR85" s="817"/>
      <c r="AS85" s="817"/>
      <c r="AT85" s="817"/>
      <c r="AU85" s="817"/>
      <c r="AV85" s="817"/>
      <c r="AW85" s="817"/>
      <c r="AX85" s="817"/>
      <c r="AY85" s="817"/>
      <c r="AZ85" s="817"/>
      <c r="BA85" s="817"/>
      <c r="BB85" s="817"/>
      <c r="BC85" s="817"/>
      <c r="BD85" s="817"/>
      <c r="BE85" s="817"/>
      <c r="BF85" s="817"/>
      <c r="BG85" s="817"/>
      <c r="BH85" s="817"/>
      <c r="BI85" s="817"/>
      <c r="BJ85" s="817"/>
      <c r="BK85" s="817"/>
      <c r="BL85" s="817"/>
      <c r="BM85" s="817"/>
      <c r="BN85" s="817"/>
      <c r="BO85" s="817"/>
      <c r="BP85" s="817"/>
      <c r="BQ85" s="817"/>
      <c r="BR85" s="817"/>
      <c r="BS85" s="817"/>
      <c r="BT85" s="817"/>
      <c r="BU85" s="817"/>
      <c r="BV85" s="817"/>
      <c r="BW85" s="817"/>
      <c r="BX85" s="817"/>
      <c r="BY85" s="817"/>
      <c r="BZ85" s="817"/>
      <c r="CA85" s="817"/>
      <c r="CB85" s="817"/>
      <c r="CC85" s="817"/>
      <c r="CD85" s="817"/>
      <c r="CE85" s="817"/>
      <c r="CF85" s="817"/>
      <c r="CG85" s="817"/>
      <c r="CH85" s="817"/>
      <c r="CI85" s="817"/>
      <c r="CJ85" s="817"/>
      <c r="CK85" s="817"/>
      <c r="CL85" s="817"/>
      <c r="CM85" s="817"/>
      <c r="CN85" s="817"/>
      <c r="CO85" s="817"/>
      <c r="CP85" s="817"/>
      <c r="CQ85" s="817"/>
      <c r="CR85" s="817"/>
      <c r="CS85" s="817"/>
      <c r="CT85" s="817"/>
      <c r="CU85" s="817"/>
      <c r="CV85" s="817"/>
      <c r="CW85" s="817"/>
      <c r="CX85" s="817"/>
      <c r="CY85" s="817"/>
      <c r="CZ85" s="817"/>
      <c r="DA85" s="817"/>
      <c r="DB85" s="817"/>
      <c r="DC85" s="817"/>
      <c r="DD85" s="817"/>
      <c r="DE85" s="817"/>
      <c r="DF85" s="817"/>
      <c r="DG85" s="817"/>
      <c r="DH85" s="817"/>
      <c r="DI85" s="817"/>
      <c r="DJ85" s="817"/>
      <c r="DK85" s="817"/>
      <c r="DL85" s="817"/>
      <c r="DM85" s="817"/>
      <c r="DN85" s="817"/>
      <c r="DO85" s="817"/>
      <c r="DP85" s="817"/>
      <c r="DQ85" s="817"/>
      <c r="DR85" s="817"/>
      <c r="DS85" s="817"/>
      <c r="DT85" s="817"/>
      <c r="DU85" s="817"/>
      <c r="DV85" s="817"/>
      <c r="DW85" s="817"/>
      <c r="DX85" s="817"/>
      <c r="DY85" s="817"/>
      <c r="DZ85" s="817"/>
      <c r="EA85" s="817"/>
      <c r="EB85" s="817"/>
      <c r="EC85" s="817"/>
      <c r="ED85" s="817"/>
      <c r="EE85" s="817"/>
      <c r="EF85" s="817"/>
      <c r="EG85" s="817"/>
      <c r="EH85" s="817"/>
      <c r="EI85" s="817"/>
      <c r="EJ85" s="817"/>
      <c r="EK85" s="817"/>
      <c r="EL85" s="817"/>
      <c r="EM85" s="817"/>
      <c r="EN85" s="817"/>
      <c r="EO85" s="817"/>
      <c r="EP85" s="817"/>
      <c r="EQ85" s="817"/>
      <c r="ER85" s="817"/>
      <c r="ES85" s="817"/>
      <c r="ET85" s="817"/>
      <c r="EU85" s="817"/>
      <c r="EV85" s="817"/>
      <c r="EW85" s="817"/>
      <c r="EX85" s="817"/>
      <c r="EY85" s="817"/>
      <c r="EZ85" s="817"/>
      <c r="FA85" s="817"/>
      <c r="FB85" s="817"/>
      <c r="FC85" s="817"/>
      <c r="FD85" s="817"/>
      <c r="FE85" s="817"/>
      <c r="FF85" s="817"/>
      <c r="FG85" s="817"/>
      <c r="FH85" s="817"/>
      <c r="FI85" s="817"/>
      <c r="FJ85" s="817"/>
      <c r="FK85" s="817"/>
      <c r="FL85" s="817"/>
      <c r="FM85" s="817"/>
      <c r="FN85" s="817"/>
      <c r="FO85" s="817"/>
      <c r="FP85" s="817"/>
      <c r="FQ85" s="817"/>
      <c r="FR85" s="817"/>
      <c r="FS85" s="817"/>
      <c r="FT85" s="817"/>
      <c r="FU85" s="817"/>
      <c r="FV85" s="817"/>
      <c r="FW85" s="817"/>
      <c r="FX85" s="817"/>
      <c r="FY85" s="817"/>
      <c r="FZ85" s="817"/>
      <c r="GA85" s="817"/>
      <c r="GB85" s="817"/>
      <c r="GC85" s="817"/>
      <c r="GD85" s="817"/>
      <c r="GE85" s="817"/>
      <c r="GF85" s="817"/>
      <c r="GG85" s="817"/>
      <c r="GH85" s="817"/>
      <c r="GI85" s="817"/>
      <c r="GJ85" s="817"/>
      <c r="GK85" s="817"/>
      <c r="GL85" s="817"/>
      <c r="GM85" s="817"/>
      <c r="GN85" s="817"/>
      <c r="GO85" s="817"/>
      <c r="GP85" s="817"/>
      <c r="GQ85" s="817"/>
      <c r="GR85" s="817"/>
      <c r="GS85" s="817"/>
      <c r="GT85" s="817"/>
      <c r="GU85" s="817"/>
      <c r="GV85" s="817"/>
      <c r="GW85" s="817"/>
      <c r="GX85" s="817"/>
      <c r="GY85" s="817"/>
      <c r="GZ85" s="817"/>
      <c r="HA85" s="817"/>
      <c r="HB85" s="817"/>
      <c r="HC85" s="817"/>
      <c r="HD85" s="817"/>
      <c r="HE85" s="817"/>
      <c r="HF85" s="817"/>
      <c r="HG85" s="817"/>
      <c r="HH85" s="817"/>
      <c r="HI85" s="817"/>
      <c r="HJ85" s="817"/>
      <c r="HK85" s="817"/>
      <c r="HL85" s="817"/>
      <c r="HM85" s="817"/>
      <c r="HN85" s="817"/>
      <c r="HO85" s="817"/>
      <c r="HP85" s="817"/>
      <c r="HQ85" s="817"/>
      <c r="HR85" s="817"/>
      <c r="HS85" s="817"/>
      <c r="HT85" s="817"/>
      <c r="HU85" s="817"/>
      <c r="HV85" s="817"/>
      <c r="HW85" s="817"/>
      <c r="HX85" s="817"/>
      <c r="HY85" s="817"/>
      <c r="HZ85" s="817"/>
      <c r="IA85" s="817"/>
      <c r="IB85" s="817"/>
      <c r="IC85" s="817"/>
      <c r="ID85" s="817"/>
      <c r="IE85" s="817"/>
      <c r="IF85" s="817"/>
      <c r="IG85" s="817"/>
      <c r="IH85" s="817"/>
      <c r="II85" s="817"/>
      <c r="IJ85" s="817"/>
      <c r="IK85" s="817"/>
      <c r="IL85" s="817"/>
      <c r="IM85" s="817"/>
      <c r="IN85" s="817"/>
      <c r="IO85" s="817"/>
      <c r="IP85" s="817"/>
      <c r="IQ85" s="817"/>
      <c r="IR85" s="817"/>
      <c r="IS85" s="817"/>
      <c r="IT85" s="817"/>
      <c r="IU85" s="817"/>
      <c r="IV85" s="817"/>
    </row>
    <row r="86" spans="1:256" ht="10.5" customHeight="1">
      <c r="A86" s="852" t="s">
        <v>822</v>
      </c>
      <c r="B86" s="910">
        <v>367</v>
      </c>
      <c r="C86" s="910">
        <v>435</v>
      </c>
      <c r="D86" s="911">
        <v>515</v>
      </c>
      <c r="E86" s="911">
        <v>693</v>
      </c>
      <c r="F86" s="911">
        <v>838</v>
      </c>
      <c r="G86" s="911">
        <f>941.2+4.3</f>
        <v>945.5</v>
      </c>
      <c r="H86" s="911">
        <f>999.1+7.3</f>
        <v>1006.4</v>
      </c>
      <c r="I86" s="911">
        <v>1187</v>
      </c>
      <c r="J86" s="911">
        <v>1446.4</v>
      </c>
      <c r="K86" s="911">
        <v>1555.6</v>
      </c>
      <c r="L86" s="912">
        <v>1600.5</v>
      </c>
      <c r="M86" s="912">
        <v>1705.8</v>
      </c>
      <c r="N86" s="911">
        <v>1745.4</v>
      </c>
      <c r="O86" s="817"/>
      <c r="P86" s="817"/>
      <c r="Q86" s="817"/>
      <c r="R86" s="817"/>
      <c r="S86" s="817"/>
      <c r="T86" s="817"/>
      <c r="U86" s="817"/>
      <c r="V86" s="817"/>
      <c r="W86" s="817"/>
      <c r="X86" s="817"/>
      <c r="Y86" s="817"/>
      <c r="Z86" s="817"/>
      <c r="AA86" s="817"/>
      <c r="AB86" s="817"/>
      <c r="AC86" s="817"/>
      <c r="AD86" s="817"/>
      <c r="AE86" s="817"/>
      <c r="AF86" s="817"/>
      <c r="AG86" s="817"/>
      <c r="AH86" s="817"/>
      <c r="AI86" s="817"/>
      <c r="AJ86" s="817"/>
      <c r="AK86" s="817"/>
      <c r="AL86" s="817"/>
      <c r="AM86" s="817"/>
      <c r="AN86" s="817"/>
      <c r="AO86" s="817"/>
      <c r="AP86" s="817"/>
      <c r="AQ86" s="817"/>
      <c r="AR86" s="817"/>
      <c r="AS86" s="817"/>
      <c r="AT86" s="817"/>
      <c r="AU86" s="817"/>
      <c r="AV86" s="817"/>
      <c r="AW86" s="817"/>
      <c r="AX86" s="817"/>
      <c r="AY86" s="817"/>
      <c r="AZ86" s="817"/>
      <c r="BA86" s="817"/>
      <c r="BB86" s="817"/>
      <c r="BC86" s="817"/>
      <c r="BD86" s="817"/>
      <c r="BE86" s="817"/>
      <c r="BF86" s="817"/>
      <c r="BG86" s="817"/>
      <c r="BH86" s="817"/>
      <c r="BI86" s="817"/>
      <c r="BJ86" s="817"/>
      <c r="BK86" s="817"/>
      <c r="BL86" s="817"/>
      <c r="BM86" s="817"/>
      <c r="BN86" s="817"/>
      <c r="BO86" s="817"/>
      <c r="BP86" s="817"/>
      <c r="BQ86" s="817"/>
      <c r="BR86" s="817"/>
      <c r="BS86" s="817"/>
      <c r="BT86" s="817"/>
      <c r="BU86" s="817"/>
      <c r="BV86" s="817"/>
      <c r="BW86" s="817"/>
      <c r="BX86" s="817"/>
      <c r="BY86" s="817"/>
      <c r="BZ86" s="817"/>
      <c r="CA86" s="817"/>
      <c r="CB86" s="817"/>
      <c r="CC86" s="817"/>
      <c r="CD86" s="817"/>
      <c r="CE86" s="817"/>
      <c r="CF86" s="817"/>
      <c r="CG86" s="817"/>
      <c r="CH86" s="817"/>
      <c r="CI86" s="817"/>
      <c r="CJ86" s="817"/>
      <c r="CK86" s="817"/>
      <c r="CL86" s="817"/>
      <c r="CM86" s="817"/>
      <c r="CN86" s="817"/>
      <c r="CO86" s="817"/>
      <c r="CP86" s="817"/>
      <c r="CQ86" s="817"/>
      <c r="CR86" s="817"/>
      <c r="CS86" s="817"/>
      <c r="CT86" s="817"/>
      <c r="CU86" s="817"/>
      <c r="CV86" s="817"/>
      <c r="CW86" s="817"/>
      <c r="CX86" s="817"/>
      <c r="CY86" s="817"/>
      <c r="CZ86" s="817"/>
      <c r="DA86" s="817"/>
      <c r="DB86" s="817"/>
      <c r="DC86" s="817"/>
      <c r="DD86" s="817"/>
      <c r="DE86" s="817"/>
      <c r="DF86" s="817"/>
      <c r="DG86" s="817"/>
      <c r="DH86" s="817"/>
      <c r="DI86" s="817"/>
      <c r="DJ86" s="817"/>
      <c r="DK86" s="817"/>
      <c r="DL86" s="817"/>
      <c r="DM86" s="817"/>
      <c r="DN86" s="817"/>
      <c r="DO86" s="817"/>
      <c r="DP86" s="817"/>
      <c r="DQ86" s="817"/>
      <c r="DR86" s="817"/>
      <c r="DS86" s="817"/>
      <c r="DT86" s="817"/>
      <c r="DU86" s="817"/>
      <c r="DV86" s="817"/>
      <c r="DW86" s="817"/>
      <c r="DX86" s="817"/>
      <c r="DY86" s="817"/>
      <c r="DZ86" s="817"/>
      <c r="EA86" s="817"/>
      <c r="EB86" s="817"/>
      <c r="EC86" s="817"/>
      <c r="ED86" s="817"/>
      <c r="EE86" s="817"/>
      <c r="EF86" s="817"/>
      <c r="EG86" s="817"/>
      <c r="EH86" s="817"/>
      <c r="EI86" s="817"/>
      <c r="EJ86" s="817"/>
      <c r="EK86" s="817"/>
      <c r="EL86" s="817"/>
      <c r="EM86" s="817"/>
      <c r="EN86" s="817"/>
      <c r="EO86" s="817"/>
      <c r="EP86" s="817"/>
      <c r="EQ86" s="817"/>
      <c r="ER86" s="817"/>
      <c r="ES86" s="817"/>
      <c r="ET86" s="817"/>
      <c r="EU86" s="817"/>
      <c r="EV86" s="817"/>
      <c r="EW86" s="817"/>
      <c r="EX86" s="817"/>
      <c r="EY86" s="817"/>
      <c r="EZ86" s="817"/>
      <c r="FA86" s="817"/>
      <c r="FB86" s="817"/>
      <c r="FC86" s="817"/>
      <c r="FD86" s="817"/>
      <c r="FE86" s="817"/>
      <c r="FF86" s="817"/>
      <c r="FG86" s="817"/>
      <c r="FH86" s="817"/>
      <c r="FI86" s="817"/>
      <c r="FJ86" s="817"/>
      <c r="FK86" s="817"/>
      <c r="FL86" s="817"/>
      <c r="FM86" s="817"/>
      <c r="FN86" s="817"/>
      <c r="FO86" s="817"/>
      <c r="FP86" s="817"/>
      <c r="FQ86" s="817"/>
      <c r="FR86" s="817"/>
      <c r="FS86" s="817"/>
      <c r="FT86" s="817"/>
      <c r="FU86" s="817"/>
      <c r="FV86" s="817"/>
      <c r="FW86" s="817"/>
      <c r="FX86" s="817"/>
      <c r="FY86" s="817"/>
      <c r="FZ86" s="817"/>
      <c r="GA86" s="817"/>
      <c r="GB86" s="817"/>
      <c r="GC86" s="817"/>
      <c r="GD86" s="817"/>
      <c r="GE86" s="817"/>
      <c r="GF86" s="817"/>
      <c r="GG86" s="817"/>
      <c r="GH86" s="817"/>
      <c r="GI86" s="817"/>
      <c r="GJ86" s="817"/>
      <c r="GK86" s="817"/>
      <c r="GL86" s="817"/>
      <c r="GM86" s="817"/>
      <c r="GN86" s="817"/>
      <c r="GO86" s="817"/>
      <c r="GP86" s="817"/>
      <c r="GQ86" s="817"/>
      <c r="GR86" s="817"/>
      <c r="GS86" s="817"/>
      <c r="GT86" s="817"/>
      <c r="GU86" s="817"/>
      <c r="GV86" s="817"/>
      <c r="GW86" s="817"/>
      <c r="GX86" s="817"/>
      <c r="GY86" s="817"/>
      <c r="GZ86" s="817"/>
      <c r="HA86" s="817"/>
      <c r="HB86" s="817"/>
      <c r="HC86" s="817"/>
      <c r="HD86" s="817"/>
      <c r="HE86" s="817"/>
      <c r="HF86" s="817"/>
      <c r="HG86" s="817"/>
      <c r="HH86" s="817"/>
      <c r="HI86" s="817"/>
      <c r="HJ86" s="817"/>
      <c r="HK86" s="817"/>
      <c r="HL86" s="817"/>
      <c r="HM86" s="817"/>
      <c r="HN86" s="817"/>
      <c r="HO86" s="817"/>
      <c r="HP86" s="817"/>
      <c r="HQ86" s="817"/>
      <c r="HR86" s="817"/>
      <c r="HS86" s="817"/>
      <c r="HT86" s="817"/>
      <c r="HU86" s="817"/>
      <c r="HV86" s="817"/>
      <c r="HW86" s="817"/>
      <c r="HX86" s="817"/>
      <c r="HY86" s="817"/>
      <c r="HZ86" s="817"/>
      <c r="IA86" s="817"/>
      <c r="IB86" s="817"/>
      <c r="IC86" s="817"/>
      <c r="ID86" s="817"/>
      <c r="IE86" s="817"/>
      <c r="IF86" s="817"/>
      <c r="IG86" s="817"/>
      <c r="IH86" s="817"/>
      <c r="II86" s="817"/>
      <c r="IJ86" s="817"/>
      <c r="IK86" s="817"/>
      <c r="IL86" s="817"/>
      <c r="IM86" s="817"/>
      <c r="IN86" s="817"/>
      <c r="IO86" s="817"/>
      <c r="IP86" s="817"/>
      <c r="IQ86" s="817"/>
      <c r="IR86" s="817"/>
      <c r="IS86" s="817"/>
      <c r="IT86" s="817"/>
      <c r="IU86" s="817"/>
      <c r="IV86" s="817"/>
    </row>
    <row r="87" spans="1:256" ht="13" thickBot="1">
      <c r="A87" s="896" t="s">
        <v>834</v>
      </c>
      <c r="B87" s="897">
        <v>431.5</v>
      </c>
      <c r="C87" s="897">
        <v>505.1</v>
      </c>
      <c r="D87" s="898">
        <v>644.6</v>
      </c>
      <c r="E87" s="898">
        <v>818.8</v>
      </c>
      <c r="F87" s="898">
        <v>1016.2</v>
      </c>
      <c r="G87" s="898">
        <v>1086.9000000000001</v>
      </c>
      <c r="H87" s="898">
        <v>1183.2</v>
      </c>
      <c r="I87" s="898">
        <v>1399.3</v>
      </c>
      <c r="J87" s="898">
        <v>1656.6</v>
      </c>
      <c r="K87" s="898">
        <v>1672.9</v>
      </c>
      <c r="L87" s="899">
        <v>1739.4</v>
      </c>
      <c r="M87" s="899">
        <v>1881</v>
      </c>
      <c r="N87" s="898">
        <v>1931.7</v>
      </c>
      <c r="O87" s="817"/>
      <c r="P87" s="817"/>
      <c r="Q87" s="817"/>
      <c r="R87" s="817"/>
      <c r="S87" s="817"/>
      <c r="T87" s="817"/>
      <c r="U87" s="817"/>
      <c r="V87" s="817"/>
      <c r="W87" s="817"/>
      <c r="X87" s="817"/>
      <c r="Y87" s="817"/>
      <c r="Z87" s="817"/>
      <c r="AA87" s="817"/>
      <c r="AB87" s="817"/>
      <c r="AC87" s="817"/>
      <c r="AD87" s="817"/>
      <c r="AE87" s="817"/>
      <c r="AF87" s="817"/>
      <c r="AG87" s="817"/>
      <c r="AH87" s="817"/>
      <c r="AI87" s="817"/>
      <c r="AJ87" s="817"/>
      <c r="AK87" s="817"/>
      <c r="AL87" s="817"/>
      <c r="AM87" s="817"/>
      <c r="AN87" s="817"/>
      <c r="AO87" s="817"/>
      <c r="AP87" s="817"/>
      <c r="AQ87" s="817"/>
      <c r="AR87" s="817"/>
      <c r="AS87" s="817"/>
      <c r="AT87" s="817"/>
      <c r="AU87" s="817"/>
      <c r="AV87" s="817"/>
      <c r="AW87" s="817"/>
      <c r="AX87" s="817"/>
      <c r="AY87" s="817"/>
      <c r="AZ87" s="817"/>
      <c r="BA87" s="817"/>
      <c r="BB87" s="817"/>
      <c r="BC87" s="817"/>
      <c r="BD87" s="817"/>
      <c r="BE87" s="817"/>
      <c r="BF87" s="817"/>
      <c r="BG87" s="817"/>
      <c r="BH87" s="817"/>
      <c r="BI87" s="817"/>
      <c r="BJ87" s="817"/>
      <c r="BK87" s="817"/>
      <c r="BL87" s="817"/>
      <c r="BM87" s="817"/>
      <c r="BN87" s="817"/>
      <c r="BO87" s="817"/>
      <c r="BP87" s="817"/>
      <c r="BQ87" s="817"/>
      <c r="BR87" s="817"/>
      <c r="BS87" s="817"/>
      <c r="BT87" s="817"/>
      <c r="BU87" s="817"/>
      <c r="BV87" s="817"/>
      <c r="BW87" s="817"/>
      <c r="BX87" s="817"/>
      <c r="BY87" s="817"/>
      <c r="BZ87" s="817"/>
      <c r="CA87" s="817"/>
      <c r="CB87" s="817"/>
      <c r="CC87" s="817"/>
      <c r="CD87" s="817"/>
      <c r="CE87" s="817"/>
      <c r="CF87" s="817"/>
      <c r="CG87" s="817"/>
      <c r="CH87" s="817"/>
      <c r="CI87" s="817"/>
      <c r="CJ87" s="817"/>
      <c r="CK87" s="817"/>
      <c r="CL87" s="817"/>
      <c r="CM87" s="817"/>
      <c r="CN87" s="817"/>
      <c r="CO87" s="817"/>
      <c r="CP87" s="817"/>
      <c r="CQ87" s="817"/>
      <c r="CR87" s="817"/>
      <c r="CS87" s="817"/>
      <c r="CT87" s="817"/>
      <c r="CU87" s="817"/>
      <c r="CV87" s="817"/>
      <c r="CW87" s="817"/>
      <c r="CX87" s="817"/>
      <c r="CY87" s="817"/>
      <c r="CZ87" s="817"/>
      <c r="DA87" s="817"/>
      <c r="DB87" s="817"/>
      <c r="DC87" s="817"/>
      <c r="DD87" s="817"/>
      <c r="DE87" s="817"/>
      <c r="DF87" s="817"/>
      <c r="DG87" s="817"/>
      <c r="DH87" s="817"/>
      <c r="DI87" s="817"/>
      <c r="DJ87" s="817"/>
      <c r="DK87" s="817"/>
      <c r="DL87" s="817"/>
      <c r="DM87" s="817"/>
      <c r="DN87" s="817"/>
      <c r="DO87" s="817"/>
      <c r="DP87" s="817"/>
      <c r="DQ87" s="817"/>
      <c r="DR87" s="817"/>
      <c r="DS87" s="817"/>
      <c r="DT87" s="817"/>
      <c r="DU87" s="817"/>
      <c r="DV87" s="817"/>
      <c r="DW87" s="817"/>
      <c r="DX87" s="817"/>
      <c r="DY87" s="817"/>
      <c r="DZ87" s="817"/>
      <c r="EA87" s="817"/>
      <c r="EB87" s="817"/>
      <c r="EC87" s="817"/>
      <c r="ED87" s="817"/>
      <c r="EE87" s="817"/>
      <c r="EF87" s="817"/>
      <c r="EG87" s="817"/>
      <c r="EH87" s="817"/>
      <c r="EI87" s="817"/>
      <c r="EJ87" s="817"/>
      <c r="EK87" s="817"/>
      <c r="EL87" s="817"/>
      <c r="EM87" s="817"/>
      <c r="EN87" s="817"/>
      <c r="EO87" s="817"/>
      <c r="EP87" s="817"/>
      <c r="EQ87" s="817"/>
      <c r="ER87" s="817"/>
      <c r="ES87" s="817"/>
      <c r="ET87" s="817"/>
      <c r="EU87" s="817"/>
      <c r="EV87" s="817"/>
      <c r="EW87" s="817"/>
      <c r="EX87" s="817"/>
      <c r="EY87" s="817"/>
      <c r="EZ87" s="817"/>
      <c r="FA87" s="817"/>
      <c r="FB87" s="817"/>
      <c r="FC87" s="817"/>
      <c r="FD87" s="817"/>
      <c r="FE87" s="817"/>
      <c r="FF87" s="817"/>
      <c r="FG87" s="817"/>
      <c r="FH87" s="817"/>
      <c r="FI87" s="817"/>
      <c r="FJ87" s="817"/>
      <c r="FK87" s="817"/>
      <c r="FL87" s="817"/>
      <c r="FM87" s="817"/>
      <c r="FN87" s="817"/>
      <c r="FO87" s="817"/>
      <c r="FP87" s="817"/>
      <c r="FQ87" s="817"/>
      <c r="FR87" s="817"/>
      <c r="FS87" s="817"/>
      <c r="FT87" s="817"/>
      <c r="FU87" s="817"/>
      <c r="FV87" s="817"/>
      <c r="FW87" s="817"/>
      <c r="FX87" s="817"/>
      <c r="FY87" s="817"/>
      <c r="FZ87" s="817"/>
      <c r="GA87" s="817"/>
      <c r="GB87" s="817"/>
      <c r="GC87" s="817"/>
      <c r="GD87" s="817"/>
      <c r="GE87" s="817"/>
      <c r="GF87" s="817"/>
      <c r="GG87" s="817"/>
      <c r="GH87" s="817"/>
      <c r="GI87" s="817"/>
      <c r="GJ87" s="817"/>
      <c r="GK87" s="817"/>
      <c r="GL87" s="817"/>
      <c r="GM87" s="817"/>
      <c r="GN87" s="817"/>
      <c r="GO87" s="817"/>
      <c r="GP87" s="817"/>
      <c r="GQ87" s="817"/>
      <c r="GR87" s="817"/>
      <c r="GS87" s="817"/>
      <c r="GT87" s="817"/>
      <c r="GU87" s="817"/>
      <c r="GV87" s="817"/>
      <c r="GW87" s="817"/>
      <c r="GX87" s="817"/>
      <c r="GY87" s="817"/>
      <c r="GZ87" s="817"/>
      <c r="HA87" s="817"/>
      <c r="HB87" s="817"/>
      <c r="HC87" s="817"/>
      <c r="HD87" s="817"/>
      <c r="HE87" s="817"/>
      <c r="HF87" s="817"/>
      <c r="HG87" s="817"/>
      <c r="HH87" s="817"/>
      <c r="HI87" s="817"/>
      <c r="HJ87" s="817"/>
      <c r="HK87" s="817"/>
      <c r="HL87" s="817"/>
      <c r="HM87" s="817"/>
      <c r="HN87" s="817"/>
      <c r="HO87" s="817"/>
      <c r="HP87" s="817"/>
      <c r="HQ87" s="817"/>
      <c r="HR87" s="817"/>
      <c r="HS87" s="817"/>
      <c r="HT87" s="817"/>
      <c r="HU87" s="817"/>
      <c r="HV87" s="817"/>
      <c r="HW87" s="817"/>
      <c r="HX87" s="817"/>
      <c r="HY87" s="817"/>
      <c r="HZ87" s="817"/>
      <c r="IA87" s="817"/>
      <c r="IB87" s="817"/>
      <c r="IC87" s="817"/>
      <c r="ID87" s="817"/>
      <c r="IE87" s="817"/>
      <c r="IF87" s="817"/>
      <c r="IG87" s="817"/>
      <c r="IH87" s="817"/>
      <c r="II87" s="817"/>
      <c r="IJ87" s="817"/>
      <c r="IK87" s="817"/>
      <c r="IL87" s="817"/>
      <c r="IM87" s="817"/>
      <c r="IN87" s="817"/>
      <c r="IO87" s="817"/>
      <c r="IP87" s="817"/>
      <c r="IQ87" s="817"/>
      <c r="IR87" s="817"/>
      <c r="IS87" s="817"/>
      <c r="IT87" s="817"/>
      <c r="IU87" s="817"/>
      <c r="IV87" s="817"/>
    </row>
    <row r="88" spans="1:256" ht="13" thickTop="1">
      <c r="A88" s="859" t="s">
        <v>853</v>
      </c>
      <c r="B88" s="913">
        <v>70</v>
      </c>
      <c r="C88" s="913">
        <v>83.5</v>
      </c>
      <c r="D88" s="914">
        <v>100.2</v>
      </c>
      <c r="E88" s="914">
        <v>102.3</v>
      </c>
      <c r="F88" s="914">
        <v>131.30000000000001</v>
      </c>
      <c r="G88" s="914">
        <v>95.9</v>
      </c>
      <c r="H88" s="914">
        <v>127.6</v>
      </c>
      <c r="I88" s="914">
        <v>147.4</v>
      </c>
      <c r="J88" s="914">
        <v>138.80000000000001</v>
      </c>
      <c r="K88" s="914">
        <v>93.3</v>
      </c>
      <c r="L88" s="915">
        <v>106.6</v>
      </c>
      <c r="M88" s="915">
        <v>133.69999999999999</v>
      </c>
      <c r="N88" s="914">
        <v>122.5</v>
      </c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  <c r="AA88" s="817"/>
      <c r="AB88" s="817"/>
      <c r="AC88" s="817"/>
      <c r="AD88" s="817"/>
      <c r="AE88" s="817"/>
      <c r="AF88" s="817"/>
      <c r="AG88" s="817"/>
      <c r="AH88" s="817"/>
      <c r="AI88" s="817"/>
      <c r="AJ88" s="817"/>
      <c r="AK88" s="817"/>
      <c r="AL88" s="817"/>
      <c r="AM88" s="817"/>
      <c r="AN88" s="817"/>
      <c r="AO88" s="817"/>
      <c r="AP88" s="817"/>
      <c r="AQ88" s="817"/>
      <c r="AR88" s="817"/>
      <c r="AS88" s="817"/>
      <c r="AT88" s="817"/>
      <c r="AU88" s="817"/>
      <c r="AV88" s="817"/>
      <c r="AW88" s="817"/>
      <c r="AX88" s="817"/>
      <c r="AY88" s="817"/>
      <c r="AZ88" s="817"/>
      <c r="BA88" s="817"/>
      <c r="BB88" s="817"/>
      <c r="BC88" s="817"/>
      <c r="BD88" s="817"/>
      <c r="BE88" s="817"/>
      <c r="BF88" s="817"/>
      <c r="BG88" s="817"/>
      <c r="BH88" s="817"/>
      <c r="BI88" s="817"/>
      <c r="BJ88" s="817"/>
      <c r="BK88" s="817"/>
      <c r="BL88" s="817"/>
      <c r="BM88" s="817"/>
      <c r="BN88" s="817"/>
      <c r="BO88" s="817"/>
      <c r="BP88" s="817"/>
      <c r="BQ88" s="817"/>
      <c r="BR88" s="817"/>
      <c r="BS88" s="817"/>
      <c r="BT88" s="817"/>
      <c r="BU88" s="817"/>
      <c r="BV88" s="817"/>
      <c r="BW88" s="817"/>
      <c r="BX88" s="817"/>
      <c r="BY88" s="817"/>
      <c r="BZ88" s="817"/>
      <c r="CA88" s="817"/>
      <c r="CB88" s="817"/>
      <c r="CC88" s="817"/>
      <c r="CD88" s="817"/>
      <c r="CE88" s="817"/>
      <c r="CF88" s="817"/>
      <c r="CG88" s="817"/>
      <c r="CH88" s="817"/>
      <c r="CI88" s="817"/>
      <c r="CJ88" s="817"/>
      <c r="CK88" s="817"/>
      <c r="CL88" s="817"/>
      <c r="CM88" s="817"/>
      <c r="CN88" s="817"/>
      <c r="CO88" s="817"/>
      <c r="CP88" s="817"/>
      <c r="CQ88" s="817"/>
      <c r="CR88" s="817"/>
      <c r="CS88" s="817"/>
      <c r="CT88" s="817"/>
      <c r="CU88" s="817"/>
      <c r="CV88" s="817"/>
      <c r="CW88" s="817"/>
      <c r="CX88" s="817"/>
      <c r="CY88" s="817"/>
      <c r="CZ88" s="817"/>
      <c r="DA88" s="817"/>
      <c r="DB88" s="817"/>
      <c r="DC88" s="817"/>
      <c r="DD88" s="817"/>
      <c r="DE88" s="817"/>
      <c r="DF88" s="817"/>
      <c r="DG88" s="817"/>
      <c r="DH88" s="817"/>
      <c r="DI88" s="817"/>
      <c r="DJ88" s="817"/>
      <c r="DK88" s="817"/>
      <c r="DL88" s="817"/>
      <c r="DM88" s="817"/>
      <c r="DN88" s="817"/>
      <c r="DO88" s="817"/>
      <c r="DP88" s="817"/>
      <c r="DQ88" s="817"/>
      <c r="DR88" s="817"/>
      <c r="DS88" s="817"/>
      <c r="DT88" s="817"/>
      <c r="DU88" s="817"/>
      <c r="DV88" s="817"/>
      <c r="DW88" s="817"/>
      <c r="DX88" s="817"/>
      <c r="DY88" s="817"/>
      <c r="DZ88" s="817"/>
      <c r="EA88" s="817"/>
      <c r="EB88" s="817"/>
      <c r="EC88" s="817"/>
      <c r="ED88" s="817"/>
      <c r="EE88" s="817"/>
      <c r="EF88" s="817"/>
      <c r="EG88" s="817"/>
      <c r="EH88" s="817"/>
      <c r="EI88" s="817"/>
      <c r="EJ88" s="817"/>
      <c r="EK88" s="817"/>
      <c r="EL88" s="817"/>
      <c r="EM88" s="817"/>
      <c r="EN88" s="817"/>
      <c r="EO88" s="817"/>
      <c r="EP88" s="817"/>
      <c r="EQ88" s="817"/>
      <c r="ER88" s="817"/>
      <c r="ES88" s="817"/>
      <c r="ET88" s="817"/>
      <c r="EU88" s="817"/>
      <c r="EV88" s="817"/>
      <c r="EW88" s="817"/>
      <c r="EX88" s="817"/>
      <c r="EY88" s="817"/>
      <c r="EZ88" s="817"/>
      <c r="FA88" s="817"/>
      <c r="FB88" s="817"/>
      <c r="FC88" s="817"/>
      <c r="FD88" s="817"/>
      <c r="FE88" s="817"/>
      <c r="FF88" s="817"/>
      <c r="FG88" s="817"/>
      <c r="FH88" s="817"/>
      <c r="FI88" s="817"/>
      <c r="FJ88" s="817"/>
      <c r="FK88" s="817"/>
      <c r="FL88" s="817"/>
      <c r="FM88" s="817"/>
      <c r="FN88" s="817"/>
      <c r="FO88" s="817"/>
      <c r="FP88" s="817"/>
      <c r="FQ88" s="817"/>
      <c r="FR88" s="817"/>
      <c r="FS88" s="817"/>
      <c r="FT88" s="817"/>
      <c r="FU88" s="817"/>
      <c r="FV88" s="817"/>
      <c r="FW88" s="817"/>
      <c r="FX88" s="817"/>
      <c r="FY88" s="817"/>
      <c r="FZ88" s="817"/>
      <c r="GA88" s="817"/>
      <c r="GB88" s="817"/>
      <c r="GC88" s="817"/>
      <c r="GD88" s="817"/>
      <c r="GE88" s="817"/>
      <c r="GF88" s="817"/>
      <c r="GG88" s="817"/>
      <c r="GH88" s="817"/>
      <c r="GI88" s="817"/>
      <c r="GJ88" s="817"/>
      <c r="GK88" s="817"/>
      <c r="GL88" s="817"/>
      <c r="GM88" s="817"/>
      <c r="GN88" s="817"/>
      <c r="GO88" s="817"/>
      <c r="GP88" s="817"/>
      <c r="GQ88" s="817"/>
      <c r="GR88" s="817"/>
      <c r="GS88" s="817"/>
      <c r="GT88" s="817"/>
      <c r="GU88" s="817"/>
      <c r="GV88" s="817"/>
      <c r="GW88" s="817"/>
      <c r="GX88" s="817"/>
      <c r="GY88" s="817"/>
      <c r="GZ88" s="817"/>
      <c r="HA88" s="817"/>
      <c r="HB88" s="817"/>
      <c r="HC88" s="817"/>
      <c r="HD88" s="817"/>
      <c r="HE88" s="817"/>
      <c r="HF88" s="817"/>
      <c r="HG88" s="817"/>
      <c r="HH88" s="817"/>
      <c r="HI88" s="817"/>
      <c r="HJ88" s="817"/>
      <c r="HK88" s="817"/>
      <c r="HL88" s="817"/>
      <c r="HM88" s="817"/>
      <c r="HN88" s="817"/>
      <c r="HO88" s="817"/>
      <c r="HP88" s="817"/>
      <c r="HQ88" s="817"/>
      <c r="HR88" s="817"/>
      <c r="HS88" s="817"/>
      <c r="HT88" s="817"/>
      <c r="HU88" s="817"/>
      <c r="HV88" s="817"/>
      <c r="HW88" s="817"/>
      <c r="HX88" s="817"/>
      <c r="HY88" s="817"/>
      <c r="HZ88" s="817"/>
      <c r="IA88" s="817"/>
      <c r="IB88" s="817"/>
      <c r="IC88" s="817"/>
      <c r="ID88" s="817"/>
      <c r="IE88" s="817"/>
      <c r="IF88" s="817"/>
      <c r="IG88" s="817"/>
      <c r="IH88" s="817"/>
      <c r="II88" s="817"/>
      <c r="IJ88" s="817"/>
      <c r="IK88" s="817"/>
      <c r="IL88" s="817"/>
      <c r="IM88" s="817"/>
      <c r="IN88" s="817"/>
      <c r="IO88" s="817"/>
      <c r="IP88" s="817"/>
      <c r="IQ88" s="817"/>
      <c r="IR88" s="817"/>
      <c r="IS88" s="817"/>
      <c r="IT88" s="817"/>
      <c r="IU88" s="817"/>
      <c r="IV88" s="817"/>
    </row>
    <row r="89" spans="1:256">
      <c r="A89" s="860" t="s">
        <v>854</v>
      </c>
      <c r="B89" s="841">
        <v>814</v>
      </c>
      <c r="C89" s="841">
        <v>971</v>
      </c>
      <c r="D89" s="842">
        <v>1165</v>
      </c>
      <c r="E89" s="842">
        <v>1189</v>
      </c>
      <c r="F89" s="842">
        <v>1528</v>
      </c>
      <c r="G89" s="842">
        <v>1114.9000000000001</v>
      </c>
      <c r="H89" s="842">
        <v>1484.4</v>
      </c>
      <c r="I89" s="842">
        <v>1714</v>
      </c>
      <c r="J89" s="842">
        <v>1614.1</v>
      </c>
      <c r="K89" s="842">
        <v>1084.9000000000001</v>
      </c>
      <c r="L89" s="853">
        <v>1239.5999999999999</v>
      </c>
      <c r="M89" s="853">
        <v>1555.4</v>
      </c>
      <c r="N89" s="842">
        <v>1424.7</v>
      </c>
      <c r="O89" s="817"/>
      <c r="P89" s="817"/>
      <c r="Q89" s="817"/>
      <c r="R89" s="817"/>
      <c r="S89" s="817"/>
      <c r="T89" s="817"/>
      <c r="U89" s="817"/>
      <c r="V89" s="817"/>
      <c r="W89" s="817"/>
      <c r="X89" s="817"/>
      <c r="Y89" s="817"/>
      <c r="Z89" s="817"/>
      <c r="AA89" s="817"/>
      <c r="AB89" s="817"/>
      <c r="AC89" s="817"/>
      <c r="AD89" s="817"/>
      <c r="AE89" s="817"/>
      <c r="AF89" s="817"/>
      <c r="AG89" s="817"/>
      <c r="AH89" s="817"/>
      <c r="AI89" s="817"/>
      <c r="AJ89" s="817"/>
      <c r="AK89" s="817"/>
      <c r="AL89" s="817"/>
      <c r="AM89" s="817"/>
      <c r="AN89" s="817"/>
      <c r="AO89" s="817"/>
      <c r="AP89" s="817"/>
      <c r="AQ89" s="817"/>
      <c r="AR89" s="817"/>
      <c r="AS89" s="817"/>
      <c r="AT89" s="817"/>
      <c r="AU89" s="817"/>
      <c r="AV89" s="817"/>
      <c r="AW89" s="817"/>
      <c r="AX89" s="817"/>
      <c r="AY89" s="817"/>
      <c r="AZ89" s="817"/>
      <c r="BA89" s="817"/>
      <c r="BB89" s="817"/>
      <c r="BC89" s="817"/>
      <c r="BD89" s="817"/>
      <c r="BE89" s="817"/>
      <c r="BF89" s="817"/>
      <c r="BG89" s="817"/>
      <c r="BH89" s="817"/>
      <c r="BI89" s="817"/>
      <c r="BJ89" s="817"/>
      <c r="BK89" s="817"/>
      <c r="BL89" s="817"/>
      <c r="BM89" s="817"/>
      <c r="BN89" s="817"/>
      <c r="BO89" s="817"/>
      <c r="BP89" s="817"/>
      <c r="BQ89" s="817"/>
      <c r="BR89" s="817"/>
      <c r="BS89" s="817"/>
      <c r="BT89" s="817"/>
      <c r="BU89" s="817"/>
      <c r="BV89" s="817"/>
      <c r="BW89" s="817"/>
      <c r="BX89" s="817"/>
      <c r="BY89" s="817"/>
      <c r="BZ89" s="817"/>
      <c r="CA89" s="817"/>
      <c r="CB89" s="817"/>
      <c r="CC89" s="817"/>
      <c r="CD89" s="817"/>
      <c r="CE89" s="817"/>
      <c r="CF89" s="817"/>
      <c r="CG89" s="817"/>
      <c r="CH89" s="817"/>
      <c r="CI89" s="817"/>
      <c r="CJ89" s="817"/>
      <c r="CK89" s="817"/>
      <c r="CL89" s="817"/>
      <c r="CM89" s="817"/>
      <c r="CN89" s="817"/>
      <c r="CO89" s="817"/>
      <c r="CP89" s="817"/>
      <c r="CQ89" s="817"/>
      <c r="CR89" s="817"/>
      <c r="CS89" s="817"/>
      <c r="CT89" s="817"/>
      <c r="CU89" s="817"/>
      <c r="CV89" s="817"/>
      <c r="CW89" s="817"/>
      <c r="CX89" s="817"/>
      <c r="CY89" s="817"/>
      <c r="CZ89" s="817"/>
      <c r="DA89" s="817"/>
      <c r="DB89" s="817"/>
      <c r="DC89" s="817"/>
      <c r="DD89" s="817"/>
      <c r="DE89" s="817"/>
      <c r="DF89" s="817"/>
      <c r="DG89" s="817"/>
      <c r="DH89" s="817"/>
      <c r="DI89" s="817"/>
      <c r="DJ89" s="817"/>
      <c r="DK89" s="817"/>
      <c r="DL89" s="817"/>
      <c r="DM89" s="817"/>
      <c r="DN89" s="817"/>
      <c r="DO89" s="817"/>
      <c r="DP89" s="817"/>
      <c r="DQ89" s="817"/>
      <c r="DR89" s="817"/>
      <c r="DS89" s="817"/>
      <c r="DT89" s="817"/>
      <c r="DU89" s="817"/>
      <c r="DV89" s="817"/>
      <c r="DW89" s="817"/>
      <c r="DX89" s="817"/>
      <c r="DY89" s="817"/>
      <c r="DZ89" s="817"/>
      <c r="EA89" s="817"/>
      <c r="EB89" s="817"/>
      <c r="EC89" s="817"/>
      <c r="ED89" s="817"/>
      <c r="EE89" s="817"/>
      <c r="EF89" s="817"/>
      <c r="EG89" s="817"/>
      <c r="EH89" s="817"/>
      <c r="EI89" s="817"/>
      <c r="EJ89" s="817"/>
      <c r="EK89" s="817"/>
      <c r="EL89" s="817"/>
      <c r="EM89" s="817"/>
      <c r="EN89" s="817"/>
      <c r="EO89" s="817"/>
      <c r="EP89" s="817"/>
      <c r="EQ89" s="817"/>
      <c r="ER89" s="817"/>
      <c r="ES89" s="817"/>
      <c r="ET89" s="817"/>
      <c r="EU89" s="817"/>
      <c r="EV89" s="817"/>
      <c r="EW89" s="817"/>
      <c r="EX89" s="817"/>
      <c r="EY89" s="817"/>
      <c r="EZ89" s="817"/>
      <c r="FA89" s="817"/>
      <c r="FB89" s="817"/>
      <c r="FC89" s="817"/>
      <c r="FD89" s="817"/>
      <c r="FE89" s="817"/>
      <c r="FF89" s="817"/>
      <c r="FG89" s="817"/>
      <c r="FH89" s="817"/>
      <c r="FI89" s="817"/>
      <c r="FJ89" s="817"/>
      <c r="FK89" s="817"/>
      <c r="FL89" s="817"/>
      <c r="FM89" s="817"/>
      <c r="FN89" s="817"/>
      <c r="FO89" s="817"/>
      <c r="FP89" s="817"/>
      <c r="FQ89" s="817"/>
      <c r="FR89" s="817"/>
      <c r="FS89" s="817"/>
      <c r="FT89" s="817"/>
      <c r="FU89" s="817"/>
      <c r="FV89" s="817"/>
      <c r="FW89" s="817"/>
      <c r="FX89" s="817"/>
      <c r="FY89" s="817"/>
      <c r="FZ89" s="817"/>
      <c r="GA89" s="817"/>
      <c r="GB89" s="817"/>
      <c r="GC89" s="817"/>
      <c r="GD89" s="817"/>
      <c r="GE89" s="817"/>
      <c r="GF89" s="817"/>
      <c r="GG89" s="817"/>
      <c r="GH89" s="817"/>
      <c r="GI89" s="817"/>
      <c r="GJ89" s="817"/>
      <c r="GK89" s="817"/>
      <c r="GL89" s="817"/>
      <c r="GM89" s="817"/>
      <c r="GN89" s="817"/>
      <c r="GO89" s="817"/>
      <c r="GP89" s="817"/>
      <c r="GQ89" s="817"/>
      <c r="GR89" s="817"/>
      <c r="GS89" s="817"/>
      <c r="GT89" s="817"/>
      <c r="GU89" s="817"/>
      <c r="GV89" s="817"/>
      <c r="GW89" s="817"/>
      <c r="GX89" s="817"/>
      <c r="GY89" s="817"/>
      <c r="GZ89" s="817"/>
      <c r="HA89" s="817"/>
      <c r="HB89" s="817"/>
      <c r="HC89" s="817"/>
      <c r="HD89" s="817"/>
      <c r="HE89" s="817"/>
      <c r="HF89" s="817"/>
      <c r="HG89" s="817"/>
      <c r="HH89" s="817"/>
      <c r="HI89" s="817"/>
      <c r="HJ89" s="817"/>
      <c r="HK89" s="817"/>
      <c r="HL89" s="817"/>
      <c r="HM89" s="817"/>
      <c r="HN89" s="817"/>
      <c r="HO89" s="817"/>
      <c r="HP89" s="817"/>
      <c r="HQ89" s="817"/>
      <c r="HR89" s="817"/>
      <c r="HS89" s="817"/>
      <c r="HT89" s="817"/>
      <c r="HU89" s="817"/>
      <c r="HV89" s="817"/>
      <c r="HW89" s="817"/>
      <c r="HX89" s="817"/>
      <c r="HY89" s="817"/>
      <c r="HZ89" s="817"/>
      <c r="IA89" s="817"/>
      <c r="IB89" s="817"/>
      <c r="IC89" s="817"/>
      <c r="ID89" s="817"/>
      <c r="IE89" s="817"/>
      <c r="IF89" s="817"/>
      <c r="IG89" s="817"/>
      <c r="IH89" s="817"/>
      <c r="II89" s="817"/>
      <c r="IJ89" s="817"/>
      <c r="IK89" s="817"/>
      <c r="IL89" s="817"/>
      <c r="IM89" s="817"/>
      <c r="IN89" s="817"/>
      <c r="IO89" s="817"/>
      <c r="IP89" s="817"/>
      <c r="IQ89" s="817"/>
      <c r="IR89" s="817"/>
      <c r="IS89" s="817"/>
      <c r="IT89" s="817"/>
      <c r="IU89" s="817"/>
      <c r="IV89" s="817"/>
    </row>
    <row r="90" spans="1:256">
      <c r="A90" s="905" t="s">
        <v>855</v>
      </c>
      <c r="B90" s="916">
        <v>38.299999999999997</v>
      </c>
      <c r="C90" s="916">
        <v>46.6</v>
      </c>
      <c r="D90" s="917">
        <v>67</v>
      </c>
      <c r="E90" s="917">
        <v>66.7</v>
      </c>
      <c r="F90" s="917">
        <v>93.7</v>
      </c>
      <c r="G90" s="917">
        <v>52.3</v>
      </c>
      <c r="H90" s="917">
        <v>79.5</v>
      </c>
      <c r="I90" s="917">
        <v>93.1</v>
      </c>
      <c r="J90" s="917">
        <v>82.7</v>
      </c>
      <c r="K90" s="917">
        <v>73.099999999999994</v>
      </c>
      <c r="L90" s="918">
        <v>92.4</v>
      </c>
      <c r="M90" s="918">
        <v>46.9</v>
      </c>
      <c r="N90" s="917">
        <v>55.8</v>
      </c>
      <c r="O90" s="817"/>
      <c r="P90" s="817"/>
      <c r="Q90" s="817"/>
      <c r="R90" s="817"/>
      <c r="S90" s="817"/>
      <c r="T90" s="817"/>
      <c r="U90" s="817"/>
      <c r="V90" s="817"/>
      <c r="W90" s="817"/>
      <c r="X90" s="817"/>
      <c r="Y90" s="817"/>
      <c r="Z90" s="817"/>
      <c r="AA90" s="817"/>
      <c r="AB90" s="817"/>
      <c r="AC90" s="817"/>
      <c r="AD90" s="817"/>
      <c r="AE90" s="817"/>
      <c r="AF90" s="817"/>
      <c r="AG90" s="817"/>
      <c r="AH90" s="817"/>
      <c r="AI90" s="817"/>
      <c r="AJ90" s="817"/>
      <c r="AK90" s="817"/>
      <c r="AL90" s="817"/>
      <c r="AM90" s="817"/>
      <c r="AN90" s="817"/>
      <c r="AO90" s="817"/>
      <c r="AP90" s="817"/>
      <c r="AQ90" s="817"/>
      <c r="AR90" s="817"/>
      <c r="AS90" s="817"/>
      <c r="AT90" s="817"/>
      <c r="AU90" s="817"/>
      <c r="AV90" s="817"/>
      <c r="AW90" s="817"/>
      <c r="AX90" s="817"/>
      <c r="AY90" s="817"/>
      <c r="AZ90" s="817"/>
      <c r="BA90" s="817"/>
      <c r="BB90" s="817"/>
      <c r="BC90" s="817"/>
      <c r="BD90" s="817"/>
      <c r="BE90" s="817"/>
      <c r="BF90" s="817"/>
      <c r="BG90" s="817"/>
      <c r="BH90" s="817"/>
      <c r="BI90" s="817"/>
      <c r="BJ90" s="817"/>
      <c r="BK90" s="817"/>
      <c r="BL90" s="817"/>
      <c r="BM90" s="817"/>
      <c r="BN90" s="817"/>
      <c r="BO90" s="817"/>
      <c r="BP90" s="817"/>
      <c r="BQ90" s="817"/>
      <c r="BR90" s="817"/>
      <c r="BS90" s="817"/>
      <c r="BT90" s="817"/>
      <c r="BU90" s="817"/>
      <c r="BV90" s="817"/>
      <c r="BW90" s="817"/>
      <c r="BX90" s="817"/>
      <c r="BY90" s="817"/>
      <c r="BZ90" s="817"/>
      <c r="CA90" s="817"/>
      <c r="CB90" s="817"/>
      <c r="CC90" s="817"/>
      <c r="CD90" s="817"/>
      <c r="CE90" s="817"/>
      <c r="CF90" s="817"/>
      <c r="CG90" s="817"/>
      <c r="CH90" s="817"/>
      <c r="CI90" s="817"/>
      <c r="CJ90" s="817"/>
      <c r="CK90" s="817"/>
      <c r="CL90" s="817"/>
      <c r="CM90" s="817"/>
      <c r="CN90" s="817"/>
      <c r="CO90" s="817"/>
      <c r="CP90" s="817"/>
      <c r="CQ90" s="817"/>
      <c r="CR90" s="817"/>
      <c r="CS90" s="817"/>
      <c r="CT90" s="817"/>
      <c r="CU90" s="817"/>
      <c r="CV90" s="817"/>
      <c r="CW90" s="817"/>
      <c r="CX90" s="817"/>
      <c r="CY90" s="817"/>
      <c r="CZ90" s="817"/>
      <c r="DA90" s="817"/>
      <c r="DB90" s="817"/>
      <c r="DC90" s="817"/>
      <c r="DD90" s="817"/>
      <c r="DE90" s="817"/>
      <c r="DF90" s="817"/>
      <c r="DG90" s="817"/>
      <c r="DH90" s="817"/>
      <c r="DI90" s="817"/>
      <c r="DJ90" s="817"/>
      <c r="DK90" s="817"/>
      <c r="DL90" s="817"/>
      <c r="DM90" s="817"/>
      <c r="DN90" s="817"/>
      <c r="DO90" s="817"/>
      <c r="DP90" s="817"/>
      <c r="DQ90" s="817"/>
      <c r="DR90" s="817"/>
      <c r="DS90" s="817"/>
      <c r="DT90" s="817"/>
      <c r="DU90" s="817"/>
      <c r="DV90" s="817"/>
      <c r="DW90" s="817"/>
      <c r="DX90" s="817"/>
      <c r="DY90" s="817"/>
      <c r="DZ90" s="817"/>
      <c r="EA90" s="817"/>
      <c r="EB90" s="817"/>
      <c r="EC90" s="817"/>
      <c r="ED90" s="817"/>
      <c r="EE90" s="817"/>
      <c r="EF90" s="817"/>
      <c r="EG90" s="817"/>
      <c r="EH90" s="817"/>
      <c r="EI90" s="817"/>
      <c r="EJ90" s="817"/>
      <c r="EK90" s="817"/>
      <c r="EL90" s="817"/>
      <c r="EM90" s="817"/>
      <c r="EN90" s="817"/>
      <c r="EO90" s="817"/>
      <c r="EP90" s="817"/>
      <c r="EQ90" s="817"/>
      <c r="ER90" s="817"/>
      <c r="ES90" s="817"/>
      <c r="ET90" s="817"/>
      <c r="EU90" s="817"/>
      <c r="EV90" s="817"/>
      <c r="EW90" s="817"/>
      <c r="EX90" s="817"/>
      <c r="EY90" s="817"/>
      <c r="EZ90" s="817"/>
      <c r="FA90" s="817"/>
      <c r="FB90" s="817"/>
      <c r="FC90" s="817"/>
      <c r="FD90" s="817"/>
      <c r="FE90" s="817"/>
      <c r="FF90" s="817"/>
      <c r="FG90" s="817"/>
      <c r="FH90" s="817"/>
      <c r="FI90" s="817"/>
      <c r="FJ90" s="817"/>
      <c r="FK90" s="817"/>
      <c r="FL90" s="817"/>
      <c r="FM90" s="817"/>
      <c r="FN90" s="817"/>
      <c r="FO90" s="817"/>
      <c r="FP90" s="817"/>
      <c r="FQ90" s="817"/>
      <c r="FR90" s="817"/>
      <c r="FS90" s="817"/>
      <c r="FT90" s="817"/>
      <c r="FU90" s="817"/>
      <c r="FV90" s="817"/>
      <c r="FW90" s="817"/>
      <c r="FX90" s="817"/>
      <c r="FY90" s="817"/>
      <c r="FZ90" s="817"/>
      <c r="GA90" s="817"/>
      <c r="GB90" s="817"/>
      <c r="GC90" s="817"/>
      <c r="GD90" s="817"/>
      <c r="GE90" s="817"/>
      <c r="GF90" s="817"/>
      <c r="GG90" s="817"/>
      <c r="GH90" s="817"/>
      <c r="GI90" s="817"/>
      <c r="GJ90" s="817"/>
      <c r="GK90" s="817"/>
      <c r="GL90" s="817"/>
      <c r="GM90" s="817"/>
      <c r="GN90" s="817"/>
      <c r="GO90" s="817"/>
      <c r="GP90" s="817"/>
      <c r="GQ90" s="817"/>
      <c r="GR90" s="817"/>
      <c r="GS90" s="817"/>
      <c r="GT90" s="817"/>
      <c r="GU90" s="817"/>
      <c r="GV90" s="817"/>
      <c r="GW90" s="817"/>
      <c r="GX90" s="817"/>
      <c r="GY90" s="817"/>
      <c r="GZ90" s="817"/>
      <c r="HA90" s="817"/>
      <c r="HB90" s="817"/>
      <c r="HC90" s="817"/>
      <c r="HD90" s="817"/>
      <c r="HE90" s="817"/>
      <c r="HF90" s="817"/>
      <c r="HG90" s="817"/>
      <c r="HH90" s="817"/>
      <c r="HI90" s="817"/>
      <c r="HJ90" s="817"/>
      <c r="HK90" s="817"/>
      <c r="HL90" s="817"/>
      <c r="HM90" s="817"/>
      <c r="HN90" s="817"/>
      <c r="HO90" s="817"/>
      <c r="HP90" s="817"/>
      <c r="HQ90" s="817"/>
      <c r="HR90" s="817"/>
      <c r="HS90" s="817"/>
      <c r="HT90" s="817"/>
      <c r="HU90" s="817"/>
      <c r="HV90" s="817"/>
      <c r="HW90" s="817"/>
      <c r="HX90" s="817"/>
      <c r="HY90" s="817"/>
      <c r="HZ90" s="817"/>
      <c r="IA90" s="817"/>
      <c r="IB90" s="817"/>
      <c r="IC90" s="817"/>
      <c r="ID90" s="817"/>
      <c r="IE90" s="817"/>
      <c r="IF90" s="817"/>
      <c r="IG90" s="817"/>
      <c r="IH90" s="817"/>
      <c r="II90" s="817"/>
      <c r="IJ90" s="817"/>
      <c r="IK90" s="817"/>
      <c r="IL90" s="817"/>
      <c r="IM90" s="817"/>
      <c r="IN90" s="817"/>
      <c r="IO90" s="817"/>
      <c r="IP90" s="817"/>
      <c r="IQ90" s="817"/>
      <c r="IR90" s="817"/>
      <c r="IS90" s="817"/>
      <c r="IT90" s="817"/>
      <c r="IU90" s="817"/>
      <c r="IV90" s="817"/>
    </row>
    <row r="91" spans="1:256" ht="13.5" customHeight="1" thickBot="1">
      <c r="A91" s="896" t="s">
        <v>856</v>
      </c>
      <c r="B91" s="846">
        <v>446</v>
      </c>
      <c r="C91" s="846">
        <v>542</v>
      </c>
      <c r="D91" s="847">
        <v>779</v>
      </c>
      <c r="E91" s="847">
        <v>776</v>
      </c>
      <c r="F91" s="847">
        <v>1090</v>
      </c>
      <c r="G91" s="847">
        <v>608.6</v>
      </c>
      <c r="H91" s="847">
        <v>925.1</v>
      </c>
      <c r="I91" s="847">
        <v>1083</v>
      </c>
      <c r="J91" s="847">
        <v>961.5</v>
      </c>
      <c r="K91" s="847">
        <v>850.5</v>
      </c>
      <c r="L91" s="848">
        <v>1074.9000000000001</v>
      </c>
      <c r="M91" s="848">
        <v>545.9</v>
      </c>
      <c r="N91" s="847">
        <v>649.20000000000005</v>
      </c>
      <c r="O91" s="817"/>
      <c r="P91" s="817"/>
      <c r="Q91" s="817"/>
      <c r="R91" s="817"/>
      <c r="S91" s="817"/>
      <c r="T91" s="817"/>
      <c r="U91" s="817"/>
      <c r="V91" s="817"/>
      <c r="W91" s="817"/>
      <c r="X91" s="817"/>
      <c r="Y91" s="817"/>
      <c r="Z91" s="817"/>
      <c r="AA91" s="817"/>
      <c r="AB91" s="817"/>
      <c r="AC91" s="817"/>
      <c r="AD91" s="817"/>
      <c r="AE91" s="817"/>
      <c r="AF91" s="817"/>
      <c r="AG91" s="817"/>
      <c r="AH91" s="817"/>
      <c r="AI91" s="817"/>
      <c r="AJ91" s="817"/>
      <c r="AK91" s="817"/>
      <c r="AL91" s="817"/>
      <c r="AM91" s="817"/>
      <c r="AN91" s="817"/>
      <c r="AO91" s="817"/>
      <c r="AP91" s="817"/>
      <c r="AQ91" s="817"/>
      <c r="AR91" s="817"/>
      <c r="AS91" s="817"/>
      <c r="AT91" s="817"/>
      <c r="AU91" s="817"/>
      <c r="AV91" s="817"/>
      <c r="AW91" s="817"/>
      <c r="AX91" s="817"/>
      <c r="AY91" s="817"/>
      <c r="AZ91" s="817"/>
      <c r="BA91" s="817"/>
      <c r="BB91" s="817"/>
      <c r="BC91" s="817"/>
      <c r="BD91" s="817"/>
      <c r="BE91" s="817"/>
      <c r="BF91" s="817"/>
      <c r="BG91" s="817"/>
      <c r="BH91" s="817"/>
      <c r="BI91" s="817"/>
      <c r="BJ91" s="817"/>
      <c r="BK91" s="817"/>
      <c r="BL91" s="817"/>
      <c r="BM91" s="817"/>
      <c r="BN91" s="817"/>
      <c r="BO91" s="817"/>
      <c r="BP91" s="817"/>
      <c r="BQ91" s="817"/>
      <c r="BR91" s="817"/>
      <c r="BS91" s="817"/>
      <c r="BT91" s="817"/>
      <c r="BU91" s="817"/>
      <c r="BV91" s="817"/>
      <c r="BW91" s="817"/>
      <c r="BX91" s="817"/>
      <c r="BY91" s="817"/>
      <c r="BZ91" s="817"/>
      <c r="CA91" s="817"/>
      <c r="CB91" s="817"/>
      <c r="CC91" s="817"/>
      <c r="CD91" s="817"/>
      <c r="CE91" s="817"/>
      <c r="CF91" s="817"/>
      <c r="CG91" s="817"/>
      <c r="CH91" s="817"/>
      <c r="CI91" s="817"/>
      <c r="CJ91" s="817"/>
      <c r="CK91" s="817"/>
      <c r="CL91" s="817"/>
      <c r="CM91" s="817"/>
      <c r="CN91" s="817"/>
      <c r="CO91" s="817"/>
      <c r="CP91" s="817"/>
      <c r="CQ91" s="817"/>
      <c r="CR91" s="817"/>
      <c r="CS91" s="817"/>
      <c r="CT91" s="817"/>
      <c r="CU91" s="817"/>
      <c r="CV91" s="817"/>
      <c r="CW91" s="817"/>
      <c r="CX91" s="817"/>
      <c r="CY91" s="817"/>
      <c r="CZ91" s="817"/>
      <c r="DA91" s="817"/>
      <c r="DB91" s="817"/>
      <c r="DC91" s="817"/>
      <c r="DD91" s="817"/>
      <c r="DE91" s="817"/>
      <c r="DF91" s="817"/>
      <c r="DG91" s="817"/>
      <c r="DH91" s="817"/>
      <c r="DI91" s="817"/>
      <c r="DJ91" s="817"/>
      <c r="DK91" s="817"/>
      <c r="DL91" s="817"/>
      <c r="DM91" s="817"/>
      <c r="DN91" s="817"/>
      <c r="DO91" s="817"/>
      <c r="DP91" s="817"/>
      <c r="DQ91" s="817"/>
      <c r="DR91" s="817"/>
      <c r="DS91" s="817"/>
      <c r="DT91" s="817"/>
      <c r="DU91" s="817"/>
      <c r="DV91" s="817"/>
      <c r="DW91" s="817"/>
      <c r="DX91" s="817"/>
      <c r="DY91" s="817"/>
      <c r="DZ91" s="817"/>
      <c r="EA91" s="817"/>
      <c r="EB91" s="817"/>
      <c r="EC91" s="817"/>
      <c r="ED91" s="817"/>
      <c r="EE91" s="817"/>
      <c r="EF91" s="817"/>
      <c r="EG91" s="817"/>
      <c r="EH91" s="817"/>
      <c r="EI91" s="817"/>
      <c r="EJ91" s="817"/>
      <c r="EK91" s="817"/>
      <c r="EL91" s="817"/>
      <c r="EM91" s="817"/>
      <c r="EN91" s="817"/>
      <c r="EO91" s="817"/>
      <c r="EP91" s="817"/>
      <c r="EQ91" s="817"/>
      <c r="ER91" s="817"/>
      <c r="ES91" s="817"/>
      <c r="ET91" s="817"/>
      <c r="EU91" s="817"/>
      <c r="EV91" s="817"/>
      <c r="EW91" s="817"/>
      <c r="EX91" s="817"/>
      <c r="EY91" s="817"/>
      <c r="EZ91" s="817"/>
      <c r="FA91" s="817"/>
      <c r="FB91" s="817"/>
      <c r="FC91" s="817"/>
      <c r="FD91" s="817"/>
      <c r="FE91" s="817"/>
      <c r="FF91" s="817"/>
      <c r="FG91" s="817"/>
      <c r="FH91" s="817"/>
      <c r="FI91" s="817"/>
      <c r="FJ91" s="817"/>
      <c r="FK91" s="817"/>
      <c r="FL91" s="817"/>
      <c r="FM91" s="817"/>
      <c r="FN91" s="817"/>
      <c r="FO91" s="817"/>
      <c r="FP91" s="817"/>
      <c r="FQ91" s="817"/>
      <c r="FR91" s="817"/>
      <c r="FS91" s="817"/>
      <c r="FT91" s="817"/>
      <c r="FU91" s="817"/>
      <c r="FV91" s="817"/>
      <c r="FW91" s="817"/>
      <c r="FX91" s="817"/>
      <c r="FY91" s="817"/>
      <c r="FZ91" s="817"/>
      <c r="GA91" s="817"/>
      <c r="GB91" s="817"/>
      <c r="GC91" s="817"/>
      <c r="GD91" s="817"/>
      <c r="GE91" s="817"/>
      <c r="GF91" s="817"/>
      <c r="GG91" s="817"/>
      <c r="GH91" s="817"/>
      <c r="GI91" s="817"/>
      <c r="GJ91" s="817"/>
      <c r="GK91" s="817"/>
      <c r="GL91" s="817"/>
      <c r="GM91" s="817"/>
      <c r="GN91" s="817"/>
      <c r="GO91" s="817"/>
      <c r="GP91" s="817"/>
      <c r="GQ91" s="817"/>
      <c r="GR91" s="817"/>
      <c r="GS91" s="817"/>
      <c r="GT91" s="817"/>
      <c r="GU91" s="817"/>
      <c r="GV91" s="817"/>
      <c r="GW91" s="817"/>
      <c r="GX91" s="817"/>
      <c r="GY91" s="817"/>
      <c r="GZ91" s="817"/>
      <c r="HA91" s="817"/>
      <c r="HB91" s="817"/>
      <c r="HC91" s="817"/>
      <c r="HD91" s="817"/>
      <c r="HE91" s="817"/>
      <c r="HF91" s="817"/>
      <c r="HG91" s="817"/>
      <c r="HH91" s="817"/>
      <c r="HI91" s="817"/>
      <c r="HJ91" s="817"/>
      <c r="HK91" s="817"/>
      <c r="HL91" s="817"/>
      <c r="HM91" s="817"/>
      <c r="HN91" s="817"/>
      <c r="HO91" s="817"/>
      <c r="HP91" s="817"/>
      <c r="HQ91" s="817"/>
      <c r="HR91" s="817"/>
      <c r="HS91" s="817"/>
      <c r="HT91" s="817"/>
      <c r="HU91" s="817"/>
      <c r="HV91" s="817"/>
      <c r="HW91" s="817"/>
      <c r="HX91" s="817"/>
      <c r="HY91" s="817"/>
      <c r="HZ91" s="817"/>
      <c r="IA91" s="817"/>
      <c r="IB91" s="817"/>
      <c r="IC91" s="817"/>
      <c r="ID91" s="817"/>
      <c r="IE91" s="817"/>
      <c r="IF91" s="817"/>
      <c r="IG91" s="817"/>
      <c r="IH91" s="817"/>
      <c r="II91" s="817"/>
      <c r="IJ91" s="817"/>
      <c r="IK91" s="817"/>
      <c r="IL91" s="817"/>
      <c r="IM91" s="817"/>
      <c r="IN91" s="817"/>
      <c r="IO91" s="817"/>
      <c r="IP91" s="817"/>
      <c r="IQ91" s="817"/>
      <c r="IR91" s="817"/>
      <c r="IS91" s="817"/>
      <c r="IT91" s="817"/>
      <c r="IU91" s="817"/>
      <c r="IV91" s="817"/>
    </row>
    <row r="92" spans="1:256" s="825" customFormat="1" ht="12" customHeight="1" thickTop="1">
      <c r="A92" s="919" t="s">
        <v>133</v>
      </c>
      <c r="B92" s="890"/>
      <c r="C92" s="890"/>
      <c r="D92" s="909"/>
      <c r="E92" s="909"/>
      <c r="F92" s="920"/>
      <c r="G92" s="920"/>
      <c r="H92" s="920"/>
      <c r="I92" s="920"/>
      <c r="J92" s="920"/>
      <c r="K92" s="920"/>
      <c r="L92" s="920"/>
      <c r="M92" s="920"/>
      <c r="N92" s="920"/>
      <c r="O92" s="824"/>
      <c r="P92" s="824"/>
      <c r="Q92" s="824"/>
      <c r="R92" s="824"/>
      <c r="S92" s="824"/>
      <c r="T92" s="824"/>
      <c r="U92" s="824"/>
      <c r="V92" s="824"/>
      <c r="W92" s="824"/>
      <c r="X92" s="824"/>
      <c r="Y92" s="824"/>
      <c r="Z92" s="824"/>
      <c r="AA92" s="824"/>
      <c r="AB92" s="824"/>
      <c r="AC92" s="824"/>
      <c r="AD92" s="824"/>
      <c r="AE92" s="824"/>
      <c r="AF92" s="824"/>
      <c r="AG92" s="824"/>
      <c r="AH92" s="824"/>
      <c r="AI92" s="824"/>
      <c r="AJ92" s="824"/>
      <c r="AK92" s="824"/>
      <c r="AL92" s="824"/>
      <c r="AM92" s="824"/>
      <c r="AN92" s="824"/>
      <c r="AO92" s="824"/>
      <c r="AP92" s="824"/>
      <c r="AQ92" s="824"/>
      <c r="AR92" s="824"/>
      <c r="AS92" s="824"/>
      <c r="AT92" s="824"/>
      <c r="AU92" s="824"/>
      <c r="AV92" s="824"/>
      <c r="AW92" s="824"/>
      <c r="AX92" s="824"/>
      <c r="AY92" s="824"/>
      <c r="AZ92" s="824"/>
      <c r="BA92" s="824"/>
      <c r="BB92" s="824"/>
      <c r="BC92" s="824"/>
      <c r="BD92" s="824"/>
      <c r="BE92" s="824"/>
      <c r="BF92" s="824"/>
      <c r="BG92" s="824"/>
      <c r="BH92" s="824"/>
      <c r="BI92" s="824"/>
      <c r="BJ92" s="824"/>
      <c r="BK92" s="824"/>
      <c r="BL92" s="824"/>
      <c r="BM92" s="824"/>
      <c r="BN92" s="824"/>
      <c r="BO92" s="824"/>
      <c r="BP92" s="824"/>
      <c r="BQ92" s="824"/>
      <c r="BR92" s="824"/>
      <c r="BS92" s="824"/>
      <c r="BT92" s="824"/>
      <c r="BU92" s="824"/>
      <c r="BV92" s="824"/>
      <c r="BW92" s="824"/>
      <c r="BX92" s="824"/>
      <c r="BY92" s="824"/>
      <c r="BZ92" s="824"/>
      <c r="CA92" s="824"/>
      <c r="CB92" s="824"/>
      <c r="CC92" s="824"/>
      <c r="CD92" s="824"/>
      <c r="CE92" s="824"/>
      <c r="CF92" s="824"/>
      <c r="CG92" s="824"/>
      <c r="CH92" s="824"/>
      <c r="CI92" s="824"/>
      <c r="CJ92" s="824"/>
      <c r="CK92" s="824"/>
      <c r="CL92" s="824"/>
      <c r="CM92" s="824"/>
      <c r="CN92" s="824"/>
      <c r="CO92" s="824"/>
      <c r="CP92" s="824"/>
      <c r="CQ92" s="824"/>
      <c r="CR92" s="824"/>
      <c r="CS92" s="824"/>
      <c r="CT92" s="824"/>
      <c r="CU92" s="824"/>
      <c r="CV92" s="824"/>
      <c r="CW92" s="824"/>
      <c r="CX92" s="824"/>
      <c r="CY92" s="824"/>
      <c r="CZ92" s="824"/>
      <c r="DA92" s="824"/>
      <c r="DB92" s="824"/>
      <c r="DC92" s="824"/>
      <c r="DD92" s="824"/>
      <c r="DE92" s="824"/>
      <c r="DF92" s="824"/>
      <c r="DG92" s="824"/>
      <c r="DH92" s="824"/>
      <c r="DI92" s="824"/>
      <c r="DJ92" s="824"/>
      <c r="DK92" s="824"/>
      <c r="DL92" s="824"/>
      <c r="DM92" s="824"/>
      <c r="DN92" s="824"/>
      <c r="DO92" s="824"/>
      <c r="DP92" s="824"/>
      <c r="DQ92" s="824"/>
      <c r="DR92" s="824"/>
      <c r="DS92" s="824"/>
      <c r="DT92" s="824"/>
      <c r="DU92" s="824"/>
      <c r="DV92" s="824"/>
      <c r="DW92" s="824"/>
      <c r="DX92" s="824"/>
      <c r="DY92" s="824"/>
      <c r="DZ92" s="824"/>
      <c r="EA92" s="824"/>
      <c r="EB92" s="824"/>
      <c r="EC92" s="824"/>
      <c r="ED92" s="824"/>
      <c r="EE92" s="824"/>
      <c r="EF92" s="824"/>
      <c r="EG92" s="824"/>
      <c r="EH92" s="824"/>
      <c r="EI92" s="824"/>
      <c r="EJ92" s="824"/>
      <c r="EK92" s="824"/>
      <c r="EL92" s="824"/>
      <c r="EM92" s="824"/>
      <c r="EN92" s="824"/>
      <c r="EO92" s="824"/>
      <c r="EP92" s="824"/>
      <c r="EQ92" s="824"/>
      <c r="ER92" s="824"/>
      <c r="ES92" s="824"/>
      <c r="ET92" s="824"/>
      <c r="EU92" s="824"/>
      <c r="EV92" s="824"/>
      <c r="EW92" s="824"/>
      <c r="EX92" s="824"/>
      <c r="EY92" s="824"/>
      <c r="EZ92" s="824"/>
      <c r="FA92" s="824"/>
      <c r="FB92" s="824"/>
      <c r="FC92" s="824"/>
      <c r="FD92" s="824"/>
      <c r="FE92" s="824"/>
      <c r="FF92" s="824"/>
      <c r="FG92" s="824"/>
      <c r="FH92" s="824"/>
      <c r="FI92" s="824"/>
      <c r="FJ92" s="824"/>
      <c r="FK92" s="824"/>
      <c r="FL92" s="824"/>
      <c r="FM92" s="824"/>
      <c r="FN92" s="824"/>
      <c r="FO92" s="824"/>
      <c r="FP92" s="824"/>
      <c r="FQ92" s="824"/>
      <c r="FR92" s="824"/>
      <c r="FS92" s="824"/>
      <c r="FT92" s="824"/>
      <c r="FU92" s="824"/>
      <c r="FV92" s="824"/>
      <c r="FW92" s="824"/>
      <c r="FX92" s="824"/>
      <c r="FY92" s="824"/>
      <c r="FZ92" s="824"/>
      <c r="GA92" s="824"/>
      <c r="GB92" s="824"/>
      <c r="GC92" s="824"/>
      <c r="GD92" s="824"/>
      <c r="GE92" s="824"/>
      <c r="GF92" s="824"/>
      <c r="GG92" s="824"/>
      <c r="GH92" s="824"/>
      <c r="GI92" s="824"/>
      <c r="GJ92" s="824"/>
      <c r="GK92" s="824"/>
      <c r="GL92" s="824"/>
      <c r="GM92" s="824"/>
      <c r="GN92" s="824"/>
      <c r="GO92" s="824"/>
      <c r="GP92" s="824"/>
      <c r="GQ92" s="824"/>
      <c r="GR92" s="824"/>
      <c r="GS92" s="824"/>
      <c r="GT92" s="824"/>
      <c r="GU92" s="824"/>
      <c r="GV92" s="824"/>
      <c r="GW92" s="824"/>
      <c r="GX92" s="824"/>
      <c r="GY92" s="824"/>
      <c r="GZ92" s="824"/>
      <c r="HA92" s="824"/>
      <c r="HB92" s="824"/>
      <c r="HC92" s="824"/>
      <c r="HD92" s="824"/>
      <c r="HE92" s="824"/>
      <c r="HF92" s="824"/>
      <c r="HG92" s="824"/>
      <c r="HH92" s="824"/>
      <c r="HI92" s="824"/>
      <c r="HJ92" s="824"/>
      <c r="HK92" s="824"/>
      <c r="HL92" s="824"/>
      <c r="HM92" s="824"/>
      <c r="HN92" s="824"/>
      <c r="HO92" s="824"/>
      <c r="HP92" s="824"/>
      <c r="HQ92" s="824"/>
      <c r="HR92" s="824"/>
      <c r="HS92" s="824"/>
      <c r="HT92" s="824"/>
      <c r="HU92" s="824"/>
      <c r="HV92" s="824"/>
      <c r="HW92" s="824"/>
      <c r="HX92" s="824"/>
      <c r="HY92" s="824"/>
      <c r="HZ92" s="824"/>
      <c r="IA92" s="824"/>
      <c r="IB92" s="824"/>
      <c r="IC92" s="824"/>
      <c r="ID92" s="824"/>
      <c r="IE92" s="824"/>
      <c r="IF92" s="824"/>
      <c r="IG92" s="824"/>
      <c r="IH92" s="824"/>
      <c r="II92" s="824"/>
      <c r="IJ92" s="824"/>
      <c r="IK92" s="824"/>
      <c r="IL92" s="824"/>
      <c r="IM92" s="824"/>
      <c r="IN92" s="824"/>
      <c r="IO92" s="824"/>
      <c r="IP92" s="824"/>
      <c r="IQ92" s="824"/>
      <c r="IR92" s="824"/>
      <c r="IS92" s="824"/>
      <c r="IT92" s="824"/>
      <c r="IU92" s="824"/>
      <c r="IV92" s="824"/>
    </row>
    <row r="93" spans="1:256" ht="10.5" customHeight="1">
      <c r="A93" s="803" t="s">
        <v>455</v>
      </c>
      <c r="B93" s="890">
        <v>1226.3</v>
      </c>
      <c r="C93" s="890">
        <v>1192.5</v>
      </c>
      <c r="D93" s="891">
        <v>1185</v>
      </c>
      <c r="E93" s="891">
        <v>971.9</v>
      </c>
      <c r="F93" s="891">
        <v>877</v>
      </c>
      <c r="G93" s="891">
        <v>1008.4</v>
      </c>
      <c r="H93" s="891">
        <v>968.6</v>
      </c>
      <c r="I93" s="891">
        <v>976.9</v>
      </c>
      <c r="J93" s="891">
        <v>913.5</v>
      </c>
      <c r="K93" s="891">
        <v>911.3</v>
      </c>
      <c r="L93" s="893">
        <v>939.9</v>
      </c>
      <c r="M93" s="893">
        <v>923.1</v>
      </c>
      <c r="N93" s="891">
        <v>943.5</v>
      </c>
      <c r="O93" s="817"/>
      <c r="P93" s="817"/>
      <c r="Q93" s="817"/>
      <c r="R93" s="817"/>
      <c r="S93" s="817"/>
      <c r="T93" s="817"/>
      <c r="U93" s="817"/>
      <c r="V93" s="817"/>
      <c r="W93" s="817"/>
      <c r="X93" s="817"/>
      <c r="Y93" s="817"/>
      <c r="Z93" s="817"/>
      <c r="AA93" s="817"/>
      <c r="AB93" s="817"/>
      <c r="AC93" s="817"/>
      <c r="AD93" s="817"/>
      <c r="AE93" s="817"/>
      <c r="AF93" s="817"/>
      <c r="AG93" s="817"/>
      <c r="AH93" s="817"/>
      <c r="AI93" s="817"/>
      <c r="AJ93" s="817"/>
      <c r="AK93" s="817"/>
      <c r="AL93" s="817"/>
      <c r="AM93" s="817"/>
      <c r="AN93" s="817"/>
      <c r="AO93" s="817"/>
      <c r="AP93" s="817"/>
      <c r="AQ93" s="817"/>
      <c r="AR93" s="817"/>
      <c r="AS93" s="817"/>
      <c r="AT93" s="817"/>
      <c r="AU93" s="817"/>
      <c r="AV93" s="817"/>
      <c r="AW93" s="817"/>
      <c r="AX93" s="817"/>
      <c r="AY93" s="817"/>
      <c r="AZ93" s="817"/>
      <c r="BA93" s="817"/>
      <c r="BB93" s="817"/>
      <c r="BC93" s="817"/>
      <c r="BD93" s="817"/>
      <c r="BE93" s="817"/>
      <c r="BF93" s="817"/>
      <c r="BG93" s="817"/>
      <c r="BH93" s="817"/>
      <c r="BI93" s="817"/>
      <c r="BJ93" s="817"/>
      <c r="BK93" s="817"/>
      <c r="BL93" s="817"/>
      <c r="BM93" s="817"/>
      <c r="BN93" s="817"/>
      <c r="BO93" s="817"/>
      <c r="BP93" s="817"/>
      <c r="BQ93" s="817"/>
      <c r="BR93" s="817"/>
      <c r="BS93" s="817"/>
      <c r="BT93" s="817"/>
      <c r="BU93" s="817"/>
      <c r="BV93" s="817"/>
      <c r="BW93" s="817"/>
      <c r="BX93" s="817"/>
      <c r="BY93" s="817"/>
      <c r="BZ93" s="817"/>
      <c r="CA93" s="817"/>
      <c r="CB93" s="817"/>
      <c r="CC93" s="817"/>
      <c r="CD93" s="817"/>
      <c r="CE93" s="817"/>
      <c r="CF93" s="817"/>
      <c r="CG93" s="817"/>
      <c r="CH93" s="817"/>
      <c r="CI93" s="817"/>
      <c r="CJ93" s="817"/>
      <c r="CK93" s="817"/>
      <c r="CL93" s="817"/>
      <c r="CM93" s="817"/>
      <c r="CN93" s="817"/>
      <c r="CO93" s="817"/>
      <c r="CP93" s="817"/>
      <c r="CQ93" s="817"/>
      <c r="CR93" s="817"/>
      <c r="CS93" s="817"/>
      <c r="CT93" s="817"/>
      <c r="CU93" s="817"/>
      <c r="CV93" s="817"/>
      <c r="CW93" s="817"/>
      <c r="CX93" s="817"/>
      <c r="CY93" s="817"/>
      <c r="CZ93" s="817"/>
      <c r="DA93" s="817"/>
      <c r="DB93" s="817"/>
      <c r="DC93" s="817"/>
      <c r="DD93" s="817"/>
      <c r="DE93" s="817"/>
      <c r="DF93" s="817"/>
      <c r="DG93" s="817"/>
      <c r="DH93" s="817"/>
      <c r="DI93" s="817"/>
      <c r="DJ93" s="817"/>
      <c r="DK93" s="817"/>
      <c r="DL93" s="817"/>
      <c r="DM93" s="817"/>
      <c r="DN93" s="817"/>
      <c r="DO93" s="817"/>
      <c r="DP93" s="817"/>
      <c r="DQ93" s="817"/>
      <c r="DR93" s="817"/>
      <c r="DS93" s="817"/>
      <c r="DT93" s="817"/>
      <c r="DU93" s="817"/>
      <c r="DV93" s="817"/>
      <c r="DW93" s="817"/>
      <c r="DX93" s="817"/>
      <c r="DY93" s="817"/>
      <c r="DZ93" s="817"/>
      <c r="EA93" s="817"/>
      <c r="EB93" s="817"/>
      <c r="EC93" s="817"/>
      <c r="ED93" s="817"/>
      <c r="EE93" s="817"/>
      <c r="EF93" s="817"/>
      <c r="EG93" s="817"/>
      <c r="EH93" s="817"/>
      <c r="EI93" s="817"/>
      <c r="EJ93" s="817"/>
      <c r="EK93" s="817"/>
      <c r="EL93" s="817"/>
      <c r="EM93" s="817"/>
      <c r="EN93" s="817"/>
      <c r="EO93" s="817"/>
      <c r="EP93" s="817"/>
      <c r="EQ93" s="817"/>
      <c r="ER93" s="817"/>
      <c r="ES93" s="817"/>
      <c r="ET93" s="817"/>
      <c r="EU93" s="817"/>
      <c r="EV93" s="817"/>
      <c r="EW93" s="817"/>
      <c r="EX93" s="817"/>
      <c r="EY93" s="817"/>
      <c r="EZ93" s="817"/>
      <c r="FA93" s="817"/>
      <c r="FB93" s="817"/>
      <c r="FC93" s="817"/>
      <c r="FD93" s="817"/>
      <c r="FE93" s="817"/>
      <c r="FF93" s="817"/>
      <c r="FG93" s="817"/>
      <c r="FH93" s="817"/>
      <c r="FI93" s="817"/>
      <c r="FJ93" s="817"/>
      <c r="FK93" s="817"/>
      <c r="FL93" s="817"/>
      <c r="FM93" s="817"/>
      <c r="FN93" s="817"/>
      <c r="FO93" s="817"/>
      <c r="FP93" s="817"/>
      <c r="FQ93" s="817"/>
      <c r="FR93" s="817"/>
      <c r="FS93" s="817"/>
      <c r="FT93" s="817"/>
      <c r="FU93" s="817"/>
      <c r="FV93" s="817"/>
      <c r="FW93" s="817"/>
      <c r="FX93" s="817"/>
      <c r="FY93" s="817"/>
      <c r="FZ93" s="817"/>
      <c r="GA93" s="817"/>
      <c r="GB93" s="817"/>
      <c r="GC93" s="817"/>
      <c r="GD93" s="817"/>
      <c r="GE93" s="817"/>
      <c r="GF93" s="817"/>
      <c r="GG93" s="817"/>
      <c r="GH93" s="817"/>
      <c r="GI93" s="817"/>
      <c r="GJ93" s="817"/>
      <c r="GK93" s="817"/>
      <c r="GL93" s="817"/>
      <c r="GM93" s="817"/>
      <c r="GN93" s="817"/>
      <c r="GO93" s="817"/>
      <c r="GP93" s="817"/>
      <c r="GQ93" s="817"/>
      <c r="GR93" s="817"/>
      <c r="GS93" s="817"/>
      <c r="GT93" s="817"/>
      <c r="GU93" s="817"/>
      <c r="GV93" s="817"/>
      <c r="GW93" s="817"/>
      <c r="GX93" s="817"/>
      <c r="GY93" s="817"/>
      <c r="GZ93" s="817"/>
      <c r="HA93" s="817"/>
      <c r="HB93" s="817"/>
      <c r="HC93" s="817"/>
      <c r="HD93" s="817"/>
      <c r="HE93" s="817"/>
      <c r="HF93" s="817"/>
      <c r="HG93" s="817"/>
      <c r="HH93" s="817"/>
      <c r="HI93" s="817"/>
      <c r="HJ93" s="817"/>
      <c r="HK93" s="817"/>
      <c r="HL93" s="817"/>
      <c r="HM93" s="817"/>
      <c r="HN93" s="817"/>
      <c r="HO93" s="817"/>
      <c r="HP93" s="817"/>
      <c r="HQ93" s="817"/>
      <c r="HR93" s="817"/>
      <c r="HS93" s="817"/>
      <c r="HT93" s="817"/>
      <c r="HU93" s="817"/>
      <c r="HV93" s="817"/>
      <c r="HW93" s="817"/>
      <c r="HX93" s="817"/>
      <c r="HY93" s="817"/>
      <c r="HZ93" s="817"/>
      <c r="IA93" s="817"/>
      <c r="IB93" s="817"/>
      <c r="IC93" s="817"/>
      <c r="ID93" s="817"/>
      <c r="IE93" s="817"/>
      <c r="IF93" s="817"/>
      <c r="IG93" s="817"/>
      <c r="IH93" s="817"/>
      <c r="II93" s="817"/>
      <c r="IJ93" s="817"/>
      <c r="IK93" s="817"/>
      <c r="IL93" s="817"/>
      <c r="IM93" s="817"/>
      <c r="IN93" s="817"/>
      <c r="IO93" s="817"/>
      <c r="IP93" s="817"/>
      <c r="IQ93" s="817"/>
      <c r="IR93" s="817"/>
      <c r="IS93" s="817"/>
      <c r="IT93" s="817"/>
      <c r="IU93" s="817"/>
      <c r="IV93" s="817"/>
    </row>
    <row r="94" spans="1:256" ht="10.5" customHeight="1">
      <c r="A94" s="803" t="s">
        <v>818</v>
      </c>
      <c r="B94" s="890">
        <v>731.9</v>
      </c>
      <c r="C94" s="890">
        <v>731.9</v>
      </c>
      <c r="D94" s="891">
        <v>731.9</v>
      </c>
      <c r="E94" s="891">
        <v>728.7</v>
      </c>
      <c r="F94" s="891">
        <v>728.2</v>
      </c>
      <c r="G94" s="891">
        <v>481</v>
      </c>
      <c r="H94" s="891">
        <v>466.2</v>
      </c>
      <c r="I94" s="891">
        <v>774.1</v>
      </c>
      <c r="J94" s="891">
        <v>790.3</v>
      </c>
      <c r="K94" s="891">
        <v>800.6</v>
      </c>
      <c r="L94" s="892">
        <v>779.9</v>
      </c>
      <c r="M94" s="893">
        <v>767.2</v>
      </c>
      <c r="N94" s="891">
        <v>663.9</v>
      </c>
      <c r="O94" s="817"/>
      <c r="P94" s="817"/>
      <c r="Q94" s="817"/>
      <c r="R94" s="817"/>
      <c r="S94" s="817"/>
      <c r="T94" s="817"/>
      <c r="U94" s="817"/>
      <c r="V94" s="817"/>
      <c r="W94" s="817"/>
      <c r="X94" s="817"/>
      <c r="Y94" s="817"/>
      <c r="Z94" s="817"/>
      <c r="AA94" s="817"/>
      <c r="AB94" s="817"/>
      <c r="AC94" s="817"/>
      <c r="AD94" s="817"/>
      <c r="AE94" s="817"/>
      <c r="AF94" s="817"/>
      <c r="AG94" s="817"/>
      <c r="AH94" s="817"/>
      <c r="AI94" s="817"/>
      <c r="AJ94" s="817"/>
      <c r="AK94" s="817"/>
      <c r="AL94" s="817"/>
      <c r="AM94" s="817"/>
      <c r="AN94" s="817"/>
      <c r="AO94" s="817"/>
      <c r="AP94" s="817"/>
      <c r="AQ94" s="817"/>
      <c r="AR94" s="817"/>
      <c r="AS94" s="817"/>
      <c r="AT94" s="817"/>
      <c r="AU94" s="817"/>
      <c r="AV94" s="817"/>
      <c r="AW94" s="817"/>
      <c r="AX94" s="817"/>
      <c r="AY94" s="817"/>
      <c r="AZ94" s="817"/>
      <c r="BA94" s="817"/>
      <c r="BB94" s="817"/>
      <c r="BC94" s="817"/>
      <c r="BD94" s="817"/>
      <c r="BE94" s="817"/>
      <c r="BF94" s="817"/>
      <c r="BG94" s="817"/>
      <c r="BH94" s="817"/>
      <c r="BI94" s="817"/>
      <c r="BJ94" s="817"/>
      <c r="BK94" s="817"/>
      <c r="BL94" s="817"/>
      <c r="BM94" s="817"/>
      <c r="BN94" s="817"/>
      <c r="BO94" s="817"/>
      <c r="BP94" s="817"/>
      <c r="BQ94" s="817"/>
      <c r="BR94" s="817"/>
      <c r="BS94" s="817"/>
      <c r="BT94" s="817"/>
      <c r="BU94" s="817"/>
      <c r="BV94" s="817"/>
      <c r="BW94" s="817"/>
      <c r="BX94" s="817"/>
      <c r="BY94" s="817"/>
      <c r="BZ94" s="817"/>
      <c r="CA94" s="817"/>
      <c r="CB94" s="817"/>
      <c r="CC94" s="817"/>
      <c r="CD94" s="817"/>
      <c r="CE94" s="817"/>
      <c r="CF94" s="817"/>
      <c r="CG94" s="817"/>
      <c r="CH94" s="817"/>
      <c r="CI94" s="817"/>
      <c r="CJ94" s="817"/>
      <c r="CK94" s="817"/>
      <c r="CL94" s="817"/>
      <c r="CM94" s="817"/>
      <c r="CN94" s="817"/>
      <c r="CO94" s="817"/>
      <c r="CP94" s="817"/>
      <c r="CQ94" s="817"/>
      <c r="CR94" s="817"/>
      <c r="CS94" s="817"/>
      <c r="CT94" s="817"/>
      <c r="CU94" s="817"/>
      <c r="CV94" s="817"/>
      <c r="CW94" s="817"/>
      <c r="CX94" s="817"/>
      <c r="CY94" s="817"/>
      <c r="CZ94" s="817"/>
      <c r="DA94" s="817"/>
      <c r="DB94" s="817"/>
      <c r="DC94" s="817"/>
      <c r="DD94" s="817"/>
      <c r="DE94" s="817"/>
      <c r="DF94" s="817"/>
      <c r="DG94" s="817"/>
      <c r="DH94" s="817"/>
      <c r="DI94" s="817"/>
      <c r="DJ94" s="817"/>
      <c r="DK94" s="817"/>
      <c r="DL94" s="817"/>
      <c r="DM94" s="817"/>
      <c r="DN94" s="817"/>
      <c r="DO94" s="817"/>
      <c r="DP94" s="817"/>
      <c r="DQ94" s="817"/>
      <c r="DR94" s="817"/>
      <c r="DS94" s="817"/>
      <c r="DT94" s="817"/>
      <c r="DU94" s="817"/>
      <c r="DV94" s="817"/>
      <c r="DW94" s="817"/>
      <c r="DX94" s="817"/>
      <c r="DY94" s="817"/>
      <c r="DZ94" s="817"/>
      <c r="EA94" s="817"/>
      <c r="EB94" s="817"/>
      <c r="EC94" s="817"/>
      <c r="ED94" s="817"/>
      <c r="EE94" s="817"/>
      <c r="EF94" s="817"/>
      <c r="EG94" s="817"/>
      <c r="EH94" s="817"/>
      <c r="EI94" s="817"/>
      <c r="EJ94" s="817"/>
      <c r="EK94" s="817"/>
      <c r="EL94" s="817"/>
      <c r="EM94" s="817"/>
      <c r="EN94" s="817"/>
      <c r="EO94" s="817"/>
      <c r="EP94" s="817"/>
      <c r="EQ94" s="817"/>
      <c r="ER94" s="817"/>
      <c r="ES94" s="817"/>
      <c r="ET94" s="817"/>
      <c r="EU94" s="817"/>
      <c r="EV94" s="817"/>
      <c r="EW94" s="817"/>
      <c r="EX94" s="817"/>
      <c r="EY94" s="817"/>
      <c r="EZ94" s="817"/>
      <c r="FA94" s="817"/>
      <c r="FB94" s="817"/>
      <c r="FC94" s="817"/>
      <c r="FD94" s="817"/>
      <c r="FE94" s="817"/>
      <c r="FF94" s="817"/>
      <c r="FG94" s="817"/>
      <c r="FH94" s="817"/>
      <c r="FI94" s="817"/>
      <c r="FJ94" s="817"/>
      <c r="FK94" s="817"/>
      <c r="FL94" s="817"/>
      <c r="FM94" s="817"/>
      <c r="FN94" s="817"/>
      <c r="FO94" s="817"/>
      <c r="FP94" s="817"/>
      <c r="FQ94" s="817"/>
      <c r="FR94" s="817"/>
      <c r="FS94" s="817"/>
      <c r="FT94" s="817"/>
      <c r="FU94" s="817"/>
      <c r="FV94" s="817"/>
      <c r="FW94" s="817"/>
      <c r="FX94" s="817"/>
      <c r="FY94" s="817"/>
      <c r="FZ94" s="817"/>
      <c r="GA94" s="817"/>
      <c r="GB94" s="817"/>
      <c r="GC94" s="817"/>
      <c r="GD94" s="817"/>
      <c r="GE94" s="817"/>
      <c r="GF94" s="817"/>
      <c r="GG94" s="817"/>
      <c r="GH94" s="817"/>
      <c r="GI94" s="817"/>
      <c r="GJ94" s="817"/>
      <c r="GK94" s="817"/>
      <c r="GL94" s="817"/>
      <c r="GM94" s="817"/>
      <c r="GN94" s="817"/>
      <c r="GO94" s="817"/>
      <c r="GP94" s="817"/>
      <c r="GQ94" s="817"/>
      <c r="GR94" s="817"/>
      <c r="GS94" s="817"/>
      <c r="GT94" s="817"/>
      <c r="GU94" s="817"/>
      <c r="GV94" s="817"/>
      <c r="GW94" s="817"/>
      <c r="GX94" s="817"/>
      <c r="GY94" s="817"/>
      <c r="GZ94" s="817"/>
      <c r="HA94" s="817"/>
      <c r="HB94" s="817"/>
      <c r="HC94" s="817"/>
      <c r="HD94" s="817"/>
      <c r="HE94" s="817"/>
      <c r="HF94" s="817"/>
      <c r="HG94" s="817"/>
      <c r="HH94" s="817"/>
      <c r="HI94" s="817"/>
      <c r="HJ94" s="817"/>
      <c r="HK94" s="817"/>
      <c r="HL94" s="817"/>
      <c r="HM94" s="817"/>
      <c r="HN94" s="817"/>
      <c r="HO94" s="817"/>
      <c r="HP94" s="817"/>
      <c r="HQ94" s="817"/>
      <c r="HR94" s="817"/>
      <c r="HS94" s="817"/>
      <c r="HT94" s="817"/>
      <c r="HU94" s="817"/>
      <c r="HV94" s="817"/>
      <c r="HW94" s="817"/>
      <c r="HX94" s="817"/>
      <c r="HY94" s="817"/>
      <c r="HZ94" s="817"/>
      <c r="IA94" s="817"/>
      <c r="IB94" s="817"/>
      <c r="IC94" s="817"/>
      <c r="ID94" s="817"/>
      <c r="IE94" s="817"/>
      <c r="IF94" s="817"/>
      <c r="IG94" s="817"/>
      <c r="IH94" s="817"/>
      <c r="II94" s="817"/>
      <c r="IJ94" s="817"/>
      <c r="IK94" s="817"/>
      <c r="IL94" s="817"/>
      <c r="IM94" s="817"/>
      <c r="IN94" s="817"/>
      <c r="IO94" s="817"/>
      <c r="IP94" s="817"/>
      <c r="IQ94" s="817"/>
      <c r="IR94" s="817"/>
      <c r="IS94" s="817"/>
      <c r="IT94" s="817"/>
      <c r="IU94" s="817"/>
      <c r="IV94" s="817"/>
    </row>
    <row r="95" spans="1:256" ht="10.5" customHeight="1">
      <c r="A95" s="803" t="s">
        <v>819</v>
      </c>
      <c r="B95" s="890">
        <v>168.8</v>
      </c>
      <c r="C95" s="890">
        <v>168.8</v>
      </c>
      <c r="D95" s="891">
        <v>168.8</v>
      </c>
      <c r="E95" s="891">
        <v>171.9</v>
      </c>
      <c r="F95" s="891">
        <v>170.8</v>
      </c>
      <c r="G95" s="891">
        <v>129.5</v>
      </c>
      <c r="H95" s="891">
        <v>127.8</v>
      </c>
      <c r="I95" s="891">
        <v>142.80000000000001</v>
      </c>
      <c r="J95" s="891">
        <v>131.19999999999999</v>
      </c>
      <c r="K95" s="891">
        <v>189.7</v>
      </c>
      <c r="L95" s="892">
        <v>187</v>
      </c>
      <c r="M95" s="893">
        <v>193.7</v>
      </c>
      <c r="N95" s="891">
        <v>194.5</v>
      </c>
      <c r="O95" s="817"/>
      <c r="P95" s="817"/>
      <c r="Q95" s="817"/>
      <c r="R95" s="817"/>
      <c r="S95" s="817"/>
      <c r="T95" s="817"/>
      <c r="U95" s="817"/>
      <c r="V95" s="817"/>
      <c r="W95" s="817"/>
      <c r="X95" s="817"/>
      <c r="Y95" s="817"/>
      <c r="Z95" s="817"/>
      <c r="AA95" s="817"/>
      <c r="AB95" s="817"/>
      <c r="AC95" s="817"/>
      <c r="AD95" s="817"/>
      <c r="AE95" s="817"/>
      <c r="AF95" s="817"/>
      <c r="AG95" s="817"/>
      <c r="AH95" s="817"/>
      <c r="AI95" s="817"/>
      <c r="AJ95" s="817"/>
      <c r="AK95" s="817"/>
      <c r="AL95" s="817"/>
      <c r="AM95" s="817"/>
      <c r="AN95" s="817"/>
      <c r="AO95" s="817"/>
      <c r="AP95" s="817"/>
      <c r="AQ95" s="817"/>
      <c r="AR95" s="817"/>
      <c r="AS95" s="817"/>
      <c r="AT95" s="817"/>
      <c r="AU95" s="817"/>
      <c r="AV95" s="817"/>
      <c r="AW95" s="817"/>
      <c r="AX95" s="817"/>
      <c r="AY95" s="817"/>
      <c r="AZ95" s="817"/>
      <c r="BA95" s="817"/>
      <c r="BB95" s="817"/>
      <c r="BC95" s="817"/>
      <c r="BD95" s="817"/>
      <c r="BE95" s="817"/>
      <c r="BF95" s="817"/>
      <c r="BG95" s="817"/>
      <c r="BH95" s="817"/>
      <c r="BI95" s="817"/>
      <c r="BJ95" s="817"/>
      <c r="BK95" s="817"/>
      <c r="BL95" s="817"/>
      <c r="BM95" s="817"/>
      <c r="BN95" s="817"/>
      <c r="BO95" s="817"/>
      <c r="BP95" s="817"/>
      <c r="BQ95" s="817"/>
      <c r="BR95" s="817"/>
      <c r="BS95" s="817"/>
      <c r="BT95" s="817"/>
      <c r="BU95" s="817"/>
      <c r="BV95" s="817"/>
      <c r="BW95" s="817"/>
      <c r="BX95" s="817"/>
      <c r="BY95" s="817"/>
      <c r="BZ95" s="817"/>
      <c r="CA95" s="817"/>
      <c r="CB95" s="817"/>
      <c r="CC95" s="817"/>
      <c r="CD95" s="817"/>
      <c r="CE95" s="817"/>
      <c r="CF95" s="817"/>
      <c r="CG95" s="817"/>
      <c r="CH95" s="817"/>
      <c r="CI95" s="817"/>
      <c r="CJ95" s="817"/>
      <c r="CK95" s="817"/>
      <c r="CL95" s="817"/>
      <c r="CM95" s="817"/>
      <c r="CN95" s="817"/>
      <c r="CO95" s="817"/>
      <c r="CP95" s="817"/>
      <c r="CQ95" s="817"/>
      <c r="CR95" s="817"/>
      <c r="CS95" s="817"/>
      <c r="CT95" s="817"/>
      <c r="CU95" s="817"/>
      <c r="CV95" s="817"/>
      <c r="CW95" s="817"/>
      <c r="CX95" s="817"/>
      <c r="CY95" s="817"/>
      <c r="CZ95" s="817"/>
      <c r="DA95" s="817"/>
      <c r="DB95" s="817"/>
      <c r="DC95" s="817"/>
      <c r="DD95" s="817"/>
      <c r="DE95" s="817"/>
      <c r="DF95" s="817"/>
      <c r="DG95" s="817"/>
      <c r="DH95" s="817"/>
      <c r="DI95" s="817"/>
      <c r="DJ95" s="817"/>
      <c r="DK95" s="817"/>
      <c r="DL95" s="817"/>
      <c r="DM95" s="817"/>
      <c r="DN95" s="817"/>
      <c r="DO95" s="817"/>
      <c r="DP95" s="817"/>
      <c r="DQ95" s="817"/>
      <c r="DR95" s="817"/>
      <c r="DS95" s="817"/>
      <c r="DT95" s="817"/>
      <c r="DU95" s="817"/>
      <c r="DV95" s="817"/>
      <c r="DW95" s="817"/>
      <c r="DX95" s="817"/>
      <c r="DY95" s="817"/>
      <c r="DZ95" s="817"/>
      <c r="EA95" s="817"/>
      <c r="EB95" s="817"/>
      <c r="EC95" s="817"/>
      <c r="ED95" s="817"/>
      <c r="EE95" s="817"/>
      <c r="EF95" s="817"/>
      <c r="EG95" s="817"/>
      <c r="EH95" s="817"/>
      <c r="EI95" s="817"/>
      <c r="EJ95" s="817"/>
      <c r="EK95" s="817"/>
      <c r="EL95" s="817"/>
      <c r="EM95" s="817"/>
      <c r="EN95" s="817"/>
      <c r="EO95" s="817"/>
      <c r="EP95" s="817"/>
      <c r="EQ95" s="817"/>
      <c r="ER95" s="817"/>
      <c r="ES95" s="817"/>
      <c r="ET95" s="817"/>
      <c r="EU95" s="817"/>
      <c r="EV95" s="817"/>
      <c r="EW95" s="817"/>
      <c r="EX95" s="817"/>
      <c r="EY95" s="817"/>
      <c r="EZ95" s="817"/>
      <c r="FA95" s="817"/>
      <c r="FB95" s="817"/>
      <c r="FC95" s="817"/>
      <c r="FD95" s="817"/>
      <c r="FE95" s="817"/>
      <c r="FF95" s="817"/>
      <c r="FG95" s="817"/>
      <c r="FH95" s="817"/>
      <c r="FI95" s="817"/>
      <c r="FJ95" s="817"/>
      <c r="FK95" s="817"/>
      <c r="FL95" s="817"/>
      <c r="FM95" s="817"/>
      <c r="FN95" s="817"/>
      <c r="FO95" s="817"/>
      <c r="FP95" s="817"/>
      <c r="FQ95" s="817"/>
      <c r="FR95" s="817"/>
      <c r="FS95" s="817"/>
      <c r="FT95" s="817"/>
      <c r="FU95" s="817"/>
      <c r="FV95" s="817"/>
      <c r="FW95" s="817"/>
      <c r="FX95" s="817"/>
      <c r="FY95" s="817"/>
      <c r="FZ95" s="817"/>
      <c r="GA95" s="817"/>
      <c r="GB95" s="817"/>
      <c r="GC95" s="817"/>
      <c r="GD95" s="817"/>
      <c r="GE95" s="817"/>
      <c r="GF95" s="817"/>
      <c r="GG95" s="817"/>
      <c r="GH95" s="817"/>
      <c r="GI95" s="817"/>
      <c r="GJ95" s="817"/>
      <c r="GK95" s="817"/>
      <c r="GL95" s="817"/>
      <c r="GM95" s="817"/>
      <c r="GN95" s="817"/>
      <c r="GO95" s="817"/>
      <c r="GP95" s="817"/>
      <c r="GQ95" s="817"/>
      <c r="GR95" s="817"/>
      <c r="GS95" s="817"/>
      <c r="GT95" s="817"/>
      <c r="GU95" s="817"/>
      <c r="GV95" s="817"/>
      <c r="GW95" s="817"/>
      <c r="GX95" s="817"/>
      <c r="GY95" s="817"/>
      <c r="GZ95" s="817"/>
      <c r="HA95" s="817"/>
      <c r="HB95" s="817"/>
      <c r="HC95" s="817"/>
      <c r="HD95" s="817"/>
      <c r="HE95" s="817"/>
      <c r="HF95" s="817"/>
      <c r="HG95" s="817"/>
      <c r="HH95" s="817"/>
      <c r="HI95" s="817"/>
      <c r="HJ95" s="817"/>
      <c r="HK95" s="817"/>
      <c r="HL95" s="817"/>
      <c r="HM95" s="817"/>
      <c r="HN95" s="817"/>
      <c r="HO95" s="817"/>
      <c r="HP95" s="817"/>
      <c r="HQ95" s="817"/>
      <c r="HR95" s="817"/>
      <c r="HS95" s="817"/>
      <c r="HT95" s="817"/>
      <c r="HU95" s="817"/>
      <c r="HV95" s="817"/>
      <c r="HW95" s="817"/>
      <c r="HX95" s="817"/>
      <c r="HY95" s="817"/>
      <c r="HZ95" s="817"/>
      <c r="IA95" s="817"/>
      <c r="IB95" s="817"/>
      <c r="IC95" s="817"/>
      <c r="ID95" s="817"/>
      <c r="IE95" s="817"/>
      <c r="IF95" s="817"/>
      <c r="IG95" s="817"/>
      <c r="IH95" s="817"/>
      <c r="II95" s="817"/>
      <c r="IJ95" s="817"/>
      <c r="IK95" s="817"/>
      <c r="IL95" s="817"/>
      <c r="IM95" s="817"/>
      <c r="IN95" s="817"/>
      <c r="IO95" s="817"/>
      <c r="IP95" s="817"/>
      <c r="IQ95" s="817"/>
      <c r="IR95" s="817"/>
      <c r="IS95" s="817"/>
      <c r="IT95" s="817"/>
      <c r="IU95" s="817"/>
      <c r="IV95" s="817"/>
    </row>
    <row r="96" spans="1:256" ht="10.5" customHeight="1">
      <c r="A96" s="803" t="s">
        <v>857</v>
      </c>
      <c r="B96" s="890">
        <v>1402.9</v>
      </c>
      <c r="C96" s="890">
        <v>1642.7</v>
      </c>
      <c r="D96" s="891">
        <v>1807</v>
      </c>
      <c r="E96" s="891">
        <v>1901.7</v>
      </c>
      <c r="F96" s="891">
        <v>2408.6</v>
      </c>
      <c r="G96" s="891">
        <v>1937.8</v>
      </c>
      <c r="H96" s="891">
        <v>2209.1</v>
      </c>
      <c r="I96" s="891">
        <v>2457.8000000000002</v>
      </c>
      <c r="J96" s="891">
        <v>2359.1999999999998</v>
      </c>
      <c r="K96" s="891">
        <v>2263.4</v>
      </c>
      <c r="L96" s="893">
        <v>2015.6</v>
      </c>
      <c r="M96" s="893">
        <v>2182.6</v>
      </c>
      <c r="N96" s="891">
        <v>2256.5</v>
      </c>
      <c r="O96" s="817"/>
      <c r="P96" s="817"/>
      <c r="Q96" s="817"/>
      <c r="R96" s="817"/>
      <c r="S96" s="817"/>
      <c r="T96" s="817"/>
      <c r="U96" s="817"/>
      <c r="V96" s="817"/>
      <c r="W96" s="817"/>
      <c r="X96" s="817"/>
      <c r="Y96" s="817"/>
      <c r="Z96" s="817"/>
      <c r="AA96" s="817"/>
      <c r="AB96" s="817"/>
      <c r="AC96" s="817"/>
      <c r="AD96" s="817"/>
      <c r="AE96" s="817"/>
      <c r="AF96" s="817"/>
      <c r="AG96" s="817"/>
      <c r="AH96" s="817"/>
      <c r="AI96" s="817"/>
      <c r="AJ96" s="817"/>
      <c r="AK96" s="817"/>
      <c r="AL96" s="817"/>
      <c r="AM96" s="817"/>
      <c r="AN96" s="817"/>
      <c r="AO96" s="817"/>
      <c r="AP96" s="817"/>
      <c r="AQ96" s="817"/>
      <c r="AR96" s="817"/>
      <c r="AS96" s="817"/>
      <c r="AT96" s="817"/>
      <c r="AU96" s="817"/>
      <c r="AV96" s="817"/>
      <c r="AW96" s="817"/>
      <c r="AX96" s="817"/>
      <c r="AY96" s="817"/>
      <c r="AZ96" s="817"/>
      <c r="BA96" s="817"/>
      <c r="BB96" s="817"/>
      <c r="BC96" s="817"/>
      <c r="BD96" s="817"/>
      <c r="BE96" s="817"/>
      <c r="BF96" s="817"/>
      <c r="BG96" s="817"/>
      <c r="BH96" s="817"/>
      <c r="BI96" s="817"/>
      <c r="BJ96" s="817"/>
      <c r="BK96" s="817"/>
      <c r="BL96" s="817"/>
      <c r="BM96" s="817"/>
      <c r="BN96" s="817"/>
      <c r="BO96" s="817"/>
      <c r="BP96" s="817"/>
      <c r="BQ96" s="817"/>
      <c r="BR96" s="817"/>
      <c r="BS96" s="817"/>
      <c r="BT96" s="817"/>
      <c r="BU96" s="817"/>
      <c r="BV96" s="817"/>
      <c r="BW96" s="817"/>
      <c r="BX96" s="817"/>
      <c r="BY96" s="817"/>
      <c r="BZ96" s="817"/>
      <c r="CA96" s="817"/>
      <c r="CB96" s="817"/>
      <c r="CC96" s="817"/>
      <c r="CD96" s="817"/>
      <c r="CE96" s="817"/>
      <c r="CF96" s="817"/>
      <c r="CG96" s="817"/>
      <c r="CH96" s="817"/>
      <c r="CI96" s="817"/>
      <c r="CJ96" s="817"/>
      <c r="CK96" s="817"/>
      <c r="CL96" s="817"/>
      <c r="CM96" s="817"/>
      <c r="CN96" s="817"/>
      <c r="CO96" s="817"/>
      <c r="CP96" s="817"/>
      <c r="CQ96" s="817"/>
      <c r="CR96" s="817"/>
      <c r="CS96" s="817"/>
      <c r="CT96" s="817"/>
      <c r="CU96" s="817"/>
      <c r="CV96" s="817"/>
      <c r="CW96" s="817"/>
      <c r="CX96" s="817"/>
      <c r="CY96" s="817"/>
      <c r="CZ96" s="817"/>
      <c r="DA96" s="817"/>
      <c r="DB96" s="817"/>
      <c r="DC96" s="817"/>
      <c r="DD96" s="817"/>
      <c r="DE96" s="817"/>
      <c r="DF96" s="817"/>
      <c r="DG96" s="817"/>
      <c r="DH96" s="817"/>
      <c r="DI96" s="817"/>
      <c r="DJ96" s="817"/>
      <c r="DK96" s="817"/>
      <c r="DL96" s="817"/>
      <c r="DM96" s="817"/>
      <c r="DN96" s="817"/>
      <c r="DO96" s="817"/>
      <c r="DP96" s="817"/>
      <c r="DQ96" s="817"/>
      <c r="DR96" s="817"/>
      <c r="DS96" s="817"/>
      <c r="DT96" s="817"/>
      <c r="DU96" s="817"/>
      <c r="DV96" s="817"/>
      <c r="DW96" s="817"/>
      <c r="DX96" s="817"/>
      <c r="DY96" s="817"/>
      <c r="DZ96" s="817"/>
      <c r="EA96" s="817"/>
      <c r="EB96" s="817"/>
      <c r="EC96" s="817"/>
      <c r="ED96" s="817"/>
      <c r="EE96" s="817"/>
      <c r="EF96" s="817"/>
      <c r="EG96" s="817"/>
      <c r="EH96" s="817"/>
      <c r="EI96" s="817"/>
      <c r="EJ96" s="817"/>
      <c r="EK96" s="817"/>
      <c r="EL96" s="817"/>
      <c r="EM96" s="817"/>
      <c r="EN96" s="817"/>
      <c r="EO96" s="817"/>
      <c r="EP96" s="817"/>
      <c r="EQ96" s="817"/>
      <c r="ER96" s="817"/>
      <c r="ES96" s="817"/>
      <c r="ET96" s="817"/>
      <c r="EU96" s="817"/>
      <c r="EV96" s="817"/>
      <c r="EW96" s="817"/>
      <c r="EX96" s="817"/>
      <c r="EY96" s="817"/>
      <c r="EZ96" s="817"/>
      <c r="FA96" s="817"/>
      <c r="FB96" s="817"/>
      <c r="FC96" s="817"/>
      <c r="FD96" s="817"/>
      <c r="FE96" s="817"/>
      <c r="FF96" s="817"/>
      <c r="FG96" s="817"/>
      <c r="FH96" s="817"/>
      <c r="FI96" s="817"/>
      <c r="FJ96" s="817"/>
      <c r="FK96" s="817"/>
      <c r="FL96" s="817"/>
      <c r="FM96" s="817"/>
      <c r="FN96" s="817"/>
      <c r="FO96" s="817"/>
      <c r="FP96" s="817"/>
      <c r="FQ96" s="817"/>
      <c r="FR96" s="817"/>
      <c r="FS96" s="817"/>
      <c r="FT96" s="817"/>
      <c r="FU96" s="817"/>
      <c r="FV96" s="817"/>
      <c r="FW96" s="817"/>
      <c r="FX96" s="817"/>
      <c r="FY96" s="817"/>
      <c r="FZ96" s="817"/>
      <c r="GA96" s="817"/>
      <c r="GB96" s="817"/>
      <c r="GC96" s="817"/>
      <c r="GD96" s="817"/>
      <c r="GE96" s="817"/>
      <c r="GF96" s="817"/>
      <c r="GG96" s="817"/>
      <c r="GH96" s="817"/>
      <c r="GI96" s="817"/>
      <c r="GJ96" s="817"/>
      <c r="GK96" s="817"/>
      <c r="GL96" s="817"/>
      <c r="GM96" s="817"/>
      <c r="GN96" s="817"/>
      <c r="GO96" s="817"/>
      <c r="GP96" s="817"/>
      <c r="GQ96" s="817"/>
      <c r="GR96" s="817"/>
      <c r="GS96" s="817"/>
      <c r="GT96" s="817"/>
      <c r="GU96" s="817"/>
      <c r="GV96" s="817"/>
      <c r="GW96" s="817"/>
      <c r="GX96" s="817"/>
      <c r="GY96" s="817"/>
      <c r="GZ96" s="817"/>
      <c r="HA96" s="817"/>
      <c r="HB96" s="817"/>
      <c r="HC96" s="817"/>
      <c r="HD96" s="817"/>
      <c r="HE96" s="817"/>
      <c r="HF96" s="817"/>
      <c r="HG96" s="817"/>
      <c r="HH96" s="817"/>
      <c r="HI96" s="817"/>
      <c r="HJ96" s="817"/>
      <c r="HK96" s="817"/>
      <c r="HL96" s="817"/>
      <c r="HM96" s="817"/>
      <c r="HN96" s="817"/>
      <c r="HO96" s="817"/>
      <c r="HP96" s="817"/>
      <c r="HQ96" s="817"/>
      <c r="HR96" s="817"/>
      <c r="HS96" s="817"/>
      <c r="HT96" s="817"/>
      <c r="HU96" s="817"/>
      <c r="HV96" s="817"/>
      <c r="HW96" s="817"/>
      <c r="HX96" s="817"/>
      <c r="HY96" s="817"/>
      <c r="HZ96" s="817"/>
      <c r="IA96" s="817"/>
      <c r="IB96" s="817"/>
      <c r="IC96" s="817"/>
      <c r="ID96" s="817"/>
      <c r="IE96" s="817"/>
      <c r="IF96" s="817"/>
      <c r="IG96" s="817"/>
      <c r="IH96" s="817"/>
      <c r="II96" s="817"/>
      <c r="IJ96" s="817"/>
      <c r="IK96" s="817"/>
      <c r="IL96" s="817"/>
      <c r="IM96" s="817"/>
      <c r="IN96" s="817"/>
      <c r="IO96" s="817"/>
      <c r="IP96" s="817"/>
      <c r="IQ96" s="817"/>
      <c r="IR96" s="817"/>
      <c r="IS96" s="817"/>
      <c r="IT96" s="817"/>
      <c r="IU96" s="817"/>
      <c r="IV96" s="817"/>
    </row>
    <row r="97" spans="1:256" ht="10.5" customHeight="1">
      <c r="A97" s="803" t="s">
        <v>821</v>
      </c>
      <c r="B97" s="890">
        <v>239.6</v>
      </c>
      <c r="C97" s="890">
        <v>212</v>
      </c>
      <c r="D97" s="891">
        <v>267.7</v>
      </c>
      <c r="E97" s="891">
        <v>229.4</v>
      </c>
      <c r="F97" s="891">
        <v>123.2</v>
      </c>
      <c r="G97" s="891">
        <v>102</v>
      </c>
      <c r="H97" s="891">
        <v>71.900000000000006</v>
      </c>
      <c r="I97" s="891">
        <v>43.5</v>
      </c>
      <c r="J97" s="891">
        <v>111.3</v>
      </c>
      <c r="K97" s="891">
        <v>69.400000000000006</v>
      </c>
      <c r="L97" s="893">
        <v>59</v>
      </c>
      <c r="M97" s="893">
        <v>58</v>
      </c>
      <c r="N97" s="891">
        <v>69.2</v>
      </c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817"/>
      <c r="AB97" s="817"/>
      <c r="AC97" s="817"/>
      <c r="AD97" s="817"/>
      <c r="AE97" s="817"/>
      <c r="AF97" s="817"/>
      <c r="AG97" s="817"/>
      <c r="AH97" s="817"/>
      <c r="AI97" s="817"/>
      <c r="AJ97" s="817"/>
      <c r="AK97" s="817"/>
      <c r="AL97" s="817"/>
      <c r="AM97" s="817"/>
      <c r="AN97" s="817"/>
      <c r="AO97" s="817"/>
      <c r="AP97" s="817"/>
      <c r="AQ97" s="817"/>
      <c r="AR97" s="817"/>
      <c r="AS97" s="817"/>
      <c r="AT97" s="817"/>
      <c r="AU97" s="817"/>
      <c r="AV97" s="817"/>
      <c r="AW97" s="817"/>
      <c r="AX97" s="817"/>
      <c r="AY97" s="817"/>
      <c r="AZ97" s="817"/>
      <c r="BA97" s="817"/>
      <c r="BB97" s="817"/>
      <c r="BC97" s="817"/>
      <c r="BD97" s="817"/>
      <c r="BE97" s="817"/>
      <c r="BF97" s="817"/>
      <c r="BG97" s="817"/>
      <c r="BH97" s="817"/>
      <c r="BI97" s="817"/>
      <c r="BJ97" s="817"/>
      <c r="BK97" s="817"/>
      <c r="BL97" s="817"/>
      <c r="BM97" s="817"/>
      <c r="BN97" s="817"/>
      <c r="BO97" s="817"/>
      <c r="BP97" s="817"/>
      <c r="BQ97" s="817"/>
      <c r="BR97" s="817"/>
      <c r="BS97" s="817"/>
      <c r="BT97" s="817"/>
      <c r="BU97" s="817"/>
      <c r="BV97" s="817"/>
      <c r="BW97" s="817"/>
      <c r="BX97" s="817"/>
      <c r="BY97" s="817"/>
      <c r="BZ97" s="817"/>
      <c r="CA97" s="817"/>
      <c r="CB97" s="817"/>
      <c r="CC97" s="817"/>
      <c r="CD97" s="817"/>
      <c r="CE97" s="817"/>
      <c r="CF97" s="817"/>
      <c r="CG97" s="817"/>
      <c r="CH97" s="817"/>
      <c r="CI97" s="817"/>
      <c r="CJ97" s="817"/>
      <c r="CK97" s="817"/>
      <c r="CL97" s="817"/>
      <c r="CM97" s="817"/>
      <c r="CN97" s="817"/>
      <c r="CO97" s="817"/>
      <c r="CP97" s="817"/>
      <c r="CQ97" s="817"/>
      <c r="CR97" s="817"/>
      <c r="CS97" s="817"/>
      <c r="CT97" s="817"/>
      <c r="CU97" s="817"/>
      <c r="CV97" s="817"/>
      <c r="CW97" s="817"/>
      <c r="CX97" s="817"/>
      <c r="CY97" s="817"/>
      <c r="CZ97" s="817"/>
      <c r="DA97" s="817"/>
      <c r="DB97" s="817"/>
      <c r="DC97" s="817"/>
      <c r="DD97" s="817"/>
      <c r="DE97" s="817"/>
      <c r="DF97" s="817"/>
      <c r="DG97" s="817"/>
      <c r="DH97" s="817"/>
      <c r="DI97" s="817"/>
      <c r="DJ97" s="817"/>
      <c r="DK97" s="817"/>
      <c r="DL97" s="817"/>
      <c r="DM97" s="817"/>
      <c r="DN97" s="817"/>
      <c r="DO97" s="817"/>
      <c r="DP97" s="817"/>
      <c r="DQ97" s="817"/>
      <c r="DR97" s="817"/>
      <c r="DS97" s="817"/>
      <c r="DT97" s="817"/>
      <c r="DU97" s="817"/>
      <c r="DV97" s="817"/>
      <c r="DW97" s="817"/>
      <c r="DX97" s="817"/>
      <c r="DY97" s="817"/>
      <c r="DZ97" s="817"/>
      <c r="EA97" s="817"/>
      <c r="EB97" s="817"/>
      <c r="EC97" s="817"/>
      <c r="ED97" s="817"/>
      <c r="EE97" s="817"/>
      <c r="EF97" s="817"/>
      <c r="EG97" s="817"/>
      <c r="EH97" s="817"/>
      <c r="EI97" s="817"/>
      <c r="EJ97" s="817"/>
      <c r="EK97" s="817"/>
      <c r="EL97" s="817"/>
      <c r="EM97" s="817"/>
      <c r="EN97" s="817"/>
      <c r="EO97" s="817"/>
      <c r="EP97" s="817"/>
      <c r="EQ97" s="817"/>
      <c r="ER97" s="817"/>
      <c r="ES97" s="817"/>
      <c r="ET97" s="817"/>
      <c r="EU97" s="817"/>
      <c r="EV97" s="817"/>
      <c r="EW97" s="817"/>
      <c r="EX97" s="817"/>
      <c r="EY97" s="817"/>
      <c r="EZ97" s="817"/>
      <c r="FA97" s="817"/>
      <c r="FB97" s="817"/>
      <c r="FC97" s="817"/>
      <c r="FD97" s="817"/>
      <c r="FE97" s="817"/>
      <c r="FF97" s="817"/>
      <c r="FG97" s="817"/>
      <c r="FH97" s="817"/>
      <c r="FI97" s="817"/>
      <c r="FJ97" s="817"/>
      <c r="FK97" s="817"/>
      <c r="FL97" s="817"/>
      <c r="FM97" s="817"/>
      <c r="FN97" s="817"/>
      <c r="FO97" s="817"/>
      <c r="FP97" s="817"/>
      <c r="FQ97" s="817"/>
      <c r="FR97" s="817"/>
      <c r="FS97" s="817"/>
      <c r="FT97" s="817"/>
      <c r="FU97" s="817"/>
      <c r="FV97" s="817"/>
      <c r="FW97" s="817"/>
      <c r="FX97" s="817"/>
      <c r="FY97" s="817"/>
      <c r="FZ97" s="817"/>
      <c r="GA97" s="817"/>
      <c r="GB97" s="817"/>
      <c r="GC97" s="817"/>
      <c r="GD97" s="817"/>
      <c r="GE97" s="817"/>
      <c r="GF97" s="817"/>
      <c r="GG97" s="817"/>
      <c r="GH97" s="817"/>
      <c r="GI97" s="817"/>
      <c r="GJ97" s="817"/>
      <c r="GK97" s="817"/>
      <c r="GL97" s="817"/>
      <c r="GM97" s="817"/>
      <c r="GN97" s="817"/>
      <c r="GO97" s="817"/>
      <c r="GP97" s="817"/>
      <c r="GQ97" s="817"/>
      <c r="GR97" s="817"/>
      <c r="GS97" s="817"/>
      <c r="GT97" s="817"/>
      <c r="GU97" s="817"/>
      <c r="GV97" s="817"/>
      <c r="GW97" s="817"/>
      <c r="GX97" s="817"/>
      <c r="GY97" s="817"/>
      <c r="GZ97" s="817"/>
      <c r="HA97" s="817"/>
      <c r="HB97" s="817"/>
      <c r="HC97" s="817"/>
      <c r="HD97" s="817"/>
      <c r="HE97" s="817"/>
      <c r="HF97" s="817"/>
      <c r="HG97" s="817"/>
      <c r="HH97" s="817"/>
      <c r="HI97" s="817"/>
      <c r="HJ97" s="817"/>
      <c r="HK97" s="817"/>
      <c r="HL97" s="817"/>
      <c r="HM97" s="817"/>
      <c r="HN97" s="817"/>
      <c r="HO97" s="817"/>
      <c r="HP97" s="817"/>
      <c r="HQ97" s="817"/>
      <c r="HR97" s="817"/>
      <c r="HS97" s="817"/>
      <c r="HT97" s="817"/>
      <c r="HU97" s="817"/>
      <c r="HV97" s="817"/>
      <c r="HW97" s="817"/>
      <c r="HX97" s="817"/>
      <c r="HY97" s="817"/>
      <c r="HZ97" s="817"/>
      <c r="IA97" s="817"/>
      <c r="IB97" s="817"/>
      <c r="IC97" s="817"/>
      <c r="ID97" s="817"/>
      <c r="IE97" s="817"/>
      <c r="IF97" s="817"/>
      <c r="IG97" s="817"/>
      <c r="IH97" s="817"/>
      <c r="II97" s="817"/>
      <c r="IJ97" s="817"/>
      <c r="IK97" s="817"/>
      <c r="IL97" s="817"/>
      <c r="IM97" s="817"/>
      <c r="IN97" s="817"/>
      <c r="IO97" s="817"/>
      <c r="IP97" s="817"/>
      <c r="IQ97" s="817"/>
      <c r="IR97" s="817"/>
      <c r="IS97" s="817"/>
      <c r="IT97" s="817"/>
      <c r="IU97" s="817"/>
      <c r="IV97" s="817"/>
    </row>
    <row r="98" spans="1:256" ht="10.5" customHeight="1">
      <c r="A98" s="852" t="s">
        <v>833</v>
      </c>
      <c r="B98" s="910">
        <v>782.6</v>
      </c>
      <c r="C98" s="910">
        <v>870.6</v>
      </c>
      <c r="D98" s="911">
        <v>953.8</v>
      </c>
      <c r="E98" s="911">
        <v>1129.4000000000001</v>
      </c>
      <c r="F98" s="911">
        <v>1256.5</v>
      </c>
      <c r="G98" s="911">
        <f>1264.9+1.3+4.3</f>
        <v>1270.5</v>
      </c>
      <c r="H98" s="911">
        <f>1357.3+7.3+0.5</f>
        <v>1365.1</v>
      </c>
      <c r="I98" s="911">
        <v>1586.9</v>
      </c>
      <c r="J98" s="911">
        <f>1631.7+31.1</f>
        <v>1662.8</v>
      </c>
      <c r="K98" s="911">
        <v>1770.1</v>
      </c>
      <c r="L98" s="912">
        <v>1809.8</v>
      </c>
      <c r="M98" s="912">
        <v>1850</v>
      </c>
      <c r="N98" s="911">
        <v>1886.8</v>
      </c>
      <c r="O98" s="817"/>
      <c r="P98" s="817"/>
      <c r="Q98" s="817"/>
      <c r="R98" s="817"/>
      <c r="S98" s="817"/>
      <c r="T98" s="817"/>
      <c r="U98" s="817"/>
      <c r="V98" s="817"/>
      <c r="W98" s="817"/>
      <c r="X98" s="817"/>
      <c r="Y98" s="817"/>
      <c r="Z98" s="817"/>
      <c r="AA98" s="817"/>
      <c r="AB98" s="817"/>
      <c r="AC98" s="817"/>
      <c r="AD98" s="817"/>
      <c r="AE98" s="817"/>
      <c r="AF98" s="817"/>
      <c r="AG98" s="817"/>
      <c r="AH98" s="817"/>
      <c r="AI98" s="817"/>
      <c r="AJ98" s="817"/>
      <c r="AK98" s="817"/>
      <c r="AL98" s="817"/>
      <c r="AM98" s="817"/>
      <c r="AN98" s="817"/>
      <c r="AO98" s="817"/>
      <c r="AP98" s="817"/>
      <c r="AQ98" s="817"/>
      <c r="AR98" s="817"/>
      <c r="AS98" s="817"/>
      <c r="AT98" s="817"/>
      <c r="AU98" s="817"/>
      <c r="AV98" s="817"/>
      <c r="AW98" s="817"/>
      <c r="AX98" s="817"/>
      <c r="AY98" s="817"/>
      <c r="AZ98" s="817"/>
      <c r="BA98" s="817"/>
      <c r="BB98" s="817"/>
      <c r="BC98" s="817"/>
      <c r="BD98" s="817"/>
      <c r="BE98" s="817"/>
      <c r="BF98" s="817"/>
      <c r="BG98" s="817"/>
      <c r="BH98" s="817"/>
      <c r="BI98" s="817"/>
      <c r="BJ98" s="817"/>
      <c r="BK98" s="817"/>
      <c r="BL98" s="817"/>
      <c r="BM98" s="817"/>
      <c r="BN98" s="817"/>
      <c r="BO98" s="817"/>
      <c r="BP98" s="817"/>
      <c r="BQ98" s="817"/>
      <c r="BR98" s="817"/>
      <c r="BS98" s="817"/>
      <c r="BT98" s="817"/>
      <c r="BU98" s="817"/>
      <c r="BV98" s="817"/>
      <c r="BW98" s="817"/>
      <c r="BX98" s="817"/>
      <c r="BY98" s="817"/>
      <c r="BZ98" s="817"/>
      <c r="CA98" s="817"/>
      <c r="CB98" s="817"/>
      <c r="CC98" s="817"/>
      <c r="CD98" s="817"/>
      <c r="CE98" s="817"/>
      <c r="CF98" s="817"/>
      <c r="CG98" s="817"/>
      <c r="CH98" s="817"/>
      <c r="CI98" s="817"/>
      <c r="CJ98" s="817"/>
      <c r="CK98" s="817"/>
      <c r="CL98" s="817"/>
      <c r="CM98" s="817"/>
      <c r="CN98" s="817"/>
      <c r="CO98" s="817"/>
      <c r="CP98" s="817"/>
      <c r="CQ98" s="817"/>
      <c r="CR98" s="817"/>
      <c r="CS98" s="817"/>
      <c r="CT98" s="817"/>
      <c r="CU98" s="817"/>
      <c r="CV98" s="817"/>
      <c r="CW98" s="817"/>
      <c r="CX98" s="817"/>
      <c r="CY98" s="817"/>
      <c r="CZ98" s="817"/>
      <c r="DA98" s="817"/>
      <c r="DB98" s="817"/>
      <c r="DC98" s="817"/>
      <c r="DD98" s="817"/>
      <c r="DE98" s="817"/>
      <c r="DF98" s="817"/>
      <c r="DG98" s="817"/>
      <c r="DH98" s="817"/>
      <c r="DI98" s="817"/>
      <c r="DJ98" s="817"/>
      <c r="DK98" s="817"/>
      <c r="DL98" s="817"/>
      <c r="DM98" s="817"/>
      <c r="DN98" s="817"/>
      <c r="DO98" s="817"/>
      <c r="DP98" s="817"/>
      <c r="DQ98" s="817"/>
      <c r="DR98" s="817"/>
      <c r="DS98" s="817"/>
      <c r="DT98" s="817"/>
      <c r="DU98" s="817"/>
      <c r="DV98" s="817"/>
      <c r="DW98" s="817"/>
      <c r="DX98" s="817"/>
      <c r="DY98" s="817"/>
      <c r="DZ98" s="817"/>
      <c r="EA98" s="817"/>
      <c r="EB98" s="817"/>
      <c r="EC98" s="817"/>
      <c r="ED98" s="817"/>
      <c r="EE98" s="817"/>
      <c r="EF98" s="817"/>
      <c r="EG98" s="817"/>
      <c r="EH98" s="817"/>
      <c r="EI98" s="817"/>
      <c r="EJ98" s="817"/>
      <c r="EK98" s="817"/>
      <c r="EL98" s="817"/>
      <c r="EM98" s="817"/>
      <c r="EN98" s="817"/>
      <c r="EO98" s="817"/>
      <c r="EP98" s="817"/>
      <c r="EQ98" s="817"/>
      <c r="ER98" s="817"/>
      <c r="ES98" s="817"/>
      <c r="ET98" s="817"/>
      <c r="EU98" s="817"/>
      <c r="EV98" s="817"/>
      <c r="EW98" s="817"/>
      <c r="EX98" s="817"/>
      <c r="EY98" s="817"/>
      <c r="EZ98" s="817"/>
      <c r="FA98" s="817"/>
      <c r="FB98" s="817"/>
      <c r="FC98" s="817"/>
      <c r="FD98" s="817"/>
      <c r="FE98" s="817"/>
      <c r="FF98" s="817"/>
      <c r="FG98" s="817"/>
      <c r="FH98" s="817"/>
      <c r="FI98" s="817"/>
      <c r="FJ98" s="817"/>
      <c r="FK98" s="817"/>
      <c r="FL98" s="817"/>
      <c r="FM98" s="817"/>
      <c r="FN98" s="817"/>
      <c r="FO98" s="817"/>
      <c r="FP98" s="817"/>
      <c r="FQ98" s="817"/>
      <c r="FR98" s="817"/>
      <c r="FS98" s="817"/>
      <c r="FT98" s="817"/>
      <c r="FU98" s="817"/>
      <c r="FV98" s="817"/>
      <c r="FW98" s="817"/>
      <c r="FX98" s="817"/>
      <c r="FY98" s="817"/>
      <c r="FZ98" s="817"/>
      <c r="GA98" s="817"/>
      <c r="GB98" s="817"/>
      <c r="GC98" s="817"/>
      <c r="GD98" s="817"/>
      <c r="GE98" s="817"/>
      <c r="GF98" s="817"/>
      <c r="GG98" s="817"/>
      <c r="GH98" s="817"/>
      <c r="GI98" s="817"/>
      <c r="GJ98" s="817"/>
      <c r="GK98" s="817"/>
      <c r="GL98" s="817"/>
      <c r="GM98" s="817"/>
      <c r="GN98" s="817"/>
      <c r="GO98" s="817"/>
      <c r="GP98" s="817"/>
      <c r="GQ98" s="817"/>
      <c r="GR98" s="817"/>
      <c r="GS98" s="817"/>
      <c r="GT98" s="817"/>
      <c r="GU98" s="817"/>
      <c r="GV98" s="817"/>
      <c r="GW98" s="817"/>
      <c r="GX98" s="817"/>
      <c r="GY98" s="817"/>
      <c r="GZ98" s="817"/>
      <c r="HA98" s="817"/>
      <c r="HB98" s="817"/>
      <c r="HC98" s="817"/>
      <c r="HD98" s="817"/>
      <c r="HE98" s="817"/>
      <c r="HF98" s="817"/>
      <c r="HG98" s="817"/>
      <c r="HH98" s="817"/>
      <c r="HI98" s="817"/>
      <c r="HJ98" s="817"/>
      <c r="HK98" s="817"/>
      <c r="HL98" s="817"/>
      <c r="HM98" s="817"/>
      <c r="HN98" s="817"/>
      <c r="HO98" s="817"/>
      <c r="HP98" s="817"/>
      <c r="HQ98" s="817"/>
      <c r="HR98" s="817"/>
      <c r="HS98" s="817"/>
      <c r="HT98" s="817"/>
      <c r="HU98" s="817"/>
      <c r="HV98" s="817"/>
      <c r="HW98" s="817"/>
      <c r="HX98" s="817"/>
      <c r="HY98" s="817"/>
      <c r="HZ98" s="817"/>
      <c r="IA98" s="817"/>
      <c r="IB98" s="817"/>
      <c r="IC98" s="817"/>
      <c r="ID98" s="817"/>
      <c r="IE98" s="817"/>
      <c r="IF98" s="817"/>
      <c r="IG98" s="817"/>
      <c r="IH98" s="817"/>
      <c r="II98" s="817"/>
      <c r="IJ98" s="817"/>
      <c r="IK98" s="817"/>
      <c r="IL98" s="817"/>
      <c r="IM98" s="817"/>
      <c r="IN98" s="817"/>
      <c r="IO98" s="817"/>
      <c r="IP98" s="817"/>
      <c r="IQ98" s="817"/>
      <c r="IR98" s="817"/>
      <c r="IS98" s="817"/>
      <c r="IT98" s="817"/>
      <c r="IU98" s="817"/>
      <c r="IV98" s="817"/>
    </row>
    <row r="99" spans="1:256" ht="13" thickBot="1">
      <c r="A99" s="896" t="s">
        <v>834</v>
      </c>
      <c r="B99" s="897">
        <v>4552</v>
      </c>
      <c r="C99" s="897">
        <v>4818.5</v>
      </c>
      <c r="D99" s="898">
        <v>5114</v>
      </c>
      <c r="E99" s="898">
        <v>5133</v>
      </c>
      <c r="F99" s="898">
        <v>5564.4</v>
      </c>
      <c r="G99" s="898">
        <v>4929.3</v>
      </c>
      <c r="H99" s="898">
        <v>5208.6000000000004</v>
      </c>
      <c r="I99" s="898">
        <v>5981.7</v>
      </c>
      <c r="J99" s="898">
        <v>5968.2</v>
      </c>
      <c r="K99" s="898">
        <v>6005.2</v>
      </c>
      <c r="L99" s="899">
        <v>5791.1</v>
      </c>
      <c r="M99" s="899">
        <v>5974.7</v>
      </c>
      <c r="N99" s="898">
        <v>6014.4</v>
      </c>
      <c r="O99" s="817"/>
      <c r="P99" s="817"/>
      <c r="Q99" s="817"/>
      <c r="R99" s="817"/>
      <c r="S99" s="817"/>
      <c r="T99" s="817"/>
      <c r="U99" s="817"/>
      <c r="V99" s="817"/>
      <c r="W99" s="817"/>
      <c r="X99" s="817"/>
      <c r="Y99" s="817"/>
      <c r="Z99" s="817"/>
      <c r="AA99" s="817"/>
      <c r="AB99" s="817"/>
      <c r="AC99" s="817"/>
      <c r="AD99" s="817"/>
      <c r="AE99" s="817"/>
      <c r="AF99" s="817"/>
      <c r="AG99" s="817"/>
      <c r="AH99" s="817"/>
      <c r="AI99" s="817"/>
      <c r="AJ99" s="817"/>
      <c r="AK99" s="817"/>
      <c r="AL99" s="817"/>
      <c r="AM99" s="817"/>
      <c r="AN99" s="817"/>
      <c r="AO99" s="817"/>
      <c r="AP99" s="817"/>
      <c r="AQ99" s="817"/>
      <c r="AR99" s="817"/>
      <c r="AS99" s="817"/>
      <c r="AT99" s="817"/>
      <c r="AU99" s="817"/>
      <c r="AV99" s="817"/>
      <c r="AW99" s="817"/>
      <c r="AX99" s="817"/>
      <c r="AY99" s="817"/>
      <c r="AZ99" s="817"/>
      <c r="BA99" s="817"/>
      <c r="BB99" s="817"/>
      <c r="BC99" s="817"/>
      <c r="BD99" s="817"/>
      <c r="BE99" s="817"/>
      <c r="BF99" s="817"/>
      <c r="BG99" s="817"/>
      <c r="BH99" s="817"/>
      <c r="BI99" s="817"/>
      <c r="BJ99" s="817"/>
      <c r="BK99" s="817"/>
      <c r="BL99" s="817"/>
      <c r="BM99" s="817"/>
      <c r="BN99" s="817"/>
      <c r="BO99" s="817"/>
      <c r="BP99" s="817"/>
      <c r="BQ99" s="817"/>
      <c r="BR99" s="817"/>
      <c r="BS99" s="817"/>
      <c r="BT99" s="817"/>
      <c r="BU99" s="817"/>
      <c r="BV99" s="817"/>
      <c r="BW99" s="817"/>
      <c r="BX99" s="817"/>
      <c r="BY99" s="817"/>
      <c r="BZ99" s="817"/>
      <c r="CA99" s="817"/>
      <c r="CB99" s="817"/>
      <c r="CC99" s="817"/>
      <c r="CD99" s="817"/>
      <c r="CE99" s="817"/>
      <c r="CF99" s="817"/>
      <c r="CG99" s="817"/>
      <c r="CH99" s="817"/>
      <c r="CI99" s="817"/>
      <c r="CJ99" s="817"/>
      <c r="CK99" s="817"/>
      <c r="CL99" s="817"/>
      <c r="CM99" s="817"/>
      <c r="CN99" s="817"/>
      <c r="CO99" s="817"/>
      <c r="CP99" s="817"/>
      <c r="CQ99" s="817"/>
      <c r="CR99" s="817"/>
      <c r="CS99" s="817"/>
      <c r="CT99" s="817"/>
      <c r="CU99" s="817"/>
      <c r="CV99" s="817"/>
      <c r="CW99" s="817"/>
      <c r="CX99" s="817"/>
      <c r="CY99" s="817"/>
      <c r="CZ99" s="817"/>
      <c r="DA99" s="817"/>
      <c r="DB99" s="817"/>
      <c r="DC99" s="817"/>
      <c r="DD99" s="817"/>
      <c r="DE99" s="817"/>
      <c r="DF99" s="817"/>
      <c r="DG99" s="817"/>
      <c r="DH99" s="817"/>
      <c r="DI99" s="817"/>
      <c r="DJ99" s="817"/>
      <c r="DK99" s="817"/>
      <c r="DL99" s="817"/>
      <c r="DM99" s="817"/>
      <c r="DN99" s="817"/>
      <c r="DO99" s="817"/>
      <c r="DP99" s="817"/>
      <c r="DQ99" s="817"/>
      <c r="DR99" s="817"/>
      <c r="DS99" s="817"/>
      <c r="DT99" s="817"/>
      <c r="DU99" s="817"/>
      <c r="DV99" s="817"/>
      <c r="DW99" s="817"/>
      <c r="DX99" s="817"/>
      <c r="DY99" s="817"/>
      <c r="DZ99" s="817"/>
      <c r="EA99" s="817"/>
      <c r="EB99" s="817"/>
      <c r="EC99" s="817"/>
      <c r="ED99" s="817"/>
      <c r="EE99" s="817"/>
      <c r="EF99" s="817"/>
      <c r="EG99" s="817"/>
      <c r="EH99" s="817"/>
      <c r="EI99" s="817"/>
      <c r="EJ99" s="817"/>
      <c r="EK99" s="817"/>
      <c r="EL99" s="817"/>
      <c r="EM99" s="817"/>
      <c r="EN99" s="817"/>
      <c r="EO99" s="817"/>
      <c r="EP99" s="817"/>
      <c r="EQ99" s="817"/>
      <c r="ER99" s="817"/>
      <c r="ES99" s="817"/>
      <c r="ET99" s="817"/>
      <c r="EU99" s="817"/>
      <c r="EV99" s="817"/>
      <c r="EW99" s="817"/>
      <c r="EX99" s="817"/>
      <c r="EY99" s="817"/>
      <c r="EZ99" s="817"/>
      <c r="FA99" s="817"/>
      <c r="FB99" s="817"/>
      <c r="FC99" s="817"/>
      <c r="FD99" s="817"/>
      <c r="FE99" s="817"/>
      <c r="FF99" s="817"/>
      <c r="FG99" s="817"/>
      <c r="FH99" s="817"/>
      <c r="FI99" s="817"/>
      <c r="FJ99" s="817"/>
      <c r="FK99" s="817"/>
      <c r="FL99" s="817"/>
      <c r="FM99" s="817"/>
      <c r="FN99" s="817"/>
      <c r="FO99" s="817"/>
      <c r="FP99" s="817"/>
      <c r="FQ99" s="817"/>
      <c r="FR99" s="817"/>
      <c r="FS99" s="817"/>
      <c r="FT99" s="817"/>
      <c r="FU99" s="817"/>
      <c r="FV99" s="817"/>
      <c r="FW99" s="817"/>
      <c r="FX99" s="817"/>
      <c r="FY99" s="817"/>
      <c r="FZ99" s="817"/>
      <c r="GA99" s="817"/>
      <c r="GB99" s="817"/>
      <c r="GC99" s="817"/>
      <c r="GD99" s="817"/>
      <c r="GE99" s="817"/>
      <c r="GF99" s="817"/>
      <c r="GG99" s="817"/>
      <c r="GH99" s="817"/>
      <c r="GI99" s="817"/>
      <c r="GJ99" s="817"/>
      <c r="GK99" s="817"/>
      <c r="GL99" s="817"/>
      <c r="GM99" s="817"/>
      <c r="GN99" s="817"/>
      <c r="GO99" s="817"/>
      <c r="GP99" s="817"/>
      <c r="GQ99" s="817"/>
      <c r="GR99" s="817"/>
      <c r="GS99" s="817"/>
      <c r="GT99" s="817"/>
      <c r="GU99" s="817"/>
      <c r="GV99" s="817"/>
      <c r="GW99" s="817"/>
      <c r="GX99" s="817"/>
      <c r="GY99" s="817"/>
      <c r="GZ99" s="817"/>
      <c r="HA99" s="817"/>
      <c r="HB99" s="817"/>
      <c r="HC99" s="817"/>
      <c r="HD99" s="817"/>
      <c r="HE99" s="817"/>
      <c r="HF99" s="817"/>
      <c r="HG99" s="817"/>
      <c r="HH99" s="817"/>
      <c r="HI99" s="817"/>
      <c r="HJ99" s="817"/>
      <c r="HK99" s="817"/>
      <c r="HL99" s="817"/>
      <c r="HM99" s="817"/>
      <c r="HN99" s="817"/>
      <c r="HO99" s="817"/>
      <c r="HP99" s="817"/>
      <c r="HQ99" s="817"/>
      <c r="HR99" s="817"/>
      <c r="HS99" s="817"/>
      <c r="HT99" s="817"/>
      <c r="HU99" s="817"/>
      <c r="HV99" s="817"/>
      <c r="HW99" s="817"/>
      <c r="HX99" s="817"/>
      <c r="HY99" s="817"/>
      <c r="HZ99" s="817"/>
      <c r="IA99" s="817"/>
      <c r="IB99" s="817"/>
      <c r="IC99" s="817"/>
      <c r="ID99" s="817"/>
      <c r="IE99" s="817"/>
      <c r="IF99" s="817"/>
      <c r="IG99" s="817"/>
      <c r="IH99" s="817"/>
      <c r="II99" s="817"/>
      <c r="IJ99" s="817"/>
      <c r="IK99" s="817"/>
      <c r="IL99" s="817"/>
      <c r="IM99" s="817"/>
      <c r="IN99" s="817"/>
      <c r="IO99" s="817"/>
      <c r="IP99" s="817"/>
      <c r="IQ99" s="817"/>
      <c r="IR99" s="817"/>
      <c r="IS99" s="817"/>
      <c r="IT99" s="817"/>
      <c r="IU99" s="817"/>
      <c r="IV99" s="817"/>
    </row>
    <row r="100" spans="1:256" ht="13" thickTop="1">
      <c r="A100" s="900" t="s">
        <v>858</v>
      </c>
      <c r="B100" s="901">
        <v>1461.9</v>
      </c>
      <c r="C100" s="901">
        <v>1577</v>
      </c>
      <c r="D100" s="902">
        <v>1666.6</v>
      </c>
      <c r="E100" s="902">
        <v>1814.4</v>
      </c>
      <c r="F100" s="902">
        <v>2115.6</v>
      </c>
      <c r="G100" s="902">
        <v>1856.1</v>
      </c>
      <c r="H100" s="902">
        <v>1814.6</v>
      </c>
      <c r="I100" s="902">
        <v>2036.6</v>
      </c>
      <c r="J100" s="902">
        <v>1990.2</v>
      </c>
      <c r="K100" s="902">
        <v>2064.4</v>
      </c>
      <c r="L100" s="904">
        <v>2017.6</v>
      </c>
      <c r="M100" s="904">
        <v>2015.5</v>
      </c>
      <c r="N100" s="902">
        <v>2044.5</v>
      </c>
      <c r="O100" s="817"/>
      <c r="P100" s="817"/>
      <c r="Q100" s="817"/>
      <c r="R100" s="817"/>
      <c r="S100" s="817"/>
      <c r="T100" s="817"/>
      <c r="U100" s="817"/>
      <c r="V100" s="817"/>
      <c r="W100" s="817"/>
      <c r="X100" s="817"/>
      <c r="Y100" s="817"/>
      <c r="Z100" s="817"/>
      <c r="AA100" s="817"/>
      <c r="AB100" s="817"/>
      <c r="AC100" s="817"/>
      <c r="AD100" s="817"/>
      <c r="AE100" s="817"/>
      <c r="AF100" s="817"/>
      <c r="AG100" s="817"/>
      <c r="AH100" s="817"/>
      <c r="AI100" s="817"/>
      <c r="AJ100" s="817"/>
      <c r="AK100" s="817"/>
      <c r="AL100" s="817"/>
      <c r="AM100" s="817"/>
      <c r="AN100" s="817"/>
      <c r="AO100" s="817"/>
      <c r="AP100" s="817"/>
      <c r="AQ100" s="817"/>
      <c r="AR100" s="817"/>
      <c r="AS100" s="817"/>
      <c r="AT100" s="817"/>
      <c r="AU100" s="817"/>
      <c r="AV100" s="817"/>
      <c r="AW100" s="817"/>
      <c r="AX100" s="817"/>
      <c r="AY100" s="817"/>
      <c r="AZ100" s="817"/>
      <c r="BA100" s="817"/>
      <c r="BB100" s="817"/>
      <c r="BC100" s="817"/>
      <c r="BD100" s="817"/>
      <c r="BE100" s="817"/>
      <c r="BF100" s="817"/>
      <c r="BG100" s="817"/>
      <c r="BH100" s="817"/>
      <c r="BI100" s="817"/>
      <c r="BJ100" s="817"/>
      <c r="BK100" s="817"/>
      <c r="BL100" s="817"/>
      <c r="BM100" s="817"/>
      <c r="BN100" s="817"/>
      <c r="BO100" s="817"/>
      <c r="BP100" s="817"/>
      <c r="BQ100" s="817"/>
      <c r="BR100" s="817"/>
      <c r="BS100" s="817"/>
      <c r="BT100" s="817"/>
      <c r="BU100" s="817"/>
      <c r="BV100" s="817"/>
      <c r="BW100" s="817"/>
      <c r="BX100" s="817"/>
      <c r="BY100" s="817"/>
      <c r="BZ100" s="817"/>
      <c r="CA100" s="817"/>
      <c r="CB100" s="817"/>
      <c r="CC100" s="817"/>
      <c r="CD100" s="817"/>
      <c r="CE100" s="817"/>
      <c r="CF100" s="817"/>
      <c r="CG100" s="817"/>
      <c r="CH100" s="817"/>
      <c r="CI100" s="817"/>
      <c r="CJ100" s="817"/>
      <c r="CK100" s="817"/>
      <c r="CL100" s="817"/>
      <c r="CM100" s="817"/>
      <c r="CN100" s="817"/>
      <c r="CO100" s="817"/>
      <c r="CP100" s="817"/>
      <c r="CQ100" s="817"/>
      <c r="CR100" s="817"/>
      <c r="CS100" s="817"/>
      <c r="CT100" s="817"/>
      <c r="CU100" s="817"/>
      <c r="CV100" s="817"/>
      <c r="CW100" s="817"/>
      <c r="CX100" s="817"/>
      <c r="CY100" s="817"/>
      <c r="CZ100" s="817"/>
      <c r="DA100" s="817"/>
      <c r="DB100" s="817"/>
      <c r="DC100" s="817"/>
      <c r="DD100" s="817"/>
      <c r="DE100" s="817"/>
      <c r="DF100" s="817"/>
      <c r="DG100" s="817"/>
      <c r="DH100" s="817"/>
      <c r="DI100" s="817"/>
      <c r="DJ100" s="817"/>
      <c r="DK100" s="817"/>
      <c r="DL100" s="817"/>
      <c r="DM100" s="817"/>
      <c r="DN100" s="817"/>
      <c r="DO100" s="817"/>
      <c r="DP100" s="817"/>
      <c r="DQ100" s="817"/>
      <c r="DR100" s="817"/>
      <c r="DS100" s="817"/>
      <c r="DT100" s="817"/>
      <c r="DU100" s="817"/>
      <c r="DV100" s="817"/>
      <c r="DW100" s="817"/>
      <c r="DX100" s="817"/>
      <c r="DY100" s="817"/>
      <c r="DZ100" s="817"/>
      <c r="EA100" s="817"/>
      <c r="EB100" s="817"/>
      <c r="EC100" s="817"/>
      <c r="ED100" s="817"/>
      <c r="EE100" s="817"/>
      <c r="EF100" s="817"/>
      <c r="EG100" s="817"/>
      <c r="EH100" s="817"/>
      <c r="EI100" s="817"/>
      <c r="EJ100" s="817"/>
      <c r="EK100" s="817"/>
      <c r="EL100" s="817"/>
      <c r="EM100" s="817"/>
      <c r="EN100" s="817"/>
      <c r="EO100" s="817"/>
      <c r="EP100" s="817"/>
      <c r="EQ100" s="817"/>
      <c r="ER100" s="817"/>
      <c r="ES100" s="817"/>
      <c r="ET100" s="817"/>
      <c r="EU100" s="817"/>
      <c r="EV100" s="817"/>
      <c r="EW100" s="817"/>
      <c r="EX100" s="817"/>
      <c r="EY100" s="817"/>
      <c r="EZ100" s="817"/>
      <c r="FA100" s="817"/>
      <c r="FB100" s="817"/>
      <c r="FC100" s="817"/>
      <c r="FD100" s="817"/>
      <c r="FE100" s="817"/>
      <c r="FF100" s="817"/>
      <c r="FG100" s="817"/>
      <c r="FH100" s="817"/>
      <c r="FI100" s="817"/>
      <c r="FJ100" s="817"/>
      <c r="FK100" s="817"/>
      <c r="FL100" s="817"/>
      <c r="FM100" s="817"/>
      <c r="FN100" s="817"/>
      <c r="FO100" s="817"/>
      <c r="FP100" s="817"/>
      <c r="FQ100" s="817"/>
      <c r="FR100" s="817"/>
      <c r="FS100" s="817"/>
      <c r="FT100" s="817"/>
      <c r="FU100" s="817"/>
      <c r="FV100" s="817"/>
      <c r="FW100" s="817"/>
      <c r="FX100" s="817"/>
      <c r="FY100" s="817"/>
      <c r="FZ100" s="817"/>
      <c r="GA100" s="817"/>
      <c r="GB100" s="817"/>
      <c r="GC100" s="817"/>
      <c r="GD100" s="817"/>
      <c r="GE100" s="817"/>
      <c r="GF100" s="817"/>
      <c r="GG100" s="817"/>
      <c r="GH100" s="817"/>
      <c r="GI100" s="817"/>
      <c r="GJ100" s="817"/>
      <c r="GK100" s="817"/>
      <c r="GL100" s="817"/>
      <c r="GM100" s="817"/>
      <c r="GN100" s="817"/>
      <c r="GO100" s="817"/>
      <c r="GP100" s="817"/>
      <c r="GQ100" s="817"/>
      <c r="GR100" s="817"/>
      <c r="GS100" s="817"/>
      <c r="GT100" s="817"/>
      <c r="GU100" s="817"/>
      <c r="GV100" s="817"/>
      <c r="GW100" s="817"/>
      <c r="GX100" s="817"/>
      <c r="GY100" s="817"/>
      <c r="GZ100" s="817"/>
      <c r="HA100" s="817"/>
      <c r="HB100" s="817"/>
      <c r="HC100" s="817"/>
      <c r="HD100" s="817"/>
      <c r="HE100" s="817"/>
      <c r="HF100" s="817"/>
      <c r="HG100" s="817"/>
      <c r="HH100" s="817"/>
      <c r="HI100" s="817"/>
      <c r="HJ100" s="817"/>
      <c r="HK100" s="817"/>
      <c r="HL100" s="817"/>
      <c r="HM100" s="817"/>
      <c r="HN100" s="817"/>
      <c r="HO100" s="817"/>
      <c r="HP100" s="817"/>
      <c r="HQ100" s="817"/>
      <c r="HR100" s="817"/>
      <c r="HS100" s="817"/>
      <c r="HT100" s="817"/>
      <c r="HU100" s="817"/>
      <c r="HV100" s="817"/>
      <c r="HW100" s="817"/>
      <c r="HX100" s="817"/>
      <c r="HY100" s="817"/>
      <c r="HZ100" s="817"/>
      <c r="IA100" s="817"/>
      <c r="IB100" s="817"/>
      <c r="IC100" s="817"/>
      <c r="ID100" s="817"/>
      <c r="IE100" s="817"/>
      <c r="IF100" s="817"/>
      <c r="IG100" s="817"/>
      <c r="IH100" s="817"/>
      <c r="II100" s="817"/>
      <c r="IJ100" s="817"/>
      <c r="IK100" s="817"/>
      <c r="IL100" s="817"/>
      <c r="IM100" s="817"/>
      <c r="IN100" s="817"/>
      <c r="IO100" s="817"/>
      <c r="IP100" s="817"/>
      <c r="IQ100" s="817"/>
      <c r="IR100" s="817"/>
      <c r="IS100" s="817"/>
      <c r="IT100" s="817"/>
      <c r="IU100" s="817"/>
      <c r="IV100" s="817"/>
    </row>
    <row r="101" spans="1:256">
      <c r="A101" s="860" t="s">
        <v>859</v>
      </c>
      <c r="B101" s="841">
        <v>17002</v>
      </c>
      <c r="C101" s="841">
        <v>18340</v>
      </c>
      <c r="D101" s="842">
        <v>19382</v>
      </c>
      <c r="E101" s="842">
        <v>21102</v>
      </c>
      <c r="F101" s="842">
        <v>24604</v>
      </c>
      <c r="G101" s="842">
        <v>21585.9</v>
      </c>
      <c r="H101" s="842">
        <v>21103.5</v>
      </c>
      <c r="I101" s="842">
        <v>23685.200000000001</v>
      </c>
      <c r="J101" s="842">
        <v>23146.5</v>
      </c>
      <c r="K101" s="842">
        <v>24008.799999999999</v>
      </c>
      <c r="L101" s="853">
        <v>23464.6</v>
      </c>
      <c r="M101" s="853">
        <v>23440.7</v>
      </c>
      <c r="N101" s="842">
        <v>23777.599999999999</v>
      </c>
      <c r="O101" s="817"/>
      <c r="P101" s="817"/>
      <c r="Q101" s="817"/>
      <c r="R101" s="817"/>
      <c r="S101" s="817"/>
      <c r="T101" s="817"/>
      <c r="U101" s="817"/>
      <c r="V101" s="817"/>
      <c r="W101" s="817"/>
      <c r="X101" s="817"/>
      <c r="Y101" s="817"/>
      <c r="Z101" s="817"/>
      <c r="AA101" s="817"/>
      <c r="AB101" s="817"/>
      <c r="AC101" s="817"/>
      <c r="AD101" s="817"/>
      <c r="AE101" s="817"/>
      <c r="AF101" s="817"/>
      <c r="AG101" s="817"/>
      <c r="AH101" s="817"/>
      <c r="AI101" s="817"/>
      <c r="AJ101" s="817"/>
      <c r="AK101" s="817"/>
      <c r="AL101" s="817"/>
      <c r="AM101" s="817"/>
      <c r="AN101" s="817"/>
      <c r="AO101" s="817"/>
      <c r="AP101" s="817"/>
      <c r="AQ101" s="817"/>
      <c r="AR101" s="817"/>
      <c r="AS101" s="817"/>
      <c r="AT101" s="817"/>
      <c r="AU101" s="817"/>
      <c r="AV101" s="817"/>
      <c r="AW101" s="817"/>
      <c r="AX101" s="817"/>
      <c r="AY101" s="817"/>
      <c r="AZ101" s="817"/>
      <c r="BA101" s="817"/>
      <c r="BB101" s="817"/>
      <c r="BC101" s="817"/>
      <c r="BD101" s="817"/>
      <c r="BE101" s="817"/>
      <c r="BF101" s="817"/>
      <c r="BG101" s="817"/>
      <c r="BH101" s="817"/>
      <c r="BI101" s="817"/>
      <c r="BJ101" s="817"/>
      <c r="BK101" s="817"/>
      <c r="BL101" s="817"/>
      <c r="BM101" s="817"/>
      <c r="BN101" s="817"/>
      <c r="BO101" s="817"/>
      <c r="BP101" s="817"/>
      <c r="BQ101" s="817"/>
      <c r="BR101" s="817"/>
      <c r="BS101" s="817"/>
      <c r="BT101" s="817"/>
      <c r="BU101" s="817"/>
      <c r="BV101" s="817"/>
      <c r="BW101" s="817"/>
      <c r="BX101" s="817"/>
      <c r="BY101" s="817"/>
      <c r="BZ101" s="817"/>
      <c r="CA101" s="817"/>
      <c r="CB101" s="817"/>
      <c r="CC101" s="817"/>
      <c r="CD101" s="817"/>
      <c r="CE101" s="817"/>
      <c r="CF101" s="817"/>
      <c r="CG101" s="817"/>
      <c r="CH101" s="817"/>
      <c r="CI101" s="817"/>
      <c r="CJ101" s="817"/>
      <c r="CK101" s="817"/>
      <c r="CL101" s="817"/>
      <c r="CM101" s="817"/>
      <c r="CN101" s="817"/>
      <c r="CO101" s="817"/>
      <c r="CP101" s="817"/>
      <c r="CQ101" s="817"/>
      <c r="CR101" s="817"/>
      <c r="CS101" s="817"/>
      <c r="CT101" s="817"/>
      <c r="CU101" s="817"/>
      <c r="CV101" s="817"/>
      <c r="CW101" s="817"/>
      <c r="CX101" s="817"/>
      <c r="CY101" s="817"/>
      <c r="CZ101" s="817"/>
      <c r="DA101" s="817"/>
      <c r="DB101" s="817"/>
      <c r="DC101" s="817"/>
      <c r="DD101" s="817"/>
      <c r="DE101" s="817"/>
      <c r="DF101" s="817"/>
      <c r="DG101" s="817"/>
      <c r="DH101" s="817"/>
      <c r="DI101" s="817"/>
      <c r="DJ101" s="817"/>
      <c r="DK101" s="817"/>
      <c r="DL101" s="817"/>
      <c r="DM101" s="817"/>
      <c r="DN101" s="817"/>
      <c r="DO101" s="817"/>
      <c r="DP101" s="817"/>
      <c r="DQ101" s="817"/>
      <c r="DR101" s="817"/>
      <c r="DS101" s="817"/>
      <c r="DT101" s="817"/>
      <c r="DU101" s="817"/>
      <c r="DV101" s="817"/>
      <c r="DW101" s="817"/>
      <c r="DX101" s="817"/>
      <c r="DY101" s="817"/>
      <c r="DZ101" s="817"/>
      <c r="EA101" s="817"/>
      <c r="EB101" s="817"/>
      <c r="EC101" s="817"/>
      <c r="ED101" s="817"/>
      <c r="EE101" s="817"/>
      <c r="EF101" s="817"/>
      <c r="EG101" s="817"/>
      <c r="EH101" s="817"/>
      <c r="EI101" s="817"/>
      <c r="EJ101" s="817"/>
      <c r="EK101" s="817"/>
      <c r="EL101" s="817"/>
      <c r="EM101" s="817"/>
      <c r="EN101" s="817"/>
      <c r="EO101" s="817"/>
      <c r="EP101" s="817"/>
      <c r="EQ101" s="817"/>
      <c r="ER101" s="817"/>
      <c r="ES101" s="817"/>
      <c r="ET101" s="817"/>
      <c r="EU101" s="817"/>
      <c r="EV101" s="817"/>
      <c r="EW101" s="817"/>
      <c r="EX101" s="817"/>
      <c r="EY101" s="817"/>
      <c r="EZ101" s="817"/>
      <c r="FA101" s="817"/>
      <c r="FB101" s="817"/>
      <c r="FC101" s="817"/>
      <c r="FD101" s="817"/>
      <c r="FE101" s="817"/>
      <c r="FF101" s="817"/>
      <c r="FG101" s="817"/>
      <c r="FH101" s="817"/>
      <c r="FI101" s="817"/>
      <c r="FJ101" s="817"/>
      <c r="FK101" s="817"/>
      <c r="FL101" s="817"/>
      <c r="FM101" s="817"/>
      <c r="FN101" s="817"/>
      <c r="FO101" s="817"/>
      <c r="FP101" s="817"/>
      <c r="FQ101" s="817"/>
      <c r="FR101" s="817"/>
      <c r="FS101" s="817"/>
      <c r="FT101" s="817"/>
      <c r="FU101" s="817"/>
      <c r="FV101" s="817"/>
      <c r="FW101" s="817"/>
      <c r="FX101" s="817"/>
      <c r="FY101" s="817"/>
      <c r="FZ101" s="817"/>
      <c r="GA101" s="817"/>
      <c r="GB101" s="817"/>
      <c r="GC101" s="817"/>
      <c r="GD101" s="817"/>
      <c r="GE101" s="817"/>
      <c r="GF101" s="817"/>
      <c r="GG101" s="817"/>
      <c r="GH101" s="817"/>
      <c r="GI101" s="817"/>
      <c r="GJ101" s="817"/>
      <c r="GK101" s="817"/>
      <c r="GL101" s="817"/>
      <c r="GM101" s="817"/>
      <c r="GN101" s="817"/>
      <c r="GO101" s="817"/>
      <c r="GP101" s="817"/>
      <c r="GQ101" s="817"/>
      <c r="GR101" s="817"/>
      <c r="GS101" s="817"/>
      <c r="GT101" s="817"/>
      <c r="GU101" s="817"/>
      <c r="GV101" s="817"/>
      <c r="GW101" s="817"/>
      <c r="GX101" s="817"/>
      <c r="GY101" s="817"/>
      <c r="GZ101" s="817"/>
      <c r="HA101" s="817"/>
      <c r="HB101" s="817"/>
      <c r="HC101" s="817"/>
      <c r="HD101" s="817"/>
      <c r="HE101" s="817"/>
      <c r="HF101" s="817"/>
      <c r="HG101" s="817"/>
      <c r="HH101" s="817"/>
      <c r="HI101" s="817"/>
      <c r="HJ101" s="817"/>
      <c r="HK101" s="817"/>
      <c r="HL101" s="817"/>
      <c r="HM101" s="817"/>
      <c r="HN101" s="817"/>
      <c r="HO101" s="817"/>
      <c r="HP101" s="817"/>
      <c r="HQ101" s="817"/>
      <c r="HR101" s="817"/>
      <c r="HS101" s="817"/>
      <c r="HT101" s="817"/>
      <c r="HU101" s="817"/>
      <c r="HV101" s="817"/>
      <c r="HW101" s="817"/>
      <c r="HX101" s="817"/>
      <c r="HY101" s="817"/>
      <c r="HZ101" s="817"/>
      <c r="IA101" s="817"/>
      <c r="IB101" s="817"/>
      <c r="IC101" s="817"/>
      <c r="ID101" s="817"/>
      <c r="IE101" s="817"/>
      <c r="IF101" s="817"/>
      <c r="IG101" s="817"/>
      <c r="IH101" s="817"/>
      <c r="II101" s="817"/>
      <c r="IJ101" s="817"/>
      <c r="IK101" s="817"/>
      <c r="IL101" s="817"/>
      <c r="IM101" s="817"/>
      <c r="IN101" s="817"/>
      <c r="IO101" s="817"/>
      <c r="IP101" s="817"/>
      <c r="IQ101" s="817"/>
      <c r="IR101" s="817"/>
      <c r="IS101" s="817"/>
      <c r="IT101" s="817"/>
      <c r="IU101" s="817"/>
      <c r="IV101" s="817"/>
    </row>
    <row r="102" spans="1:256">
      <c r="A102" s="905" t="s">
        <v>860</v>
      </c>
      <c r="B102" s="916">
        <v>1153.4000000000001</v>
      </c>
      <c r="C102" s="916">
        <v>1254.5</v>
      </c>
      <c r="D102" s="917">
        <v>1331.3</v>
      </c>
      <c r="E102" s="917">
        <v>1477.5</v>
      </c>
      <c r="F102" s="917">
        <v>1558.1</v>
      </c>
      <c r="G102" s="917">
        <v>1327.3</v>
      </c>
      <c r="H102" s="917">
        <v>1420.8</v>
      </c>
      <c r="I102" s="917">
        <v>1352.1</v>
      </c>
      <c r="J102" s="917">
        <v>1549</v>
      </c>
      <c r="K102" s="917">
        <v>1748.5</v>
      </c>
      <c r="L102" s="918">
        <v>1547</v>
      </c>
      <c r="M102" s="918">
        <v>1437.2</v>
      </c>
      <c r="N102" s="917">
        <v>1372.7</v>
      </c>
      <c r="O102" s="817"/>
      <c r="P102" s="817"/>
      <c r="Q102" s="817"/>
      <c r="R102" s="817"/>
      <c r="S102" s="817"/>
      <c r="T102" s="817"/>
      <c r="U102" s="817"/>
      <c r="V102" s="817"/>
      <c r="W102" s="817"/>
      <c r="X102" s="817"/>
      <c r="Y102" s="817"/>
      <c r="Z102" s="817"/>
      <c r="AA102" s="817"/>
      <c r="AB102" s="817"/>
      <c r="AC102" s="817"/>
      <c r="AD102" s="817"/>
      <c r="AE102" s="817"/>
      <c r="AF102" s="817"/>
      <c r="AG102" s="817"/>
      <c r="AH102" s="817"/>
      <c r="AI102" s="817"/>
      <c r="AJ102" s="817"/>
      <c r="AK102" s="817"/>
      <c r="AL102" s="817"/>
      <c r="AM102" s="817"/>
      <c r="AN102" s="817"/>
      <c r="AO102" s="817"/>
      <c r="AP102" s="817"/>
      <c r="AQ102" s="817"/>
      <c r="AR102" s="817"/>
      <c r="AS102" s="817"/>
      <c r="AT102" s="817"/>
      <c r="AU102" s="817"/>
      <c r="AV102" s="817"/>
      <c r="AW102" s="817"/>
      <c r="AX102" s="817"/>
      <c r="AY102" s="817"/>
      <c r="AZ102" s="817"/>
      <c r="BA102" s="817"/>
      <c r="BB102" s="817"/>
      <c r="BC102" s="817"/>
      <c r="BD102" s="817"/>
      <c r="BE102" s="817"/>
      <c r="BF102" s="817"/>
      <c r="BG102" s="817"/>
      <c r="BH102" s="817"/>
      <c r="BI102" s="817"/>
      <c r="BJ102" s="817"/>
      <c r="BK102" s="817"/>
      <c r="BL102" s="817"/>
      <c r="BM102" s="817"/>
      <c r="BN102" s="817"/>
      <c r="BO102" s="817"/>
      <c r="BP102" s="817"/>
      <c r="BQ102" s="817"/>
      <c r="BR102" s="817"/>
      <c r="BS102" s="817"/>
      <c r="BT102" s="817"/>
      <c r="BU102" s="817"/>
      <c r="BV102" s="817"/>
      <c r="BW102" s="817"/>
      <c r="BX102" s="817"/>
      <c r="BY102" s="817"/>
      <c r="BZ102" s="817"/>
      <c r="CA102" s="817"/>
      <c r="CB102" s="817"/>
      <c r="CC102" s="817"/>
      <c r="CD102" s="817"/>
      <c r="CE102" s="817"/>
      <c r="CF102" s="817"/>
      <c r="CG102" s="817"/>
      <c r="CH102" s="817"/>
      <c r="CI102" s="817"/>
      <c r="CJ102" s="817"/>
      <c r="CK102" s="817"/>
      <c r="CL102" s="817"/>
      <c r="CM102" s="817"/>
      <c r="CN102" s="817"/>
      <c r="CO102" s="817"/>
      <c r="CP102" s="817"/>
      <c r="CQ102" s="817"/>
      <c r="CR102" s="817"/>
      <c r="CS102" s="817"/>
      <c r="CT102" s="817"/>
      <c r="CU102" s="817"/>
      <c r="CV102" s="817"/>
      <c r="CW102" s="817"/>
      <c r="CX102" s="817"/>
      <c r="CY102" s="817"/>
      <c r="CZ102" s="817"/>
      <c r="DA102" s="817"/>
      <c r="DB102" s="817"/>
      <c r="DC102" s="817"/>
      <c r="DD102" s="817"/>
      <c r="DE102" s="817"/>
      <c r="DF102" s="817"/>
      <c r="DG102" s="817"/>
      <c r="DH102" s="817"/>
      <c r="DI102" s="817"/>
      <c r="DJ102" s="817"/>
      <c r="DK102" s="817"/>
      <c r="DL102" s="817"/>
      <c r="DM102" s="817"/>
      <c r="DN102" s="817"/>
      <c r="DO102" s="817"/>
      <c r="DP102" s="817"/>
      <c r="DQ102" s="817"/>
      <c r="DR102" s="817"/>
      <c r="DS102" s="817"/>
      <c r="DT102" s="817"/>
      <c r="DU102" s="817"/>
      <c r="DV102" s="817"/>
      <c r="DW102" s="817"/>
      <c r="DX102" s="817"/>
      <c r="DY102" s="817"/>
      <c r="DZ102" s="817"/>
      <c r="EA102" s="817"/>
      <c r="EB102" s="817"/>
      <c r="EC102" s="817"/>
      <c r="ED102" s="817"/>
      <c r="EE102" s="817"/>
      <c r="EF102" s="817"/>
      <c r="EG102" s="817"/>
      <c r="EH102" s="817"/>
      <c r="EI102" s="817"/>
      <c r="EJ102" s="817"/>
      <c r="EK102" s="817"/>
      <c r="EL102" s="817"/>
      <c r="EM102" s="817"/>
      <c r="EN102" s="817"/>
      <c r="EO102" s="817"/>
      <c r="EP102" s="817"/>
      <c r="EQ102" s="817"/>
      <c r="ER102" s="817"/>
      <c r="ES102" s="817"/>
      <c r="ET102" s="817"/>
      <c r="EU102" s="817"/>
      <c r="EV102" s="817"/>
      <c r="EW102" s="817"/>
      <c r="EX102" s="817"/>
      <c r="EY102" s="817"/>
      <c r="EZ102" s="817"/>
      <c r="FA102" s="817"/>
      <c r="FB102" s="817"/>
      <c r="FC102" s="817"/>
      <c r="FD102" s="817"/>
      <c r="FE102" s="817"/>
      <c r="FF102" s="817"/>
      <c r="FG102" s="817"/>
      <c r="FH102" s="817"/>
      <c r="FI102" s="817"/>
      <c r="FJ102" s="817"/>
      <c r="FK102" s="817"/>
      <c r="FL102" s="817"/>
      <c r="FM102" s="817"/>
      <c r="FN102" s="817"/>
      <c r="FO102" s="817"/>
      <c r="FP102" s="817"/>
      <c r="FQ102" s="817"/>
      <c r="FR102" s="817"/>
      <c r="FS102" s="817"/>
      <c r="FT102" s="817"/>
      <c r="FU102" s="817"/>
      <c r="FV102" s="817"/>
      <c r="FW102" s="817"/>
      <c r="FX102" s="817"/>
      <c r="FY102" s="817"/>
      <c r="FZ102" s="817"/>
      <c r="GA102" s="817"/>
      <c r="GB102" s="817"/>
      <c r="GC102" s="817"/>
      <c r="GD102" s="817"/>
      <c r="GE102" s="817"/>
      <c r="GF102" s="817"/>
      <c r="GG102" s="817"/>
      <c r="GH102" s="817"/>
      <c r="GI102" s="817"/>
      <c r="GJ102" s="817"/>
      <c r="GK102" s="817"/>
      <c r="GL102" s="817"/>
      <c r="GM102" s="817"/>
      <c r="GN102" s="817"/>
      <c r="GO102" s="817"/>
      <c r="GP102" s="817"/>
      <c r="GQ102" s="817"/>
      <c r="GR102" s="817"/>
      <c r="GS102" s="817"/>
      <c r="GT102" s="817"/>
      <c r="GU102" s="817"/>
      <c r="GV102" s="817"/>
      <c r="GW102" s="817"/>
      <c r="GX102" s="817"/>
      <c r="GY102" s="817"/>
      <c r="GZ102" s="817"/>
      <c r="HA102" s="817"/>
      <c r="HB102" s="817"/>
      <c r="HC102" s="817"/>
      <c r="HD102" s="817"/>
      <c r="HE102" s="817"/>
      <c r="HF102" s="817"/>
      <c r="HG102" s="817"/>
      <c r="HH102" s="817"/>
      <c r="HI102" s="817"/>
      <c r="HJ102" s="817"/>
      <c r="HK102" s="817"/>
      <c r="HL102" s="817"/>
      <c r="HM102" s="817"/>
      <c r="HN102" s="817"/>
      <c r="HO102" s="817"/>
      <c r="HP102" s="817"/>
      <c r="HQ102" s="817"/>
      <c r="HR102" s="817"/>
      <c r="HS102" s="817"/>
      <c r="HT102" s="817"/>
      <c r="HU102" s="817"/>
      <c r="HV102" s="817"/>
      <c r="HW102" s="817"/>
      <c r="HX102" s="817"/>
      <c r="HY102" s="817"/>
      <c r="HZ102" s="817"/>
      <c r="IA102" s="817"/>
      <c r="IB102" s="817"/>
      <c r="IC102" s="817"/>
      <c r="ID102" s="817"/>
      <c r="IE102" s="817"/>
      <c r="IF102" s="817"/>
      <c r="IG102" s="817"/>
      <c r="IH102" s="817"/>
      <c r="II102" s="817"/>
      <c r="IJ102" s="817"/>
      <c r="IK102" s="817"/>
      <c r="IL102" s="817"/>
      <c r="IM102" s="817"/>
      <c r="IN102" s="817"/>
      <c r="IO102" s="817"/>
      <c r="IP102" s="817"/>
      <c r="IQ102" s="817"/>
      <c r="IR102" s="817"/>
      <c r="IS102" s="817"/>
      <c r="IT102" s="817"/>
      <c r="IU102" s="817"/>
      <c r="IV102" s="817"/>
    </row>
    <row r="103" spans="1:256" ht="13" thickBot="1">
      <c r="A103" s="921" t="s">
        <v>829</v>
      </c>
      <c r="B103" s="846">
        <v>13414</v>
      </c>
      <c r="C103" s="846">
        <v>14590</v>
      </c>
      <c r="D103" s="847">
        <v>15483</v>
      </c>
      <c r="E103" s="847">
        <v>17183</v>
      </c>
      <c r="F103" s="847">
        <v>18121</v>
      </c>
      <c r="G103" s="847">
        <v>15435.9</v>
      </c>
      <c r="H103" s="847">
        <v>16523.5</v>
      </c>
      <c r="I103" s="847">
        <v>15724.9</v>
      </c>
      <c r="J103" s="847">
        <v>18015.2</v>
      </c>
      <c r="K103" s="847">
        <v>20335.3</v>
      </c>
      <c r="L103" s="848">
        <v>17991.099999999999</v>
      </c>
      <c r="M103" s="848">
        <v>16714.400000000001</v>
      </c>
      <c r="N103" s="847">
        <v>15964.6</v>
      </c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  <c r="AA103" s="817"/>
      <c r="AB103" s="817"/>
      <c r="AC103" s="817"/>
      <c r="AD103" s="817"/>
      <c r="AE103" s="817"/>
      <c r="AF103" s="817"/>
      <c r="AG103" s="817"/>
      <c r="AH103" s="817"/>
      <c r="AI103" s="817"/>
      <c r="AJ103" s="817"/>
      <c r="AK103" s="817"/>
      <c r="AL103" s="817"/>
      <c r="AM103" s="817"/>
      <c r="AN103" s="817"/>
      <c r="AO103" s="817"/>
      <c r="AP103" s="817"/>
      <c r="AQ103" s="817"/>
      <c r="AR103" s="817"/>
      <c r="AS103" s="817"/>
      <c r="AT103" s="817"/>
      <c r="AU103" s="817"/>
      <c r="AV103" s="817"/>
      <c r="AW103" s="817"/>
      <c r="AX103" s="817"/>
      <c r="AY103" s="817"/>
      <c r="AZ103" s="817"/>
      <c r="BA103" s="817"/>
      <c r="BB103" s="817"/>
      <c r="BC103" s="817"/>
      <c r="BD103" s="817"/>
      <c r="BE103" s="817"/>
      <c r="BF103" s="817"/>
      <c r="BG103" s="817"/>
      <c r="BH103" s="817"/>
      <c r="BI103" s="817"/>
      <c r="BJ103" s="817"/>
      <c r="BK103" s="817"/>
      <c r="BL103" s="817"/>
      <c r="BM103" s="817"/>
      <c r="BN103" s="817"/>
      <c r="BO103" s="817"/>
      <c r="BP103" s="817"/>
      <c r="BQ103" s="817"/>
      <c r="BR103" s="817"/>
      <c r="BS103" s="817"/>
      <c r="BT103" s="817"/>
      <c r="BU103" s="817"/>
      <c r="BV103" s="817"/>
      <c r="BW103" s="817"/>
      <c r="BX103" s="817"/>
      <c r="BY103" s="817"/>
      <c r="BZ103" s="817"/>
      <c r="CA103" s="817"/>
      <c r="CB103" s="817"/>
      <c r="CC103" s="817"/>
      <c r="CD103" s="817"/>
      <c r="CE103" s="817"/>
      <c r="CF103" s="817"/>
      <c r="CG103" s="817"/>
      <c r="CH103" s="817"/>
      <c r="CI103" s="817"/>
      <c r="CJ103" s="817"/>
      <c r="CK103" s="817"/>
      <c r="CL103" s="817"/>
      <c r="CM103" s="817"/>
      <c r="CN103" s="817"/>
      <c r="CO103" s="817"/>
      <c r="CP103" s="817"/>
      <c r="CQ103" s="817"/>
      <c r="CR103" s="817"/>
      <c r="CS103" s="817"/>
      <c r="CT103" s="817"/>
      <c r="CU103" s="817"/>
      <c r="CV103" s="817"/>
      <c r="CW103" s="817"/>
      <c r="CX103" s="817"/>
      <c r="CY103" s="817"/>
      <c r="CZ103" s="817"/>
      <c r="DA103" s="817"/>
      <c r="DB103" s="817"/>
      <c r="DC103" s="817"/>
      <c r="DD103" s="817"/>
      <c r="DE103" s="817"/>
      <c r="DF103" s="817"/>
      <c r="DG103" s="817"/>
      <c r="DH103" s="817"/>
      <c r="DI103" s="817"/>
      <c r="DJ103" s="817"/>
      <c r="DK103" s="817"/>
      <c r="DL103" s="817"/>
      <c r="DM103" s="817"/>
      <c r="DN103" s="817"/>
      <c r="DO103" s="817"/>
      <c r="DP103" s="817"/>
      <c r="DQ103" s="817"/>
      <c r="DR103" s="817"/>
      <c r="DS103" s="817"/>
      <c r="DT103" s="817"/>
      <c r="DU103" s="817"/>
      <c r="DV103" s="817"/>
      <c r="DW103" s="817"/>
      <c r="DX103" s="817"/>
      <c r="DY103" s="817"/>
      <c r="DZ103" s="817"/>
      <c r="EA103" s="817"/>
      <c r="EB103" s="817"/>
      <c r="EC103" s="817"/>
      <c r="ED103" s="817"/>
      <c r="EE103" s="817"/>
      <c r="EF103" s="817"/>
      <c r="EG103" s="817"/>
      <c r="EH103" s="817"/>
      <c r="EI103" s="817"/>
      <c r="EJ103" s="817"/>
      <c r="EK103" s="817"/>
      <c r="EL103" s="817"/>
      <c r="EM103" s="817"/>
      <c r="EN103" s="817"/>
      <c r="EO103" s="817"/>
      <c r="EP103" s="817"/>
      <c r="EQ103" s="817"/>
      <c r="ER103" s="817"/>
      <c r="ES103" s="817"/>
      <c r="ET103" s="817"/>
      <c r="EU103" s="817"/>
      <c r="EV103" s="817"/>
      <c r="EW103" s="817"/>
      <c r="EX103" s="817"/>
      <c r="EY103" s="817"/>
      <c r="EZ103" s="817"/>
      <c r="FA103" s="817"/>
      <c r="FB103" s="817"/>
      <c r="FC103" s="817"/>
      <c r="FD103" s="817"/>
      <c r="FE103" s="817"/>
      <c r="FF103" s="817"/>
      <c r="FG103" s="817"/>
      <c r="FH103" s="817"/>
      <c r="FI103" s="817"/>
      <c r="FJ103" s="817"/>
      <c r="FK103" s="817"/>
      <c r="FL103" s="817"/>
      <c r="FM103" s="817"/>
      <c r="FN103" s="817"/>
      <c r="FO103" s="817"/>
      <c r="FP103" s="817"/>
      <c r="FQ103" s="817"/>
      <c r="FR103" s="817"/>
      <c r="FS103" s="817"/>
      <c r="FT103" s="817"/>
      <c r="FU103" s="817"/>
      <c r="FV103" s="817"/>
      <c r="FW103" s="817"/>
      <c r="FX103" s="817"/>
      <c r="FY103" s="817"/>
      <c r="FZ103" s="817"/>
      <c r="GA103" s="817"/>
      <c r="GB103" s="817"/>
      <c r="GC103" s="817"/>
      <c r="GD103" s="817"/>
      <c r="GE103" s="817"/>
      <c r="GF103" s="817"/>
      <c r="GG103" s="817"/>
      <c r="GH103" s="817"/>
      <c r="GI103" s="817"/>
      <c r="GJ103" s="817"/>
      <c r="GK103" s="817"/>
      <c r="GL103" s="817"/>
      <c r="GM103" s="817"/>
      <c r="GN103" s="817"/>
      <c r="GO103" s="817"/>
      <c r="GP103" s="817"/>
      <c r="GQ103" s="817"/>
      <c r="GR103" s="817"/>
      <c r="GS103" s="817"/>
      <c r="GT103" s="817"/>
      <c r="GU103" s="817"/>
      <c r="GV103" s="817"/>
      <c r="GW103" s="817"/>
      <c r="GX103" s="817"/>
      <c r="GY103" s="817"/>
      <c r="GZ103" s="817"/>
      <c r="HA103" s="817"/>
      <c r="HB103" s="817"/>
      <c r="HC103" s="817"/>
      <c r="HD103" s="817"/>
      <c r="HE103" s="817"/>
      <c r="HF103" s="817"/>
      <c r="HG103" s="817"/>
      <c r="HH103" s="817"/>
      <c r="HI103" s="817"/>
      <c r="HJ103" s="817"/>
      <c r="HK103" s="817"/>
      <c r="HL103" s="817"/>
      <c r="HM103" s="817"/>
      <c r="HN103" s="817"/>
      <c r="HO103" s="817"/>
      <c r="HP103" s="817"/>
      <c r="HQ103" s="817"/>
      <c r="HR103" s="817"/>
      <c r="HS103" s="817"/>
      <c r="HT103" s="817"/>
      <c r="HU103" s="817"/>
      <c r="HV103" s="817"/>
      <c r="HW103" s="817"/>
      <c r="HX103" s="817"/>
      <c r="HY103" s="817"/>
      <c r="HZ103" s="817"/>
      <c r="IA103" s="817"/>
      <c r="IB103" s="817"/>
      <c r="IC103" s="817"/>
      <c r="ID103" s="817"/>
      <c r="IE103" s="817"/>
      <c r="IF103" s="817"/>
      <c r="IG103" s="817"/>
      <c r="IH103" s="817"/>
      <c r="II103" s="817"/>
      <c r="IJ103" s="817"/>
      <c r="IK103" s="817"/>
      <c r="IL103" s="817"/>
      <c r="IM103" s="817"/>
      <c r="IN103" s="817"/>
      <c r="IO103" s="817"/>
      <c r="IP103" s="817"/>
      <c r="IQ103" s="817"/>
      <c r="IR103" s="817"/>
      <c r="IS103" s="817"/>
      <c r="IT103" s="817"/>
      <c r="IU103" s="817"/>
      <c r="IV103" s="817"/>
    </row>
    <row r="104" spans="1:256" ht="6.75" customHeight="1" thickTop="1">
      <c r="A104" s="877"/>
      <c r="B104" s="922"/>
      <c r="C104" s="922"/>
      <c r="D104" s="922"/>
      <c r="E104" s="922"/>
      <c r="F104" s="922"/>
      <c r="G104" s="877"/>
      <c r="H104" s="877"/>
      <c r="I104" s="923"/>
      <c r="J104" s="923"/>
      <c r="K104" s="817"/>
      <c r="L104" s="817"/>
      <c r="M104" s="817"/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  <c r="AA104" s="817"/>
      <c r="AB104" s="817"/>
      <c r="AC104" s="817"/>
      <c r="AD104" s="817"/>
      <c r="AE104" s="817"/>
      <c r="AF104" s="817"/>
      <c r="AG104" s="817"/>
      <c r="AH104" s="817"/>
      <c r="AI104" s="817"/>
      <c r="AJ104" s="817"/>
      <c r="AK104" s="817"/>
      <c r="AL104" s="817"/>
      <c r="AM104" s="817"/>
      <c r="AN104" s="817"/>
      <c r="AO104" s="817"/>
      <c r="AP104" s="817"/>
      <c r="AQ104" s="817"/>
      <c r="AR104" s="817"/>
      <c r="AS104" s="817"/>
      <c r="AT104" s="817"/>
      <c r="AU104" s="817"/>
      <c r="AV104" s="817"/>
      <c r="AW104" s="817"/>
      <c r="AX104" s="817"/>
      <c r="AY104" s="817"/>
      <c r="AZ104" s="817"/>
      <c r="BA104" s="817"/>
      <c r="BB104" s="817"/>
      <c r="BC104" s="817"/>
      <c r="BD104" s="817"/>
      <c r="BE104" s="817"/>
      <c r="BF104" s="817"/>
      <c r="BG104" s="817"/>
      <c r="BH104" s="817"/>
      <c r="BI104" s="817"/>
      <c r="BJ104" s="817"/>
      <c r="BK104" s="817"/>
      <c r="BL104" s="817"/>
      <c r="BM104" s="817"/>
      <c r="BN104" s="817"/>
      <c r="BO104" s="817"/>
      <c r="BP104" s="817"/>
      <c r="BQ104" s="817"/>
      <c r="BR104" s="817"/>
      <c r="BS104" s="817"/>
      <c r="BT104" s="817"/>
      <c r="BU104" s="817"/>
      <c r="BV104" s="817"/>
      <c r="BW104" s="817"/>
      <c r="BX104" s="817"/>
      <c r="BY104" s="817"/>
      <c r="BZ104" s="817"/>
      <c r="CA104" s="817"/>
      <c r="CB104" s="817"/>
      <c r="CC104" s="817"/>
      <c r="CD104" s="817"/>
      <c r="CE104" s="817"/>
      <c r="CF104" s="817"/>
      <c r="CG104" s="817"/>
      <c r="CH104" s="817"/>
      <c r="CI104" s="817"/>
      <c r="CJ104" s="817"/>
      <c r="CK104" s="817"/>
      <c r="CL104" s="817"/>
      <c r="CM104" s="817"/>
      <c r="CN104" s="817"/>
      <c r="CO104" s="817"/>
      <c r="CP104" s="817"/>
      <c r="CQ104" s="817"/>
      <c r="CR104" s="817"/>
      <c r="CS104" s="817"/>
      <c r="CT104" s="817"/>
      <c r="CU104" s="817"/>
      <c r="CV104" s="817"/>
      <c r="CW104" s="817"/>
      <c r="CX104" s="817"/>
      <c r="CY104" s="817"/>
      <c r="CZ104" s="817"/>
      <c r="DA104" s="817"/>
      <c r="DB104" s="817"/>
      <c r="DC104" s="817"/>
      <c r="DD104" s="817"/>
      <c r="DE104" s="817"/>
      <c r="DF104" s="817"/>
      <c r="DG104" s="817"/>
      <c r="DH104" s="817"/>
      <c r="DI104" s="817"/>
      <c r="DJ104" s="817"/>
      <c r="DK104" s="817"/>
      <c r="DL104" s="817"/>
      <c r="DM104" s="817"/>
      <c r="DN104" s="817"/>
      <c r="DO104" s="817"/>
      <c r="DP104" s="817"/>
      <c r="DQ104" s="817"/>
      <c r="DR104" s="817"/>
      <c r="DS104" s="817"/>
      <c r="DT104" s="817"/>
      <c r="DU104" s="817"/>
      <c r="DV104" s="817"/>
      <c r="DW104" s="817"/>
      <c r="DX104" s="817"/>
      <c r="DY104" s="817"/>
      <c r="DZ104" s="817"/>
      <c r="EA104" s="817"/>
      <c r="EB104" s="817"/>
      <c r="EC104" s="817"/>
      <c r="ED104" s="817"/>
      <c r="EE104" s="817"/>
      <c r="EF104" s="817"/>
      <c r="EG104" s="817"/>
      <c r="EH104" s="817"/>
      <c r="EI104" s="817"/>
      <c r="EJ104" s="817"/>
      <c r="EK104" s="817"/>
      <c r="EL104" s="817"/>
      <c r="EM104" s="817"/>
      <c r="EN104" s="817"/>
      <c r="EO104" s="817"/>
      <c r="EP104" s="817"/>
      <c r="EQ104" s="817"/>
      <c r="ER104" s="817"/>
      <c r="ES104" s="817"/>
      <c r="ET104" s="817"/>
      <c r="EU104" s="817"/>
      <c r="EV104" s="817"/>
      <c r="EW104" s="817"/>
      <c r="EX104" s="817"/>
      <c r="EY104" s="817"/>
      <c r="EZ104" s="817"/>
      <c r="FA104" s="817"/>
      <c r="FB104" s="817"/>
      <c r="FC104" s="817"/>
      <c r="FD104" s="817"/>
      <c r="FE104" s="817"/>
      <c r="FF104" s="817"/>
      <c r="FG104" s="817"/>
      <c r="FH104" s="817"/>
      <c r="FI104" s="817"/>
      <c r="FJ104" s="817"/>
      <c r="FK104" s="817"/>
      <c r="FL104" s="817"/>
      <c r="FM104" s="817"/>
      <c r="FN104" s="817"/>
      <c r="FO104" s="817"/>
      <c r="FP104" s="817"/>
      <c r="FQ104" s="817"/>
      <c r="FR104" s="817"/>
      <c r="FS104" s="817"/>
      <c r="FT104" s="817"/>
      <c r="FU104" s="817"/>
      <c r="FV104" s="817"/>
      <c r="FW104" s="817"/>
      <c r="FX104" s="817"/>
      <c r="FY104" s="817"/>
      <c r="FZ104" s="817"/>
      <c r="GA104" s="817"/>
      <c r="GB104" s="817"/>
      <c r="GC104" s="817"/>
      <c r="GD104" s="817"/>
      <c r="GE104" s="817"/>
      <c r="GF104" s="817"/>
      <c r="GG104" s="817"/>
      <c r="GH104" s="817"/>
      <c r="GI104" s="817"/>
      <c r="GJ104" s="817"/>
      <c r="GK104" s="817"/>
      <c r="GL104" s="817"/>
      <c r="GM104" s="817"/>
      <c r="GN104" s="817"/>
      <c r="GO104" s="817"/>
      <c r="GP104" s="817"/>
      <c r="GQ104" s="817"/>
      <c r="GR104" s="817"/>
      <c r="GS104" s="817"/>
      <c r="GT104" s="817"/>
      <c r="GU104" s="817"/>
      <c r="GV104" s="817"/>
      <c r="GW104" s="817"/>
      <c r="GX104" s="817"/>
      <c r="GY104" s="817"/>
      <c r="GZ104" s="817"/>
      <c r="HA104" s="817"/>
      <c r="HB104" s="817"/>
      <c r="HC104" s="817"/>
      <c r="HD104" s="817"/>
      <c r="HE104" s="817"/>
      <c r="HF104" s="817"/>
      <c r="HG104" s="817"/>
      <c r="HH104" s="817"/>
      <c r="HI104" s="817"/>
      <c r="HJ104" s="817"/>
      <c r="HK104" s="817"/>
      <c r="HL104" s="817"/>
      <c r="HM104" s="817"/>
      <c r="HN104" s="817"/>
      <c r="HO104" s="817"/>
      <c r="HP104" s="817"/>
      <c r="HQ104" s="817"/>
      <c r="HR104" s="817"/>
      <c r="HS104" s="817"/>
      <c r="HT104" s="817"/>
      <c r="HU104" s="817"/>
      <c r="HV104" s="817"/>
      <c r="HW104" s="817"/>
      <c r="HX104" s="817"/>
      <c r="HY104" s="817"/>
      <c r="HZ104" s="817"/>
      <c r="IA104" s="817"/>
      <c r="IB104" s="817"/>
      <c r="IC104" s="817"/>
      <c r="ID104" s="817"/>
      <c r="IE104" s="817"/>
      <c r="IF104" s="817"/>
      <c r="IG104" s="817"/>
      <c r="IH104" s="817"/>
      <c r="II104" s="817"/>
      <c r="IJ104" s="817"/>
      <c r="IK104" s="817"/>
      <c r="IL104" s="817"/>
      <c r="IM104" s="817"/>
      <c r="IN104" s="817"/>
      <c r="IO104" s="817"/>
      <c r="IP104" s="817"/>
      <c r="IQ104" s="817"/>
      <c r="IR104" s="817"/>
      <c r="IS104" s="817"/>
      <c r="IT104" s="817"/>
      <c r="IU104" s="817"/>
      <c r="IV104" s="817"/>
    </row>
    <row r="105" spans="1:256" s="880" customFormat="1" ht="10.5" customHeight="1">
      <c r="A105" s="877" t="s">
        <v>861</v>
      </c>
      <c r="B105" s="803"/>
      <c r="C105" s="803"/>
      <c r="D105" s="803"/>
      <c r="E105" s="803"/>
      <c r="F105" s="803"/>
      <c r="G105" s="924"/>
      <c r="H105" s="924"/>
      <c r="I105" s="924"/>
      <c r="J105" s="924"/>
      <c r="K105" s="879"/>
      <c r="L105" s="879"/>
      <c r="M105" s="879"/>
      <c r="N105" s="879"/>
      <c r="O105" s="879"/>
      <c r="P105" s="879"/>
      <c r="Q105" s="879"/>
      <c r="R105" s="879"/>
      <c r="S105" s="879"/>
      <c r="T105" s="879"/>
      <c r="U105" s="879"/>
      <c r="V105" s="879"/>
      <c r="W105" s="879"/>
      <c r="X105" s="879"/>
      <c r="Y105" s="879"/>
      <c r="Z105" s="879"/>
      <c r="AA105" s="879"/>
      <c r="AB105" s="879"/>
      <c r="AC105" s="879"/>
      <c r="AD105" s="879"/>
      <c r="AE105" s="879"/>
      <c r="AF105" s="879"/>
      <c r="AG105" s="879"/>
      <c r="AH105" s="879"/>
      <c r="AI105" s="879"/>
      <c r="AJ105" s="879"/>
      <c r="AK105" s="879"/>
      <c r="AL105" s="879"/>
      <c r="AM105" s="879"/>
      <c r="AN105" s="879"/>
      <c r="AO105" s="879"/>
      <c r="AP105" s="879"/>
      <c r="AQ105" s="879"/>
      <c r="AR105" s="879"/>
      <c r="AS105" s="879"/>
      <c r="AT105" s="879"/>
      <c r="AU105" s="879"/>
      <c r="AV105" s="879"/>
      <c r="AW105" s="879"/>
      <c r="AX105" s="879"/>
      <c r="AY105" s="879"/>
      <c r="AZ105" s="879"/>
      <c r="BA105" s="879"/>
      <c r="BB105" s="879"/>
      <c r="BC105" s="879"/>
      <c r="BD105" s="879"/>
      <c r="BE105" s="879"/>
      <c r="BF105" s="879"/>
      <c r="BG105" s="879"/>
      <c r="BH105" s="879"/>
      <c r="BI105" s="879"/>
      <c r="BJ105" s="879"/>
      <c r="BK105" s="879"/>
      <c r="BL105" s="879"/>
      <c r="BM105" s="879"/>
      <c r="BN105" s="879"/>
      <c r="BO105" s="879"/>
      <c r="BP105" s="879"/>
      <c r="BQ105" s="879"/>
      <c r="BR105" s="879"/>
      <c r="BS105" s="879"/>
      <c r="BT105" s="879"/>
      <c r="BU105" s="879"/>
      <c r="BV105" s="879"/>
      <c r="BW105" s="879"/>
      <c r="BX105" s="879"/>
      <c r="BY105" s="879"/>
      <c r="BZ105" s="879"/>
      <c r="CA105" s="879"/>
      <c r="CB105" s="879"/>
      <c r="CC105" s="879"/>
      <c r="CD105" s="879"/>
      <c r="CE105" s="879"/>
      <c r="CF105" s="879"/>
      <c r="CG105" s="879"/>
      <c r="CH105" s="879"/>
      <c r="CI105" s="879"/>
      <c r="CJ105" s="879"/>
      <c r="CK105" s="879"/>
      <c r="CL105" s="879"/>
      <c r="CM105" s="879"/>
      <c r="CN105" s="879"/>
      <c r="CO105" s="879"/>
      <c r="CP105" s="879"/>
      <c r="CQ105" s="879"/>
      <c r="CR105" s="879"/>
      <c r="CS105" s="879"/>
      <c r="CT105" s="879"/>
      <c r="CU105" s="879"/>
      <c r="CV105" s="879"/>
      <c r="CW105" s="879"/>
      <c r="CX105" s="879"/>
      <c r="CY105" s="879"/>
      <c r="CZ105" s="879"/>
      <c r="DA105" s="879"/>
      <c r="DB105" s="879"/>
      <c r="DC105" s="879"/>
      <c r="DD105" s="879"/>
      <c r="DE105" s="879"/>
      <c r="DF105" s="879"/>
      <c r="DG105" s="879"/>
      <c r="DH105" s="879"/>
      <c r="DI105" s="879"/>
      <c r="DJ105" s="879"/>
      <c r="DK105" s="879"/>
      <c r="DL105" s="879"/>
      <c r="DM105" s="879"/>
      <c r="DN105" s="879"/>
      <c r="DO105" s="879"/>
      <c r="DP105" s="879"/>
      <c r="DQ105" s="879"/>
      <c r="DR105" s="879"/>
      <c r="DS105" s="879"/>
      <c r="DT105" s="879"/>
      <c r="DU105" s="879"/>
      <c r="DV105" s="879"/>
      <c r="DW105" s="879"/>
      <c r="DX105" s="879"/>
      <c r="DY105" s="879"/>
      <c r="DZ105" s="879"/>
      <c r="EA105" s="879"/>
      <c r="EB105" s="879"/>
      <c r="EC105" s="879"/>
      <c r="ED105" s="879"/>
      <c r="EE105" s="879"/>
      <c r="EF105" s="879"/>
      <c r="EG105" s="879"/>
      <c r="EH105" s="879"/>
      <c r="EI105" s="879"/>
      <c r="EJ105" s="879"/>
      <c r="EK105" s="879"/>
      <c r="EL105" s="879"/>
      <c r="EM105" s="879"/>
      <c r="EN105" s="879"/>
      <c r="EO105" s="879"/>
      <c r="EP105" s="879"/>
      <c r="EQ105" s="879"/>
      <c r="ER105" s="879"/>
      <c r="ES105" s="879"/>
      <c r="ET105" s="879"/>
      <c r="EU105" s="879"/>
      <c r="EV105" s="879"/>
      <c r="EW105" s="879"/>
      <c r="EX105" s="879"/>
      <c r="EY105" s="879"/>
      <c r="EZ105" s="879"/>
      <c r="FA105" s="879"/>
      <c r="FB105" s="879"/>
      <c r="FC105" s="879"/>
      <c r="FD105" s="879"/>
      <c r="FE105" s="879"/>
      <c r="FF105" s="879"/>
      <c r="FG105" s="879"/>
      <c r="FH105" s="879"/>
      <c r="FI105" s="879"/>
      <c r="FJ105" s="879"/>
      <c r="FK105" s="879"/>
      <c r="FL105" s="879"/>
      <c r="FM105" s="879"/>
      <c r="FN105" s="879"/>
      <c r="FO105" s="879"/>
      <c r="FP105" s="879"/>
      <c r="FQ105" s="879"/>
      <c r="FR105" s="879"/>
      <c r="FS105" s="879"/>
      <c r="FT105" s="879"/>
      <c r="FU105" s="879"/>
      <c r="FV105" s="879"/>
      <c r="FW105" s="879"/>
      <c r="FX105" s="879"/>
      <c r="FY105" s="879"/>
      <c r="FZ105" s="879"/>
      <c r="GA105" s="879"/>
      <c r="GB105" s="879"/>
      <c r="GC105" s="879"/>
      <c r="GD105" s="879"/>
      <c r="GE105" s="879"/>
      <c r="GF105" s="879"/>
      <c r="GG105" s="879"/>
      <c r="GH105" s="879"/>
      <c r="GI105" s="879"/>
      <c r="GJ105" s="879"/>
      <c r="GK105" s="879"/>
      <c r="GL105" s="879"/>
      <c r="GM105" s="879"/>
      <c r="GN105" s="879"/>
      <c r="GO105" s="879"/>
      <c r="GP105" s="879"/>
      <c r="GQ105" s="879"/>
      <c r="GR105" s="879"/>
      <c r="GS105" s="879"/>
      <c r="GT105" s="879"/>
      <c r="GU105" s="879"/>
      <c r="GV105" s="879"/>
      <c r="GW105" s="879"/>
      <c r="GX105" s="879"/>
      <c r="GY105" s="879"/>
      <c r="GZ105" s="879"/>
      <c r="HA105" s="879"/>
      <c r="HB105" s="879"/>
      <c r="HC105" s="879"/>
      <c r="HD105" s="879"/>
      <c r="HE105" s="879"/>
      <c r="HF105" s="879"/>
      <c r="HG105" s="879"/>
      <c r="HH105" s="879"/>
      <c r="HI105" s="879"/>
      <c r="HJ105" s="879"/>
      <c r="HK105" s="879"/>
      <c r="HL105" s="879"/>
      <c r="HM105" s="879"/>
      <c r="HN105" s="879"/>
      <c r="HO105" s="879"/>
      <c r="HP105" s="879"/>
      <c r="HQ105" s="879"/>
      <c r="HR105" s="879"/>
      <c r="HS105" s="879"/>
      <c r="HT105" s="879"/>
      <c r="HU105" s="879"/>
      <c r="HV105" s="879"/>
      <c r="HW105" s="879"/>
      <c r="HX105" s="879"/>
      <c r="HY105" s="879"/>
      <c r="HZ105" s="879"/>
      <c r="IA105" s="879"/>
      <c r="IB105" s="879"/>
      <c r="IC105" s="879"/>
      <c r="ID105" s="879"/>
      <c r="IE105" s="879"/>
      <c r="IF105" s="879"/>
      <c r="IG105" s="879"/>
      <c r="IH105" s="879"/>
      <c r="II105" s="879"/>
      <c r="IJ105" s="879"/>
      <c r="IK105" s="879"/>
      <c r="IL105" s="879"/>
      <c r="IM105" s="879"/>
      <c r="IN105" s="879"/>
      <c r="IO105" s="879"/>
      <c r="IP105" s="879"/>
      <c r="IQ105" s="879"/>
      <c r="IR105" s="879"/>
      <c r="IS105" s="879"/>
      <c r="IT105" s="879"/>
      <c r="IU105" s="879"/>
      <c r="IV105" s="879"/>
    </row>
    <row r="106" spans="1:256" s="880" customFormat="1" ht="10.5" customHeight="1">
      <c r="A106" s="877" t="s">
        <v>862</v>
      </c>
      <c r="B106" s="803"/>
      <c r="C106" s="803"/>
      <c r="D106" s="803"/>
      <c r="E106" s="803"/>
      <c r="F106" s="803"/>
      <c r="G106" s="924"/>
      <c r="H106" s="924"/>
      <c r="I106" s="924"/>
      <c r="J106" s="924"/>
      <c r="K106" s="879"/>
      <c r="L106" s="879"/>
      <c r="M106" s="879"/>
      <c r="N106" s="879"/>
      <c r="O106" s="879"/>
      <c r="P106" s="879"/>
      <c r="Q106" s="879"/>
      <c r="R106" s="879"/>
      <c r="S106" s="879"/>
      <c r="T106" s="879"/>
      <c r="U106" s="879"/>
      <c r="V106" s="879"/>
      <c r="W106" s="879"/>
      <c r="X106" s="879"/>
      <c r="Y106" s="879"/>
      <c r="Z106" s="879"/>
      <c r="AA106" s="879"/>
      <c r="AB106" s="879"/>
      <c r="AC106" s="879"/>
      <c r="AD106" s="879"/>
      <c r="AE106" s="879"/>
      <c r="AF106" s="879"/>
      <c r="AG106" s="879"/>
      <c r="AH106" s="879"/>
      <c r="AI106" s="879"/>
      <c r="AJ106" s="879"/>
      <c r="AK106" s="879"/>
      <c r="AL106" s="879"/>
      <c r="AM106" s="879"/>
      <c r="AN106" s="879"/>
      <c r="AO106" s="879"/>
      <c r="AP106" s="879"/>
      <c r="AQ106" s="879"/>
      <c r="AR106" s="879"/>
      <c r="AS106" s="879"/>
      <c r="AT106" s="879"/>
      <c r="AU106" s="879"/>
      <c r="AV106" s="879"/>
      <c r="AW106" s="879"/>
      <c r="AX106" s="879"/>
      <c r="AY106" s="879"/>
      <c r="AZ106" s="879"/>
      <c r="BA106" s="879"/>
      <c r="BB106" s="879"/>
      <c r="BC106" s="879"/>
      <c r="BD106" s="879"/>
      <c r="BE106" s="879"/>
      <c r="BF106" s="879"/>
      <c r="BG106" s="879"/>
      <c r="BH106" s="879"/>
      <c r="BI106" s="879"/>
      <c r="BJ106" s="879"/>
      <c r="BK106" s="879"/>
      <c r="BL106" s="879"/>
      <c r="BM106" s="879"/>
      <c r="BN106" s="879"/>
      <c r="BO106" s="879"/>
      <c r="BP106" s="879"/>
      <c r="BQ106" s="879"/>
      <c r="BR106" s="879"/>
      <c r="BS106" s="879"/>
      <c r="BT106" s="879"/>
      <c r="BU106" s="879"/>
      <c r="BV106" s="879"/>
      <c r="BW106" s="879"/>
      <c r="BX106" s="879"/>
      <c r="BY106" s="879"/>
      <c r="BZ106" s="879"/>
      <c r="CA106" s="879"/>
      <c r="CB106" s="879"/>
      <c r="CC106" s="879"/>
      <c r="CD106" s="879"/>
      <c r="CE106" s="879"/>
      <c r="CF106" s="879"/>
      <c r="CG106" s="879"/>
      <c r="CH106" s="879"/>
      <c r="CI106" s="879"/>
      <c r="CJ106" s="879"/>
      <c r="CK106" s="879"/>
      <c r="CL106" s="879"/>
      <c r="CM106" s="879"/>
      <c r="CN106" s="879"/>
      <c r="CO106" s="879"/>
      <c r="CP106" s="879"/>
      <c r="CQ106" s="879"/>
      <c r="CR106" s="879"/>
      <c r="CS106" s="879"/>
      <c r="CT106" s="879"/>
      <c r="CU106" s="879"/>
      <c r="CV106" s="879"/>
      <c r="CW106" s="879"/>
      <c r="CX106" s="879"/>
      <c r="CY106" s="879"/>
      <c r="CZ106" s="879"/>
      <c r="DA106" s="879"/>
      <c r="DB106" s="879"/>
      <c r="DC106" s="879"/>
      <c r="DD106" s="879"/>
      <c r="DE106" s="879"/>
      <c r="DF106" s="879"/>
      <c r="DG106" s="879"/>
      <c r="DH106" s="879"/>
      <c r="DI106" s="879"/>
      <c r="DJ106" s="879"/>
      <c r="DK106" s="879"/>
      <c r="DL106" s="879"/>
      <c r="DM106" s="879"/>
      <c r="DN106" s="879"/>
      <c r="DO106" s="879"/>
      <c r="DP106" s="879"/>
      <c r="DQ106" s="879"/>
      <c r="DR106" s="879"/>
      <c r="DS106" s="879"/>
      <c r="DT106" s="879"/>
      <c r="DU106" s="879"/>
      <c r="DV106" s="879"/>
      <c r="DW106" s="879"/>
      <c r="DX106" s="879"/>
      <c r="DY106" s="879"/>
      <c r="DZ106" s="879"/>
      <c r="EA106" s="879"/>
      <c r="EB106" s="879"/>
      <c r="EC106" s="879"/>
      <c r="ED106" s="879"/>
      <c r="EE106" s="879"/>
      <c r="EF106" s="879"/>
      <c r="EG106" s="879"/>
      <c r="EH106" s="879"/>
      <c r="EI106" s="879"/>
      <c r="EJ106" s="879"/>
      <c r="EK106" s="879"/>
      <c r="EL106" s="879"/>
      <c r="EM106" s="879"/>
      <c r="EN106" s="879"/>
      <c r="EO106" s="879"/>
      <c r="EP106" s="879"/>
      <c r="EQ106" s="879"/>
      <c r="ER106" s="879"/>
      <c r="ES106" s="879"/>
      <c r="ET106" s="879"/>
      <c r="EU106" s="879"/>
      <c r="EV106" s="879"/>
      <c r="EW106" s="879"/>
      <c r="EX106" s="879"/>
      <c r="EY106" s="879"/>
      <c r="EZ106" s="879"/>
      <c r="FA106" s="879"/>
      <c r="FB106" s="879"/>
      <c r="FC106" s="879"/>
      <c r="FD106" s="879"/>
      <c r="FE106" s="879"/>
      <c r="FF106" s="879"/>
      <c r="FG106" s="879"/>
      <c r="FH106" s="879"/>
      <c r="FI106" s="879"/>
      <c r="FJ106" s="879"/>
      <c r="FK106" s="879"/>
      <c r="FL106" s="879"/>
      <c r="FM106" s="879"/>
      <c r="FN106" s="879"/>
      <c r="FO106" s="879"/>
      <c r="FP106" s="879"/>
      <c r="FQ106" s="879"/>
      <c r="FR106" s="879"/>
      <c r="FS106" s="879"/>
      <c r="FT106" s="879"/>
      <c r="FU106" s="879"/>
      <c r="FV106" s="879"/>
      <c r="FW106" s="879"/>
      <c r="FX106" s="879"/>
      <c r="FY106" s="879"/>
      <c r="FZ106" s="879"/>
      <c r="GA106" s="879"/>
      <c r="GB106" s="879"/>
      <c r="GC106" s="879"/>
      <c r="GD106" s="879"/>
      <c r="GE106" s="879"/>
      <c r="GF106" s="879"/>
      <c r="GG106" s="879"/>
      <c r="GH106" s="879"/>
      <c r="GI106" s="879"/>
      <c r="GJ106" s="879"/>
      <c r="GK106" s="879"/>
      <c r="GL106" s="879"/>
      <c r="GM106" s="879"/>
      <c r="GN106" s="879"/>
      <c r="GO106" s="879"/>
      <c r="GP106" s="879"/>
      <c r="GQ106" s="879"/>
      <c r="GR106" s="879"/>
      <c r="GS106" s="879"/>
      <c r="GT106" s="879"/>
      <c r="GU106" s="879"/>
      <c r="GV106" s="879"/>
      <c r="GW106" s="879"/>
      <c r="GX106" s="879"/>
      <c r="GY106" s="879"/>
      <c r="GZ106" s="879"/>
      <c r="HA106" s="879"/>
      <c r="HB106" s="879"/>
      <c r="HC106" s="879"/>
      <c r="HD106" s="879"/>
      <c r="HE106" s="879"/>
      <c r="HF106" s="879"/>
      <c r="HG106" s="879"/>
      <c r="HH106" s="879"/>
      <c r="HI106" s="879"/>
      <c r="HJ106" s="879"/>
      <c r="HK106" s="879"/>
      <c r="HL106" s="879"/>
      <c r="HM106" s="879"/>
      <c r="HN106" s="879"/>
      <c r="HO106" s="879"/>
      <c r="HP106" s="879"/>
      <c r="HQ106" s="879"/>
      <c r="HR106" s="879"/>
      <c r="HS106" s="879"/>
      <c r="HT106" s="879"/>
      <c r="HU106" s="879"/>
      <c r="HV106" s="879"/>
      <c r="HW106" s="879"/>
      <c r="HX106" s="879"/>
      <c r="HY106" s="879"/>
      <c r="HZ106" s="879"/>
      <c r="IA106" s="879"/>
      <c r="IB106" s="879"/>
      <c r="IC106" s="879"/>
      <c r="ID106" s="879"/>
      <c r="IE106" s="879"/>
      <c r="IF106" s="879"/>
      <c r="IG106" s="879"/>
      <c r="IH106" s="879"/>
      <c r="II106" s="879"/>
      <c r="IJ106" s="879"/>
      <c r="IK106" s="879"/>
      <c r="IL106" s="879"/>
      <c r="IM106" s="879"/>
      <c r="IN106" s="879"/>
      <c r="IO106" s="879"/>
      <c r="IP106" s="879"/>
      <c r="IQ106" s="879"/>
      <c r="IR106" s="879"/>
      <c r="IS106" s="879"/>
      <c r="IT106" s="879"/>
      <c r="IU106" s="879"/>
      <c r="IV106" s="879"/>
    </row>
    <row r="107" spans="1:256" s="880" customFormat="1" ht="10.5" customHeight="1">
      <c r="A107" s="877" t="s">
        <v>863</v>
      </c>
      <c r="B107" s="803"/>
      <c r="C107" s="803"/>
      <c r="D107" s="803"/>
      <c r="E107" s="803"/>
      <c r="F107" s="803"/>
      <c r="G107" s="924"/>
      <c r="H107" s="924"/>
      <c r="I107" s="924"/>
      <c r="J107" s="924"/>
      <c r="K107" s="879"/>
      <c r="L107" s="879"/>
      <c r="M107" s="879"/>
      <c r="N107" s="879"/>
      <c r="O107" s="879"/>
      <c r="P107" s="879"/>
      <c r="Q107" s="879"/>
      <c r="R107" s="879"/>
      <c r="S107" s="879"/>
      <c r="T107" s="879"/>
      <c r="U107" s="879"/>
      <c r="V107" s="879"/>
      <c r="W107" s="879"/>
      <c r="X107" s="879"/>
      <c r="Y107" s="879"/>
      <c r="Z107" s="879"/>
      <c r="AA107" s="879"/>
      <c r="AB107" s="879"/>
      <c r="AC107" s="879"/>
      <c r="AD107" s="879"/>
      <c r="AE107" s="879"/>
      <c r="AF107" s="879"/>
      <c r="AG107" s="879"/>
      <c r="AH107" s="879"/>
      <c r="AI107" s="879"/>
      <c r="AJ107" s="879"/>
      <c r="AK107" s="879"/>
      <c r="AL107" s="879"/>
      <c r="AM107" s="879"/>
      <c r="AN107" s="879"/>
      <c r="AO107" s="879"/>
      <c r="AP107" s="879"/>
      <c r="AQ107" s="879"/>
      <c r="AR107" s="879"/>
      <c r="AS107" s="879"/>
      <c r="AT107" s="879"/>
      <c r="AU107" s="879"/>
      <c r="AV107" s="879"/>
      <c r="AW107" s="879"/>
      <c r="AX107" s="879"/>
      <c r="AY107" s="879"/>
      <c r="AZ107" s="879"/>
      <c r="BA107" s="879"/>
      <c r="BB107" s="879"/>
      <c r="BC107" s="879"/>
      <c r="BD107" s="879"/>
      <c r="BE107" s="879"/>
      <c r="BF107" s="879"/>
      <c r="BG107" s="879"/>
      <c r="BH107" s="879"/>
      <c r="BI107" s="879"/>
      <c r="BJ107" s="879"/>
      <c r="BK107" s="879"/>
      <c r="BL107" s="879"/>
      <c r="BM107" s="879"/>
      <c r="BN107" s="879"/>
      <c r="BO107" s="879"/>
      <c r="BP107" s="879"/>
      <c r="BQ107" s="879"/>
      <c r="BR107" s="879"/>
      <c r="BS107" s="879"/>
      <c r="BT107" s="879"/>
      <c r="BU107" s="879"/>
      <c r="BV107" s="879"/>
      <c r="BW107" s="879"/>
      <c r="BX107" s="879"/>
      <c r="BY107" s="879"/>
      <c r="BZ107" s="879"/>
      <c r="CA107" s="879"/>
      <c r="CB107" s="879"/>
      <c r="CC107" s="879"/>
      <c r="CD107" s="879"/>
      <c r="CE107" s="879"/>
      <c r="CF107" s="879"/>
      <c r="CG107" s="879"/>
      <c r="CH107" s="879"/>
      <c r="CI107" s="879"/>
      <c r="CJ107" s="879"/>
      <c r="CK107" s="879"/>
      <c r="CL107" s="879"/>
      <c r="CM107" s="879"/>
      <c r="CN107" s="879"/>
      <c r="CO107" s="879"/>
      <c r="CP107" s="879"/>
      <c r="CQ107" s="879"/>
      <c r="CR107" s="879"/>
      <c r="CS107" s="879"/>
      <c r="CT107" s="879"/>
      <c r="CU107" s="879"/>
      <c r="CV107" s="879"/>
      <c r="CW107" s="879"/>
      <c r="CX107" s="879"/>
      <c r="CY107" s="879"/>
      <c r="CZ107" s="879"/>
      <c r="DA107" s="879"/>
      <c r="DB107" s="879"/>
      <c r="DC107" s="879"/>
      <c r="DD107" s="879"/>
      <c r="DE107" s="879"/>
      <c r="DF107" s="879"/>
      <c r="DG107" s="879"/>
      <c r="DH107" s="879"/>
      <c r="DI107" s="879"/>
      <c r="DJ107" s="879"/>
      <c r="DK107" s="879"/>
      <c r="DL107" s="879"/>
      <c r="DM107" s="879"/>
      <c r="DN107" s="879"/>
      <c r="DO107" s="879"/>
      <c r="DP107" s="879"/>
      <c r="DQ107" s="879"/>
      <c r="DR107" s="879"/>
      <c r="DS107" s="879"/>
      <c r="DT107" s="879"/>
      <c r="DU107" s="879"/>
      <c r="DV107" s="879"/>
      <c r="DW107" s="879"/>
      <c r="DX107" s="879"/>
      <c r="DY107" s="879"/>
      <c r="DZ107" s="879"/>
      <c r="EA107" s="879"/>
      <c r="EB107" s="879"/>
      <c r="EC107" s="879"/>
      <c r="ED107" s="879"/>
      <c r="EE107" s="879"/>
      <c r="EF107" s="879"/>
      <c r="EG107" s="879"/>
      <c r="EH107" s="879"/>
      <c r="EI107" s="879"/>
      <c r="EJ107" s="879"/>
      <c r="EK107" s="879"/>
      <c r="EL107" s="879"/>
      <c r="EM107" s="879"/>
      <c r="EN107" s="879"/>
      <c r="EO107" s="879"/>
      <c r="EP107" s="879"/>
      <c r="EQ107" s="879"/>
      <c r="ER107" s="879"/>
      <c r="ES107" s="879"/>
      <c r="ET107" s="879"/>
      <c r="EU107" s="879"/>
      <c r="EV107" s="879"/>
      <c r="EW107" s="879"/>
      <c r="EX107" s="879"/>
      <c r="EY107" s="879"/>
      <c r="EZ107" s="879"/>
      <c r="FA107" s="879"/>
      <c r="FB107" s="879"/>
      <c r="FC107" s="879"/>
      <c r="FD107" s="879"/>
      <c r="FE107" s="879"/>
      <c r="FF107" s="879"/>
      <c r="FG107" s="879"/>
      <c r="FH107" s="879"/>
      <c r="FI107" s="879"/>
      <c r="FJ107" s="879"/>
      <c r="FK107" s="879"/>
      <c r="FL107" s="879"/>
      <c r="FM107" s="879"/>
      <c r="FN107" s="879"/>
      <c r="FO107" s="879"/>
      <c r="FP107" s="879"/>
      <c r="FQ107" s="879"/>
      <c r="FR107" s="879"/>
      <c r="FS107" s="879"/>
      <c r="FT107" s="879"/>
      <c r="FU107" s="879"/>
      <c r="FV107" s="879"/>
      <c r="FW107" s="879"/>
      <c r="FX107" s="879"/>
      <c r="FY107" s="879"/>
      <c r="FZ107" s="879"/>
      <c r="GA107" s="879"/>
      <c r="GB107" s="879"/>
      <c r="GC107" s="879"/>
      <c r="GD107" s="879"/>
      <c r="GE107" s="879"/>
      <c r="GF107" s="879"/>
      <c r="GG107" s="879"/>
      <c r="GH107" s="879"/>
      <c r="GI107" s="879"/>
      <c r="GJ107" s="879"/>
      <c r="GK107" s="879"/>
      <c r="GL107" s="879"/>
      <c r="GM107" s="879"/>
      <c r="GN107" s="879"/>
      <c r="GO107" s="879"/>
      <c r="GP107" s="879"/>
      <c r="GQ107" s="879"/>
      <c r="GR107" s="879"/>
      <c r="GS107" s="879"/>
      <c r="GT107" s="879"/>
      <c r="GU107" s="879"/>
      <c r="GV107" s="879"/>
      <c r="GW107" s="879"/>
      <c r="GX107" s="879"/>
      <c r="GY107" s="879"/>
      <c r="GZ107" s="879"/>
      <c r="HA107" s="879"/>
      <c r="HB107" s="879"/>
      <c r="HC107" s="879"/>
      <c r="HD107" s="879"/>
      <c r="HE107" s="879"/>
      <c r="HF107" s="879"/>
      <c r="HG107" s="879"/>
      <c r="HH107" s="879"/>
      <c r="HI107" s="879"/>
      <c r="HJ107" s="879"/>
      <c r="HK107" s="879"/>
      <c r="HL107" s="879"/>
      <c r="HM107" s="879"/>
      <c r="HN107" s="879"/>
      <c r="HO107" s="879"/>
      <c r="HP107" s="879"/>
      <c r="HQ107" s="879"/>
      <c r="HR107" s="879"/>
      <c r="HS107" s="879"/>
      <c r="HT107" s="879"/>
      <c r="HU107" s="879"/>
      <c r="HV107" s="879"/>
      <c r="HW107" s="879"/>
      <c r="HX107" s="879"/>
      <c r="HY107" s="879"/>
      <c r="HZ107" s="879"/>
      <c r="IA107" s="879"/>
      <c r="IB107" s="879"/>
      <c r="IC107" s="879"/>
      <c r="ID107" s="879"/>
      <c r="IE107" s="879"/>
      <c r="IF107" s="879"/>
      <c r="IG107" s="879"/>
      <c r="IH107" s="879"/>
      <c r="II107" s="879"/>
      <c r="IJ107" s="879"/>
      <c r="IK107" s="879"/>
      <c r="IL107" s="879"/>
      <c r="IM107" s="879"/>
      <c r="IN107" s="879"/>
      <c r="IO107" s="879"/>
      <c r="IP107" s="879"/>
      <c r="IQ107" s="879"/>
      <c r="IR107" s="879"/>
      <c r="IS107" s="879"/>
      <c r="IT107" s="879"/>
      <c r="IU107" s="879"/>
      <c r="IV107" s="879"/>
    </row>
    <row r="108" spans="1:256" s="880" customFormat="1" ht="10.5" customHeight="1">
      <c r="A108" s="877" t="s">
        <v>864</v>
      </c>
      <c r="B108" s="803"/>
      <c r="C108" s="803"/>
      <c r="D108" s="803"/>
      <c r="E108" s="803"/>
      <c r="F108" s="803"/>
      <c r="G108" s="924"/>
      <c r="H108" s="924"/>
      <c r="I108" s="924"/>
      <c r="J108" s="924"/>
      <c r="K108" s="879"/>
      <c r="L108" s="879"/>
      <c r="M108" s="879"/>
      <c r="N108" s="879"/>
      <c r="O108" s="879"/>
      <c r="P108" s="879"/>
      <c r="Q108" s="879"/>
      <c r="R108" s="879"/>
      <c r="S108" s="879"/>
      <c r="T108" s="879"/>
      <c r="U108" s="879"/>
      <c r="V108" s="879"/>
      <c r="W108" s="879"/>
      <c r="X108" s="879"/>
      <c r="Y108" s="879"/>
      <c r="Z108" s="879"/>
      <c r="AA108" s="879"/>
      <c r="AB108" s="879"/>
      <c r="AC108" s="879"/>
      <c r="AD108" s="879"/>
      <c r="AE108" s="879"/>
      <c r="AF108" s="879"/>
      <c r="AG108" s="879"/>
      <c r="AH108" s="879"/>
      <c r="AI108" s="879"/>
      <c r="AJ108" s="879"/>
      <c r="AK108" s="879"/>
      <c r="AL108" s="879"/>
      <c r="AM108" s="879"/>
      <c r="AN108" s="879"/>
      <c r="AO108" s="879"/>
      <c r="AP108" s="879"/>
      <c r="AQ108" s="879"/>
      <c r="AR108" s="879"/>
      <c r="AS108" s="879"/>
      <c r="AT108" s="879"/>
      <c r="AU108" s="879"/>
      <c r="AV108" s="879"/>
      <c r="AW108" s="879"/>
      <c r="AX108" s="879"/>
      <c r="AY108" s="879"/>
      <c r="AZ108" s="879"/>
      <c r="BA108" s="879"/>
      <c r="BB108" s="879"/>
      <c r="BC108" s="879"/>
      <c r="BD108" s="879"/>
      <c r="BE108" s="879"/>
      <c r="BF108" s="879"/>
      <c r="BG108" s="879"/>
      <c r="BH108" s="879"/>
      <c r="BI108" s="879"/>
      <c r="BJ108" s="879"/>
      <c r="BK108" s="879"/>
      <c r="BL108" s="879"/>
      <c r="BM108" s="879"/>
      <c r="BN108" s="879"/>
      <c r="BO108" s="879"/>
      <c r="BP108" s="879"/>
      <c r="BQ108" s="879"/>
      <c r="BR108" s="879"/>
      <c r="BS108" s="879"/>
      <c r="BT108" s="879"/>
      <c r="BU108" s="879"/>
      <c r="BV108" s="879"/>
      <c r="BW108" s="879"/>
      <c r="BX108" s="879"/>
      <c r="BY108" s="879"/>
      <c r="BZ108" s="879"/>
      <c r="CA108" s="879"/>
      <c r="CB108" s="879"/>
      <c r="CC108" s="879"/>
      <c r="CD108" s="879"/>
      <c r="CE108" s="879"/>
      <c r="CF108" s="879"/>
      <c r="CG108" s="879"/>
      <c r="CH108" s="879"/>
      <c r="CI108" s="879"/>
      <c r="CJ108" s="879"/>
      <c r="CK108" s="879"/>
      <c r="CL108" s="879"/>
      <c r="CM108" s="879"/>
      <c r="CN108" s="879"/>
      <c r="CO108" s="879"/>
      <c r="CP108" s="879"/>
      <c r="CQ108" s="879"/>
      <c r="CR108" s="879"/>
      <c r="CS108" s="879"/>
      <c r="CT108" s="879"/>
      <c r="CU108" s="879"/>
      <c r="CV108" s="879"/>
      <c r="CW108" s="879"/>
      <c r="CX108" s="879"/>
      <c r="CY108" s="879"/>
      <c r="CZ108" s="879"/>
      <c r="DA108" s="879"/>
      <c r="DB108" s="879"/>
      <c r="DC108" s="879"/>
      <c r="DD108" s="879"/>
      <c r="DE108" s="879"/>
      <c r="DF108" s="879"/>
      <c r="DG108" s="879"/>
      <c r="DH108" s="879"/>
      <c r="DI108" s="879"/>
      <c r="DJ108" s="879"/>
      <c r="DK108" s="879"/>
      <c r="DL108" s="879"/>
      <c r="DM108" s="879"/>
      <c r="DN108" s="879"/>
      <c r="DO108" s="879"/>
      <c r="DP108" s="879"/>
      <c r="DQ108" s="879"/>
      <c r="DR108" s="879"/>
      <c r="DS108" s="879"/>
      <c r="DT108" s="879"/>
      <c r="DU108" s="879"/>
      <c r="DV108" s="879"/>
      <c r="DW108" s="879"/>
      <c r="DX108" s="879"/>
      <c r="DY108" s="879"/>
      <c r="DZ108" s="879"/>
      <c r="EA108" s="879"/>
      <c r="EB108" s="879"/>
      <c r="EC108" s="879"/>
      <c r="ED108" s="879"/>
      <c r="EE108" s="879"/>
      <c r="EF108" s="879"/>
      <c r="EG108" s="879"/>
      <c r="EH108" s="879"/>
      <c r="EI108" s="879"/>
      <c r="EJ108" s="879"/>
      <c r="EK108" s="879"/>
      <c r="EL108" s="879"/>
      <c r="EM108" s="879"/>
      <c r="EN108" s="879"/>
      <c r="EO108" s="879"/>
      <c r="EP108" s="879"/>
      <c r="EQ108" s="879"/>
      <c r="ER108" s="879"/>
      <c r="ES108" s="879"/>
      <c r="ET108" s="879"/>
      <c r="EU108" s="879"/>
      <c r="EV108" s="879"/>
      <c r="EW108" s="879"/>
      <c r="EX108" s="879"/>
      <c r="EY108" s="879"/>
      <c r="EZ108" s="879"/>
      <c r="FA108" s="879"/>
      <c r="FB108" s="879"/>
      <c r="FC108" s="879"/>
      <c r="FD108" s="879"/>
      <c r="FE108" s="879"/>
      <c r="FF108" s="879"/>
      <c r="FG108" s="879"/>
      <c r="FH108" s="879"/>
      <c r="FI108" s="879"/>
      <c r="FJ108" s="879"/>
      <c r="FK108" s="879"/>
      <c r="FL108" s="879"/>
      <c r="FM108" s="879"/>
      <c r="FN108" s="879"/>
      <c r="FO108" s="879"/>
      <c r="FP108" s="879"/>
      <c r="FQ108" s="879"/>
      <c r="FR108" s="879"/>
      <c r="FS108" s="879"/>
      <c r="FT108" s="879"/>
      <c r="FU108" s="879"/>
      <c r="FV108" s="879"/>
      <c r="FW108" s="879"/>
      <c r="FX108" s="879"/>
      <c r="FY108" s="879"/>
      <c r="FZ108" s="879"/>
      <c r="GA108" s="879"/>
      <c r="GB108" s="879"/>
      <c r="GC108" s="879"/>
      <c r="GD108" s="879"/>
      <c r="GE108" s="879"/>
      <c r="GF108" s="879"/>
      <c r="GG108" s="879"/>
      <c r="GH108" s="879"/>
      <c r="GI108" s="879"/>
      <c r="GJ108" s="879"/>
      <c r="GK108" s="879"/>
      <c r="GL108" s="879"/>
      <c r="GM108" s="879"/>
      <c r="GN108" s="879"/>
      <c r="GO108" s="879"/>
      <c r="GP108" s="879"/>
      <c r="GQ108" s="879"/>
      <c r="GR108" s="879"/>
      <c r="GS108" s="879"/>
      <c r="GT108" s="879"/>
      <c r="GU108" s="879"/>
      <c r="GV108" s="879"/>
      <c r="GW108" s="879"/>
      <c r="GX108" s="879"/>
      <c r="GY108" s="879"/>
      <c r="GZ108" s="879"/>
      <c r="HA108" s="879"/>
      <c r="HB108" s="879"/>
      <c r="HC108" s="879"/>
      <c r="HD108" s="879"/>
      <c r="HE108" s="879"/>
      <c r="HF108" s="879"/>
      <c r="HG108" s="879"/>
      <c r="HH108" s="879"/>
      <c r="HI108" s="879"/>
      <c r="HJ108" s="879"/>
      <c r="HK108" s="879"/>
      <c r="HL108" s="879"/>
      <c r="HM108" s="879"/>
      <c r="HN108" s="879"/>
      <c r="HO108" s="879"/>
      <c r="HP108" s="879"/>
      <c r="HQ108" s="879"/>
      <c r="HR108" s="879"/>
      <c r="HS108" s="879"/>
      <c r="HT108" s="879"/>
      <c r="HU108" s="879"/>
      <c r="HV108" s="879"/>
      <c r="HW108" s="879"/>
      <c r="HX108" s="879"/>
      <c r="HY108" s="879"/>
      <c r="HZ108" s="879"/>
      <c r="IA108" s="879"/>
      <c r="IB108" s="879"/>
      <c r="IC108" s="879"/>
      <c r="ID108" s="879"/>
      <c r="IE108" s="879"/>
      <c r="IF108" s="879"/>
      <c r="IG108" s="879"/>
      <c r="IH108" s="879"/>
      <c r="II108" s="879"/>
      <c r="IJ108" s="879"/>
      <c r="IK108" s="879"/>
      <c r="IL108" s="879"/>
      <c r="IM108" s="879"/>
      <c r="IN108" s="879"/>
      <c r="IO108" s="879"/>
      <c r="IP108" s="879"/>
      <c r="IQ108" s="879"/>
      <c r="IR108" s="879"/>
      <c r="IS108" s="879"/>
      <c r="IT108" s="879"/>
      <c r="IU108" s="879"/>
      <c r="IV108" s="879"/>
    </row>
    <row r="109" spans="1:256" s="880" customFormat="1" ht="10.5" customHeight="1">
      <c r="A109" s="877" t="s">
        <v>865</v>
      </c>
      <c r="B109" s="803"/>
      <c r="C109" s="803"/>
      <c r="D109" s="803"/>
      <c r="E109" s="803"/>
      <c r="F109" s="803"/>
      <c r="G109" s="924"/>
      <c r="H109" s="924"/>
      <c r="I109" s="924"/>
      <c r="J109" s="924"/>
      <c r="K109" s="879"/>
      <c r="L109" s="879"/>
      <c r="M109" s="879"/>
      <c r="N109" s="879"/>
      <c r="O109" s="879"/>
      <c r="P109" s="879"/>
      <c r="Q109" s="879"/>
      <c r="R109" s="879"/>
      <c r="S109" s="879"/>
      <c r="T109" s="879"/>
      <c r="U109" s="879"/>
      <c r="V109" s="879"/>
      <c r="W109" s="879"/>
      <c r="X109" s="879"/>
      <c r="Y109" s="879"/>
      <c r="Z109" s="879"/>
      <c r="AA109" s="879"/>
      <c r="AB109" s="879"/>
      <c r="AC109" s="879"/>
      <c r="AD109" s="879"/>
      <c r="AE109" s="879"/>
      <c r="AF109" s="879"/>
      <c r="AG109" s="879"/>
      <c r="AH109" s="879"/>
      <c r="AI109" s="879"/>
      <c r="AJ109" s="879"/>
      <c r="AK109" s="879"/>
      <c r="AL109" s="879"/>
      <c r="AM109" s="879"/>
      <c r="AN109" s="879"/>
      <c r="AO109" s="879"/>
      <c r="AP109" s="879"/>
      <c r="AQ109" s="879"/>
      <c r="AR109" s="879"/>
      <c r="AS109" s="879"/>
      <c r="AT109" s="879"/>
      <c r="AU109" s="879"/>
      <c r="AV109" s="879"/>
      <c r="AW109" s="879"/>
      <c r="AX109" s="879"/>
      <c r="AY109" s="879"/>
      <c r="AZ109" s="879"/>
      <c r="BA109" s="879"/>
      <c r="BB109" s="879"/>
      <c r="BC109" s="879"/>
      <c r="BD109" s="879"/>
      <c r="BE109" s="879"/>
      <c r="BF109" s="879"/>
      <c r="BG109" s="879"/>
      <c r="BH109" s="879"/>
      <c r="BI109" s="879"/>
      <c r="BJ109" s="879"/>
      <c r="BK109" s="879"/>
      <c r="BL109" s="879"/>
      <c r="BM109" s="879"/>
      <c r="BN109" s="879"/>
      <c r="BO109" s="879"/>
      <c r="BP109" s="879"/>
      <c r="BQ109" s="879"/>
      <c r="BR109" s="879"/>
      <c r="BS109" s="879"/>
      <c r="BT109" s="879"/>
      <c r="BU109" s="879"/>
      <c r="BV109" s="879"/>
      <c r="BW109" s="879"/>
      <c r="BX109" s="879"/>
      <c r="BY109" s="879"/>
      <c r="BZ109" s="879"/>
      <c r="CA109" s="879"/>
      <c r="CB109" s="879"/>
      <c r="CC109" s="879"/>
      <c r="CD109" s="879"/>
      <c r="CE109" s="879"/>
      <c r="CF109" s="879"/>
      <c r="CG109" s="879"/>
      <c r="CH109" s="879"/>
      <c r="CI109" s="879"/>
      <c r="CJ109" s="879"/>
      <c r="CK109" s="879"/>
      <c r="CL109" s="879"/>
      <c r="CM109" s="879"/>
      <c r="CN109" s="879"/>
      <c r="CO109" s="879"/>
      <c r="CP109" s="879"/>
      <c r="CQ109" s="879"/>
      <c r="CR109" s="879"/>
      <c r="CS109" s="879"/>
      <c r="CT109" s="879"/>
      <c r="CU109" s="879"/>
      <c r="CV109" s="879"/>
      <c r="CW109" s="879"/>
      <c r="CX109" s="879"/>
      <c r="CY109" s="879"/>
      <c r="CZ109" s="879"/>
      <c r="DA109" s="879"/>
      <c r="DB109" s="879"/>
      <c r="DC109" s="879"/>
      <c r="DD109" s="879"/>
      <c r="DE109" s="879"/>
      <c r="DF109" s="879"/>
      <c r="DG109" s="879"/>
      <c r="DH109" s="879"/>
      <c r="DI109" s="879"/>
      <c r="DJ109" s="879"/>
      <c r="DK109" s="879"/>
      <c r="DL109" s="879"/>
      <c r="DM109" s="879"/>
      <c r="DN109" s="879"/>
      <c r="DO109" s="879"/>
      <c r="DP109" s="879"/>
      <c r="DQ109" s="879"/>
      <c r="DR109" s="879"/>
      <c r="DS109" s="879"/>
      <c r="DT109" s="879"/>
      <c r="DU109" s="879"/>
      <c r="DV109" s="879"/>
      <c r="DW109" s="879"/>
      <c r="DX109" s="879"/>
      <c r="DY109" s="879"/>
      <c r="DZ109" s="879"/>
      <c r="EA109" s="879"/>
      <c r="EB109" s="879"/>
      <c r="EC109" s="879"/>
      <c r="ED109" s="879"/>
      <c r="EE109" s="879"/>
      <c r="EF109" s="879"/>
      <c r="EG109" s="879"/>
      <c r="EH109" s="879"/>
      <c r="EI109" s="879"/>
      <c r="EJ109" s="879"/>
      <c r="EK109" s="879"/>
      <c r="EL109" s="879"/>
      <c r="EM109" s="879"/>
      <c r="EN109" s="879"/>
      <c r="EO109" s="879"/>
      <c r="EP109" s="879"/>
      <c r="EQ109" s="879"/>
      <c r="ER109" s="879"/>
      <c r="ES109" s="879"/>
      <c r="ET109" s="879"/>
      <c r="EU109" s="879"/>
      <c r="EV109" s="879"/>
      <c r="EW109" s="879"/>
      <c r="EX109" s="879"/>
      <c r="EY109" s="879"/>
      <c r="EZ109" s="879"/>
      <c r="FA109" s="879"/>
      <c r="FB109" s="879"/>
      <c r="FC109" s="879"/>
      <c r="FD109" s="879"/>
      <c r="FE109" s="879"/>
      <c r="FF109" s="879"/>
      <c r="FG109" s="879"/>
      <c r="FH109" s="879"/>
      <c r="FI109" s="879"/>
      <c r="FJ109" s="879"/>
      <c r="FK109" s="879"/>
      <c r="FL109" s="879"/>
      <c r="FM109" s="879"/>
      <c r="FN109" s="879"/>
      <c r="FO109" s="879"/>
      <c r="FP109" s="879"/>
      <c r="FQ109" s="879"/>
      <c r="FR109" s="879"/>
      <c r="FS109" s="879"/>
      <c r="FT109" s="879"/>
      <c r="FU109" s="879"/>
      <c r="FV109" s="879"/>
      <c r="FW109" s="879"/>
      <c r="FX109" s="879"/>
      <c r="FY109" s="879"/>
      <c r="FZ109" s="879"/>
      <c r="GA109" s="879"/>
      <c r="GB109" s="879"/>
      <c r="GC109" s="879"/>
      <c r="GD109" s="879"/>
      <c r="GE109" s="879"/>
      <c r="GF109" s="879"/>
      <c r="GG109" s="879"/>
      <c r="GH109" s="879"/>
      <c r="GI109" s="879"/>
      <c r="GJ109" s="879"/>
      <c r="GK109" s="879"/>
      <c r="GL109" s="879"/>
      <c r="GM109" s="879"/>
      <c r="GN109" s="879"/>
      <c r="GO109" s="879"/>
      <c r="GP109" s="879"/>
      <c r="GQ109" s="879"/>
      <c r="GR109" s="879"/>
      <c r="GS109" s="879"/>
      <c r="GT109" s="879"/>
      <c r="GU109" s="879"/>
      <c r="GV109" s="879"/>
      <c r="GW109" s="879"/>
      <c r="GX109" s="879"/>
      <c r="GY109" s="879"/>
      <c r="GZ109" s="879"/>
      <c r="HA109" s="879"/>
      <c r="HB109" s="879"/>
      <c r="HC109" s="879"/>
      <c r="HD109" s="879"/>
      <c r="HE109" s="879"/>
      <c r="HF109" s="879"/>
      <c r="HG109" s="879"/>
      <c r="HH109" s="879"/>
      <c r="HI109" s="879"/>
      <c r="HJ109" s="879"/>
      <c r="HK109" s="879"/>
      <c r="HL109" s="879"/>
      <c r="HM109" s="879"/>
      <c r="HN109" s="879"/>
      <c r="HO109" s="879"/>
      <c r="HP109" s="879"/>
      <c r="HQ109" s="879"/>
      <c r="HR109" s="879"/>
      <c r="HS109" s="879"/>
      <c r="HT109" s="879"/>
      <c r="HU109" s="879"/>
      <c r="HV109" s="879"/>
      <c r="HW109" s="879"/>
      <c r="HX109" s="879"/>
      <c r="HY109" s="879"/>
      <c r="HZ109" s="879"/>
      <c r="IA109" s="879"/>
      <c r="IB109" s="879"/>
      <c r="IC109" s="879"/>
      <c r="ID109" s="879"/>
      <c r="IE109" s="879"/>
      <c r="IF109" s="879"/>
      <c r="IG109" s="879"/>
      <c r="IH109" s="879"/>
      <c r="II109" s="879"/>
      <c r="IJ109" s="879"/>
      <c r="IK109" s="879"/>
      <c r="IL109" s="879"/>
      <c r="IM109" s="879"/>
      <c r="IN109" s="879"/>
      <c r="IO109" s="879"/>
      <c r="IP109" s="879"/>
      <c r="IQ109" s="879"/>
      <c r="IR109" s="879"/>
      <c r="IS109" s="879"/>
      <c r="IT109" s="879"/>
      <c r="IU109" s="879"/>
      <c r="IV109" s="879"/>
    </row>
    <row r="110" spans="1:256">
      <c r="A110" s="877" t="s">
        <v>866</v>
      </c>
    </row>
    <row r="111" spans="1:256">
      <c r="A111" s="877" t="s">
        <v>867</v>
      </c>
    </row>
    <row r="112" spans="1:256" s="880" customFormat="1" ht="10.5" customHeight="1">
      <c r="A112" s="877" t="s">
        <v>868</v>
      </c>
      <c r="B112" s="803"/>
      <c r="C112" s="803"/>
      <c r="D112" s="803"/>
      <c r="E112" s="803"/>
      <c r="F112" s="803"/>
      <c r="G112" s="924"/>
      <c r="H112" s="924"/>
      <c r="I112" s="924"/>
      <c r="J112" s="924"/>
      <c r="K112" s="879"/>
      <c r="L112" s="879"/>
      <c r="M112" s="879"/>
      <c r="N112" s="879"/>
      <c r="O112" s="879"/>
      <c r="P112" s="879"/>
      <c r="Q112" s="879"/>
      <c r="R112" s="879"/>
      <c r="S112" s="879"/>
      <c r="T112" s="879"/>
      <c r="U112" s="879"/>
      <c r="V112" s="879"/>
      <c r="W112" s="879"/>
      <c r="X112" s="879"/>
      <c r="Y112" s="879"/>
      <c r="Z112" s="879"/>
      <c r="AA112" s="879"/>
      <c r="AB112" s="879"/>
      <c r="AC112" s="879"/>
      <c r="AD112" s="879"/>
      <c r="AE112" s="879"/>
      <c r="AF112" s="879"/>
      <c r="AG112" s="879"/>
      <c r="AH112" s="879"/>
      <c r="AI112" s="879"/>
      <c r="AJ112" s="879"/>
      <c r="AK112" s="879"/>
      <c r="AL112" s="879"/>
      <c r="AM112" s="879"/>
      <c r="AN112" s="879"/>
      <c r="AO112" s="879"/>
      <c r="AP112" s="879"/>
      <c r="AQ112" s="879"/>
      <c r="AR112" s="879"/>
      <c r="AS112" s="879"/>
      <c r="AT112" s="879"/>
      <c r="AU112" s="879"/>
      <c r="AV112" s="879"/>
      <c r="AW112" s="879"/>
      <c r="AX112" s="879"/>
      <c r="AY112" s="879"/>
      <c r="AZ112" s="879"/>
      <c r="BA112" s="879"/>
      <c r="BB112" s="879"/>
      <c r="BC112" s="879"/>
      <c r="BD112" s="879"/>
      <c r="BE112" s="879"/>
      <c r="BF112" s="879"/>
      <c r="BG112" s="879"/>
      <c r="BH112" s="879"/>
      <c r="BI112" s="879"/>
      <c r="BJ112" s="879"/>
      <c r="BK112" s="879"/>
      <c r="BL112" s="879"/>
      <c r="BM112" s="879"/>
      <c r="BN112" s="879"/>
      <c r="BO112" s="879"/>
      <c r="BP112" s="879"/>
      <c r="BQ112" s="879"/>
      <c r="BR112" s="879"/>
      <c r="BS112" s="879"/>
      <c r="BT112" s="879"/>
      <c r="BU112" s="879"/>
      <c r="BV112" s="879"/>
      <c r="BW112" s="879"/>
      <c r="BX112" s="879"/>
      <c r="BY112" s="879"/>
      <c r="BZ112" s="879"/>
      <c r="CA112" s="879"/>
      <c r="CB112" s="879"/>
      <c r="CC112" s="879"/>
      <c r="CD112" s="879"/>
      <c r="CE112" s="879"/>
      <c r="CF112" s="879"/>
      <c r="CG112" s="879"/>
      <c r="CH112" s="879"/>
      <c r="CI112" s="879"/>
      <c r="CJ112" s="879"/>
      <c r="CK112" s="879"/>
      <c r="CL112" s="879"/>
      <c r="CM112" s="879"/>
      <c r="CN112" s="879"/>
      <c r="CO112" s="879"/>
      <c r="CP112" s="879"/>
      <c r="CQ112" s="879"/>
      <c r="CR112" s="879"/>
      <c r="CS112" s="879"/>
      <c r="CT112" s="879"/>
      <c r="CU112" s="879"/>
      <c r="CV112" s="879"/>
      <c r="CW112" s="879"/>
      <c r="CX112" s="879"/>
      <c r="CY112" s="879"/>
      <c r="CZ112" s="879"/>
      <c r="DA112" s="879"/>
      <c r="DB112" s="879"/>
      <c r="DC112" s="879"/>
      <c r="DD112" s="879"/>
      <c r="DE112" s="879"/>
      <c r="DF112" s="879"/>
      <c r="DG112" s="879"/>
      <c r="DH112" s="879"/>
      <c r="DI112" s="879"/>
      <c r="DJ112" s="879"/>
      <c r="DK112" s="879"/>
      <c r="DL112" s="879"/>
      <c r="DM112" s="879"/>
      <c r="DN112" s="879"/>
      <c r="DO112" s="879"/>
      <c r="DP112" s="879"/>
      <c r="DQ112" s="879"/>
      <c r="DR112" s="879"/>
      <c r="DS112" s="879"/>
      <c r="DT112" s="879"/>
      <c r="DU112" s="879"/>
      <c r="DV112" s="879"/>
      <c r="DW112" s="879"/>
      <c r="DX112" s="879"/>
      <c r="DY112" s="879"/>
      <c r="DZ112" s="879"/>
      <c r="EA112" s="879"/>
      <c r="EB112" s="879"/>
      <c r="EC112" s="879"/>
      <c r="ED112" s="879"/>
      <c r="EE112" s="879"/>
      <c r="EF112" s="879"/>
      <c r="EG112" s="879"/>
      <c r="EH112" s="879"/>
      <c r="EI112" s="879"/>
      <c r="EJ112" s="879"/>
      <c r="EK112" s="879"/>
      <c r="EL112" s="879"/>
      <c r="EM112" s="879"/>
      <c r="EN112" s="879"/>
      <c r="EO112" s="879"/>
      <c r="EP112" s="879"/>
      <c r="EQ112" s="879"/>
      <c r="ER112" s="879"/>
      <c r="ES112" s="879"/>
      <c r="ET112" s="879"/>
      <c r="EU112" s="879"/>
      <c r="EV112" s="879"/>
      <c r="EW112" s="879"/>
      <c r="EX112" s="879"/>
      <c r="EY112" s="879"/>
      <c r="EZ112" s="879"/>
      <c r="FA112" s="879"/>
      <c r="FB112" s="879"/>
      <c r="FC112" s="879"/>
      <c r="FD112" s="879"/>
      <c r="FE112" s="879"/>
      <c r="FF112" s="879"/>
      <c r="FG112" s="879"/>
      <c r="FH112" s="879"/>
      <c r="FI112" s="879"/>
      <c r="FJ112" s="879"/>
      <c r="FK112" s="879"/>
      <c r="FL112" s="879"/>
      <c r="FM112" s="879"/>
      <c r="FN112" s="879"/>
      <c r="FO112" s="879"/>
      <c r="FP112" s="879"/>
      <c r="FQ112" s="879"/>
      <c r="FR112" s="879"/>
      <c r="FS112" s="879"/>
      <c r="FT112" s="879"/>
      <c r="FU112" s="879"/>
      <c r="FV112" s="879"/>
      <c r="FW112" s="879"/>
      <c r="FX112" s="879"/>
      <c r="FY112" s="879"/>
      <c r="FZ112" s="879"/>
      <c r="GA112" s="879"/>
      <c r="GB112" s="879"/>
      <c r="GC112" s="879"/>
      <c r="GD112" s="879"/>
      <c r="GE112" s="879"/>
      <c r="GF112" s="879"/>
      <c r="GG112" s="879"/>
      <c r="GH112" s="879"/>
      <c r="GI112" s="879"/>
      <c r="GJ112" s="879"/>
      <c r="GK112" s="879"/>
      <c r="GL112" s="879"/>
      <c r="GM112" s="879"/>
      <c r="GN112" s="879"/>
      <c r="GO112" s="879"/>
      <c r="GP112" s="879"/>
      <c r="GQ112" s="879"/>
      <c r="GR112" s="879"/>
      <c r="GS112" s="879"/>
      <c r="GT112" s="879"/>
      <c r="GU112" s="879"/>
      <c r="GV112" s="879"/>
      <c r="GW112" s="879"/>
      <c r="GX112" s="879"/>
      <c r="GY112" s="879"/>
      <c r="GZ112" s="879"/>
      <c r="HA112" s="879"/>
      <c r="HB112" s="879"/>
      <c r="HC112" s="879"/>
      <c r="HD112" s="879"/>
      <c r="HE112" s="879"/>
      <c r="HF112" s="879"/>
      <c r="HG112" s="879"/>
      <c r="HH112" s="879"/>
      <c r="HI112" s="879"/>
      <c r="HJ112" s="879"/>
      <c r="HK112" s="879"/>
      <c r="HL112" s="879"/>
      <c r="HM112" s="879"/>
      <c r="HN112" s="879"/>
      <c r="HO112" s="879"/>
      <c r="HP112" s="879"/>
      <c r="HQ112" s="879"/>
      <c r="HR112" s="879"/>
      <c r="HS112" s="879"/>
      <c r="HT112" s="879"/>
      <c r="HU112" s="879"/>
      <c r="HV112" s="879"/>
      <c r="HW112" s="879"/>
      <c r="HX112" s="879"/>
      <c r="HY112" s="879"/>
      <c r="HZ112" s="879"/>
      <c r="IA112" s="879"/>
      <c r="IB112" s="879"/>
      <c r="IC112" s="879"/>
      <c r="ID112" s="879"/>
      <c r="IE112" s="879"/>
      <c r="IF112" s="879"/>
      <c r="IG112" s="879"/>
      <c r="IH112" s="879"/>
      <c r="II112" s="879"/>
      <c r="IJ112" s="879"/>
      <c r="IK112" s="879"/>
      <c r="IL112" s="879"/>
      <c r="IM112" s="879"/>
      <c r="IN112" s="879"/>
      <c r="IO112" s="879"/>
      <c r="IP112" s="879"/>
      <c r="IQ112" s="879"/>
      <c r="IR112" s="879"/>
      <c r="IS112" s="879"/>
      <c r="IT112" s="879"/>
      <c r="IU112" s="879"/>
      <c r="IV112" s="879"/>
    </row>
    <row r="113" spans="1:256" s="880" customFormat="1" ht="10.5" customHeight="1">
      <c r="A113" s="877" t="s">
        <v>869</v>
      </c>
      <c r="B113" s="803"/>
      <c r="C113" s="803"/>
      <c r="D113" s="803"/>
      <c r="E113" s="803"/>
      <c r="F113" s="803"/>
      <c r="G113" s="924"/>
      <c r="H113" s="924"/>
      <c r="I113" s="924"/>
      <c r="J113" s="924"/>
      <c r="K113" s="879"/>
      <c r="L113" s="879"/>
      <c r="M113" s="879"/>
      <c r="N113" s="879"/>
      <c r="O113" s="879"/>
      <c r="P113" s="879"/>
      <c r="Q113" s="879"/>
      <c r="R113" s="879"/>
      <c r="S113" s="879"/>
      <c r="T113" s="879"/>
      <c r="U113" s="879"/>
      <c r="V113" s="879"/>
      <c r="W113" s="879"/>
      <c r="X113" s="879"/>
      <c r="Y113" s="879"/>
      <c r="Z113" s="879"/>
      <c r="AA113" s="879"/>
      <c r="AB113" s="879"/>
      <c r="AC113" s="879"/>
      <c r="AD113" s="879"/>
      <c r="AE113" s="879"/>
      <c r="AF113" s="879"/>
      <c r="AG113" s="879"/>
      <c r="AH113" s="879"/>
      <c r="AI113" s="879"/>
      <c r="AJ113" s="879"/>
      <c r="AK113" s="879"/>
      <c r="AL113" s="879"/>
      <c r="AM113" s="879"/>
      <c r="AN113" s="879"/>
      <c r="AO113" s="879"/>
      <c r="AP113" s="879"/>
      <c r="AQ113" s="879"/>
      <c r="AR113" s="879"/>
      <c r="AS113" s="879"/>
      <c r="AT113" s="879"/>
      <c r="AU113" s="879"/>
      <c r="AV113" s="879"/>
      <c r="AW113" s="879"/>
      <c r="AX113" s="879"/>
      <c r="AY113" s="879"/>
      <c r="AZ113" s="879"/>
      <c r="BA113" s="879"/>
      <c r="BB113" s="879"/>
      <c r="BC113" s="879"/>
      <c r="BD113" s="879"/>
      <c r="BE113" s="879"/>
      <c r="BF113" s="879"/>
      <c r="BG113" s="879"/>
      <c r="BH113" s="879"/>
      <c r="BI113" s="879"/>
      <c r="BJ113" s="879"/>
      <c r="BK113" s="879"/>
      <c r="BL113" s="879"/>
      <c r="BM113" s="879"/>
      <c r="BN113" s="879"/>
      <c r="BO113" s="879"/>
      <c r="BP113" s="879"/>
      <c r="BQ113" s="879"/>
      <c r="BR113" s="879"/>
      <c r="BS113" s="879"/>
      <c r="BT113" s="879"/>
      <c r="BU113" s="879"/>
      <c r="BV113" s="879"/>
      <c r="BW113" s="879"/>
      <c r="BX113" s="879"/>
      <c r="BY113" s="879"/>
      <c r="BZ113" s="879"/>
      <c r="CA113" s="879"/>
      <c r="CB113" s="879"/>
      <c r="CC113" s="879"/>
      <c r="CD113" s="879"/>
      <c r="CE113" s="879"/>
      <c r="CF113" s="879"/>
      <c r="CG113" s="879"/>
      <c r="CH113" s="879"/>
      <c r="CI113" s="879"/>
      <c r="CJ113" s="879"/>
      <c r="CK113" s="879"/>
      <c r="CL113" s="879"/>
      <c r="CM113" s="879"/>
      <c r="CN113" s="879"/>
      <c r="CO113" s="879"/>
      <c r="CP113" s="879"/>
      <c r="CQ113" s="879"/>
      <c r="CR113" s="879"/>
      <c r="CS113" s="879"/>
      <c r="CT113" s="879"/>
      <c r="CU113" s="879"/>
      <c r="CV113" s="879"/>
      <c r="CW113" s="879"/>
      <c r="CX113" s="879"/>
      <c r="CY113" s="879"/>
      <c r="CZ113" s="879"/>
      <c r="DA113" s="879"/>
      <c r="DB113" s="879"/>
      <c r="DC113" s="879"/>
      <c r="DD113" s="879"/>
      <c r="DE113" s="879"/>
      <c r="DF113" s="879"/>
      <c r="DG113" s="879"/>
      <c r="DH113" s="879"/>
      <c r="DI113" s="879"/>
      <c r="DJ113" s="879"/>
      <c r="DK113" s="879"/>
      <c r="DL113" s="879"/>
      <c r="DM113" s="879"/>
      <c r="DN113" s="879"/>
      <c r="DO113" s="879"/>
      <c r="DP113" s="879"/>
      <c r="DQ113" s="879"/>
      <c r="DR113" s="879"/>
      <c r="DS113" s="879"/>
      <c r="DT113" s="879"/>
      <c r="DU113" s="879"/>
      <c r="DV113" s="879"/>
      <c r="DW113" s="879"/>
      <c r="DX113" s="879"/>
      <c r="DY113" s="879"/>
      <c r="DZ113" s="879"/>
      <c r="EA113" s="879"/>
      <c r="EB113" s="879"/>
      <c r="EC113" s="879"/>
      <c r="ED113" s="879"/>
      <c r="EE113" s="879"/>
      <c r="EF113" s="879"/>
      <c r="EG113" s="879"/>
      <c r="EH113" s="879"/>
      <c r="EI113" s="879"/>
      <c r="EJ113" s="879"/>
      <c r="EK113" s="879"/>
      <c r="EL113" s="879"/>
      <c r="EM113" s="879"/>
      <c r="EN113" s="879"/>
      <c r="EO113" s="879"/>
      <c r="EP113" s="879"/>
      <c r="EQ113" s="879"/>
      <c r="ER113" s="879"/>
      <c r="ES113" s="879"/>
      <c r="ET113" s="879"/>
      <c r="EU113" s="879"/>
      <c r="EV113" s="879"/>
      <c r="EW113" s="879"/>
      <c r="EX113" s="879"/>
      <c r="EY113" s="879"/>
      <c r="EZ113" s="879"/>
      <c r="FA113" s="879"/>
      <c r="FB113" s="879"/>
      <c r="FC113" s="879"/>
      <c r="FD113" s="879"/>
      <c r="FE113" s="879"/>
      <c r="FF113" s="879"/>
      <c r="FG113" s="879"/>
      <c r="FH113" s="879"/>
      <c r="FI113" s="879"/>
      <c r="FJ113" s="879"/>
      <c r="FK113" s="879"/>
      <c r="FL113" s="879"/>
      <c r="FM113" s="879"/>
      <c r="FN113" s="879"/>
      <c r="FO113" s="879"/>
      <c r="FP113" s="879"/>
      <c r="FQ113" s="879"/>
      <c r="FR113" s="879"/>
      <c r="FS113" s="879"/>
      <c r="FT113" s="879"/>
      <c r="FU113" s="879"/>
      <c r="FV113" s="879"/>
      <c r="FW113" s="879"/>
      <c r="FX113" s="879"/>
      <c r="FY113" s="879"/>
      <c r="FZ113" s="879"/>
      <c r="GA113" s="879"/>
      <c r="GB113" s="879"/>
      <c r="GC113" s="879"/>
      <c r="GD113" s="879"/>
      <c r="GE113" s="879"/>
      <c r="GF113" s="879"/>
      <c r="GG113" s="879"/>
      <c r="GH113" s="879"/>
      <c r="GI113" s="879"/>
      <c r="GJ113" s="879"/>
      <c r="GK113" s="879"/>
      <c r="GL113" s="879"/>
      <c r="GM113" s="879"/>
      <c r="GN113" s="879"/>
      <c r="GO113" s="879"/>
      <c r="GP113" s="879"/>
      <c r="GQ113" s="879"/>
      <c r="GR113" s="879"/>
      <c r="GS113" s="879"/>
      <c r="GT113" s="879"/>
      <c r="GU113" s="879"/>
      <c r="GV113" s="879"/>
      <c r="GW113" s="879"/>
      <c r="GX113" s="879"/>
      <c r="GY113" s="879"/>
      <c r="GZ113" s="879"/>
      <c r="HA113" s="879"/>
      <c r="HB113" s="879"/>
      <c r="HC113" s="879"/>
      <c r="HD113" s="879"/>
      <c r="HE113" s="879"/>
      <c r="HF113" s="879"/>
      <c r="HG113" s="879"/>
      <c r="HH113" s="879"/>
      <c r="HI113" s="879"/>
      <c r="HJ113" s="879"/>
      <c r="HK113" s="879"/>
      <c r="HL113" s="879"/>
      <c r="HM113" s="879"/>
      <c r="HN113" s="879"/>
      <c r="HO113" s="879"/>
      <c r="HP113" s="879"/>
      <c r="HQ113" s="879"/>
      <c r="HR113" s="879"/>
      <c r="HS113" s="879"/>
      <c r="HT113" s="879"/>
      <c r="HU113" s="879"/>
      <c r="HV113" s="879"/>
      <c r="HW113" s="879"/>
      <c r="HX113" s="879"/>
      <c r="HY113" s="879"/>
      <c r="HZ113" s="879"/>
      <c r="IA113" s="879"/>
      <c r="IB113" s="879"/>
      <c r="IC113" s="879"/>
      <c r="ID113" s="879"/>
      <c r="IE113" s="879"/>
      <c r="IF113" s="879"/>
      <c r="IG113" s="879"/>
      <c r="IH113" s="879"/>
      <c r="II113" s="879"/>
      <c r="IJ113" s="879"/>
      <c r="IK113" s="879"/>
      <c r="IL113" s="879"/>
      <c r="IM113" s="879"/>
      <c r="IN113" s="879"/>
      <c r="IO113" s="879"/>
      <c r="IP113" s="879"/>
      <c r="IQ113" s="879"/>
      <c r="IR113" s="879"/>
      <c r="IS113" s="879"/>
      <c r="IT113" s="879"/>
      <c r="IU113" s="879"/>
      <c r="IV113" s="879"/>
    </row>
    <row r="114" spans="1:256" s="880" customFormat="1" ht="10.5" customHeight="1">
      <c r="A114" s="877" t="s">
        <v>870</v>
      </c>
      <c r="B114" s="803"/>
      <c r="C114" s="803"/>
      <c r="D114" s="803"/>
      <c r="E114" s="803"/>
      <c r="F114" s="803"/>
      <c r="G114" s="924"/>
      <c r="H114" s="924"/>
      <c r="I114" s="924"/>
      <c r="J114" s="924"/>
      <c r="K114" s="879"/>
      <c r="L114" s="879"/>
      <c r="M114" s="879"/>
      <c r="N114" s="879"/>
      <c r="O114" s="879"/>
      <c r="P114" s="879"/>
      <c r="Q114" s="879"/>
      <c r="R114" s="879"/>
      <c r="S114" s="879"/>
      <c r="T114" s="879"/>
      <c r="U114" s="879"/>
      <c r="V114" s="879"/>
      <c r="W114" s="879"/>
      <c r="X114" s="879"/>
      <c r="Y114" s="879"/>
      <c r="Z114" s="879"/>
      <c r="AA114" s="879"/>
      <c r="AB114" s="879"/>
      <c r="AC114" s="879"/>
      <c r="AD114" s="879"/>
      <c r="AE114" s="879"/>
      <c r="AF114" s="879"/>
      <c r="AG114" s="879"/>
      <c r="AH114" s="879"/>
      <c r="AI114" s="879"/>
      <c r="AJ114" s="879"/>
      <c r="AK114" s="879"/>
      <c r="AL114" s="879"/>
      <c r="AM114" s="879"/>
      <c r="AN114" s="879"/>
      <c r="AO114" s="879"/>
      <c r="AP114" s="879"/>
      <c r="AQ114" s="879"/>
      <c r="AR114" s="879"/>
      <c r="AS114" s="879"/>
      <c r="AT114" s="879"/>
      <c r="AU114" s="879"/>
      <c r="AV114" s="879"/>
      <c r="AW114" s="879"/>
      <c r="AX114" s="879"/>
      <c r="AY114" s="879"/>
      <c r="AZ114" s="879"/>
      <c r="BA114" s="879"/>
      <c r="BB114" s="879"/>
      <c r="BC114" s="879"/>
      <c r="BD114" s="879"/>
      <c r="BE114" s="879"/>
      <c r="BF114" s="879"/>
      <c r="BG114" s="879"/>
      <c r="BH114" s="879"/>
      <c r="BI114" s="879"/>
      <c r="BJ114" s="879"/>
      <c r="BK114" s="879"/>
      <c r="BL114" s="879"/>
      <c r="BM114" s="879"/>
      <c r="BN114" s="879"/>
      <c r="BO114" s="879"/>
      <c r="BP114" s="879"/>
      <c r="BQ114" s="879"/>
      <c r="BR114" s="879"/>
      <c r="BS114" s="879"/>
      <c r="BT114" s="879"/>
      <c r="BU114" s="879"/>
      <c r="BV114" s="879"/>
      <c r="BW114" s="879"/>
      <c r="BX114" s="879"/>
      <c r="BY114" s="879"/>
      <c r="BZ114" s="879"/>
      <c r="CA114" s="879"/>
      <c r="CB114" s="879"/>
      <c r="CC114" s="879"/>
      <c r="CD114" s="879"/>
      <c r="CE114" s="879"/>
      <c r="CF114" s="879"/>
      <c r="CG114" s="879"/>
      <c r="CH114" s="879"/>
      <c r="CI114" s="879"/>
      <c r="CJ114" s="879"/>
      <c r="CK114" s="879"/>
      <c r="CL114" s="879"/>
      <c r="CM114" s="879"/>
      <c r="CN114" s="879"/>
      <c r="CO114" s="879"/>
      <c r="CP114" s="879"/>
      <c r="CQ114" s="879"/>
      <c r="CR114" s="879"/>
      <c r="CS114" s="879"/>
      <c r="CT114" s="879"/>
      <c r="CU114" s="879"/>
      <c r="CV114" s="879"/>
      <c r="CW114" s="879"/>
      <c r="CX114" s="879"/>
      <c r="CY114" s="879"/>
      <c r="CZ114" s="879"/>
      <c r="DA114" s="879"/>
      <c r="DB114" s="879"/>
      <c r="DC114" s="879"/>
      <c r="DD114" s="879"/>
      <c r="DE114" s="879"/>
      <c r="DF114" s="879"/>
      <c r="DG114" s="879"/>
      <c r="DH114" s="879"/>
      <c r="DI114" s="879"/>
      <c r="DJ114" s="879"/>
      <c r="DK114" s="879"/>
      <c r="DL114" s="879"/>
      <c r="DM114" s="879"/>
      <c r="DN114" s="879"/>
      <c r="DO114" s="879"/>
      <c r="DP114" s="879"/>
      <c r="DQ114" s="879"/>
      <c r="DR114" s="879"/>
      <c r="DS114" s="879"/>
      <c r="DT114" s="879"/>
      <c r="DU114" s="879"/>
      <c r="DV114" s="879"/>
      <c r="DW114" s="879"/>
      <c r="DX114" s="879"/>
      <c r="DY114" s="879"/>
      <c r="DZ114" s="879"/>
      <c r="EA114" s="879"/>
      <c r="EB114" s="879"/>
      <c r="EC114" s="879"/>
      <c r="ED114" s="879"/>
      <c r="EE114" s="879"/>
      <c r="EF114" s="879"/>
      <c r="EG114" s="879"/>
      <c r="EH114" s="879"/>
      <c r="EI114" s="879"/>
      <c r="EJ114" s="879"/>
      <c r="EK114" s="879"/>
      <c r="EL114" s="879"/>
      <c r="EM114" s="879"/>
      <c r="EN114" s="879"/>
      <c r="EO114" s="879"/>
      <c r="EP114" s="879"/>
      <c r="EQ114" s="879"/>
      <c r="ER114" s="879"/>
      <c r="ES114" s="879"/>
      <c r="ET114" s="879"/>
      <c r="EU114" s="879"/>
      <c r="EV114" s="879"/>
      <c r="EW114" s="879"/>
      <c r="EX114" s="879"/>
      <c r="EY114" s="879"/>
      <c r="EZ114" s="879"/>
      <c r="FA114" s="879"/>
      <c r="FB114" s="879"/>
      <c r="FC114" s="879"/>
      <c r="FD114" s="879"/>
      <c r="FE114" s="879"/>
      <c r="FF114" s="879"/>
      <c r="FG114" s="879"/>
      <c r="FH114" s="879"/>
      <c r="FI114" s="879"/>
      <c r="FJ114" s="879"/>
      <c r="FK114" s="879"/>
      <c r="FL114" s="879"/>
      <c r="FM114" s="879"/>
      <c r="FN114" s="879"/>
      <c r="FO114" s="879"/>
      <c r="FP114" s="879"/>
      <c r="FQ114" s="879"/>
      <c r="FR114" s="879"/>
      <c r="FS114" s="879"/>
      <c r="FT114" s="879"/>
      <c r="FU114" s="879"/>
      <c r="FV114" s="879"/>
      <c r="FW114" s="879"/>
      <c r="FX114" s="879"/>
      <c r="FY114" s="879"/>
      <c r="FZ114" s="879"/>
      <c r="GA114" s="879"/>
      <c r="GB114" s="879"/>
      <c r="GC114" s="879"/>
      <c r="GD114" s="879"/>
      <c r="GE114" s="879"/>
      <c r="GF114" s="879"/>
      <c r="GG114" s="879"/>
      <c r="GH114" s="879"/>
      <c r="GI114" s="879"/>
      <c r="GJ114" s="879"/>
      <c r="GK114" s="879"/>
      <c r="GL114" s="879"/>
      <c r="GM114" s="879"/>
      <c r="GN114" s="879"/>
      <c r="GO114" s="879"/>
      <c r="GP114" s="879"/>
      <c r="GQ114" s="879"/>
      <c r="GR114" s="879"/>
      <c r="GS114" s="879"/>
      <c r="GT114" s="879"/>
      <c r="GU114" s="879"/>
      <c r="GV114" s="879"/>
      <c r="GW114" s="879"/>
      <c r="GX114" s="879"/>
      <c r="GY114" s="879"/>
      <c r="GZ114" s="879"/>
      <c r="HA114" s="879"/>
      <c r="HB114" s="879"/>
      <c r="HC114" s="879"/>
      <c r="HD114" s="879"/>
      <c r="HE114" s="879"/>
      <c r="HF114" s="879"/>
      <c r="HG114" s="879"/>
      <c r="HH114" s="879"/>
      <c r="HI114" s="879"/>
      <c r="HJ114" s="879"/>
      <c r="HK114" s="879"/>
      <c r="HL114" s="879"/>
      <c r="HM114" s="879"/>
      <c r="HN114" s="879"/>
      <c r="HO114" s="879"/>
      <c r="HP114" s="879"/>
      <c r="HQ114" s="879"/>
      <c r="HR114" s="879"/>
      <c r="HS114" s="879"/>
      <c r="HT114" s="879"/>
      <c r="HU114" s="879"/>
      <c r="HV114" s="879"/>
      <c r="HW114" s="879"/>
      <c r="HX114" s="879"/>
      <c r="HY114" s="879"/>
      <c r="HZ114" s="879"/>
      <c r="IA114" s="879"/>
      <c r="IB114" s="879"/>
      <c r="IC114" s="879"/>
      <c r="ID114" s="879"/>
      <c r="IE114" s="879"/>
      <c r="IF114" s="879"/>
      <c r="IG114" s="879"/>
      <c r="IH114" s="879"/>
      <c r="II114" s="879"/>
      <c r="IJ114" s="879"/>
      <c r="IK114" s="879"/>
      <c r="IL114" s="879"/>
      <c r="IM114" s="879"/>
      <c r="IN114" s="879"/>
      <c r="IO114" s="879"/>
      <c r="IP114" s="879"/>
      <c r="IQ114" s="879"/>
      <c r="IR114" s="879"/>
      <c r="IS114" s="879"/>
      <c r="IT114" s="879"/>
      <c r="IU114" s="879"/>
      <c r="IV114" s="879"/>
    </row>
    <row r="115" spans="1:256" s="880" customFormat="1" ht="10.5" customHeight="1">
      <c r="A115" s="877"/>
      <c r="B115" s="803"/>
      <c r="C115" s="803"/>
      <c r="D115" s="803"/>
      <c r="E115" s="803"/>
      <c r="F115" s="803"/>
      <c r="G115" s="924"/>
      <c r="H115" s="924"/>
      <c r="I115" s="924"/>
      <c r="J115" s="924"/>
      <c r="K115" s="879"/>
      <c r="L115" s="879"/>
      <c r="M115" s="879"/>
      <c r="N115" s="879"/>
      <c r="O115" s="879"/>
      <c r="P115" s="879"/>
      <c r="Q115" s="879"/>
      <c r="R115" s="879"/>
      <c r="S115" s="879"/>
      <c r="T115" s="879"/>
      <c r="U115" s="879"/>
      <c r="V115" s="879"/>
      <c r="W115" s="879"/>
      <c r="X115" s="879"/>
      <c r="Y115" s="879"/>
      <c r="Z115" s="879"/>
      <c r="AA115" s="879"/>
      <c r="AB115" s="879"/>
      <c r="AC115" s="879"/>
      <c r="AD115" s="879"/>
      <c r="AE115" s="879"/>
      <c r="AF115" s="879"/>
      <c r="AG115" s="879"/>
      <c r="AH115" s="879"/>
      <c r="AI115" s="879"/>
      <c r="AJ115" s="879"/>
      <c r="AK115" s="879"/>
      <c r="AL115" s="879"/>
      <c r="AM115" s="879"/>
      <c r="AN115" s="879"/>
      <c r="AO115" s="879"/>
      <c r="AP115" s="879"/>
      <c r="AQ115" s="879"/>
      <c r="AR115" s="879"/>
      <c r="AS115" s="879"/>
      <c r="AT115" s="879"/>
      <c r="AU115" s="879"/>
      <c r="AV115" s="879"/>
      <c r="AW115" s="879"/>
      <c r="AX115" s="879"/>
      <c r="AY115" s="879"/>
      <c r="AZ115" s="879"/>
      <c r="BA115" s="879"/>
      <c r="BB115" s="879"/>
      <c r="BC115" s="879"/>
      <c r="BD115" s="879"/>
      <c r="BE115" s="879"/>
      <c r="BF115" s="879"/>
      <c r="BG115" s="879"/>
      <c r="BH115" s="879"/>
      <c r="BI115" s="879"/>
      <c r="BJ115" s="879"/>
      <c r="BK115" s="879"/>
      <c r="BL115" s="879"/>
      <c r="BM115" s="879"/>
      <c r="BN115" s="879"/>
      <c r="BO115" s="879"/>
      <c r="BP115" s="879"/>
      <c r="BQ115" s="879"/>
      <c r="BR115" s="879"/>
      <c r="BS115" s="879"/>
      <c r="BT115" s="879"/>
      <c r="BU115" s="879"/>
      <c r="BV115" s="879"/>
      <c r="BW115" s="879"/>
      <c r="BX115" s="879"/>
      <c r="BY115" s="879"/>
      <c r="BZ115" s="879"/>
      <c r="CA115" s="879"/>
      <c r="CB115" s="879"/>
      <c r="CC115" s="879"/>
      <c r="CD115" s="879"/>
      <c r="CE115" s="879"/>
      <c r="CF115" s="879"/>
      <c r="CG115" s="879"/>
      <c r="CH115" s="879"/>
      <c r="CI115" s="879"/>
      <c r="CJ115" s="879"/>
      <c r="CK115" s="879"/>
      <c r="CL115" s="879"/>
      <c r="CM115" s="879"/>
      <c r="CN115" s="879"/>
      <c r="CO115" s="879"/>
      <c r="CP115" s="879"/>
      <c r="CQ115" s="879"/>
      <c r="CR115" s="879"/>
      <c r="CS115" s="879"/>
      <c r="CT115" s="879"/>
      <c r="CU115" s="879"/>
      <c r="CV115" s="879"/>
      <c r="CW115" s="879"/>
      <c r="CX115" s="879"/>
      <c r="CY115" s="879"/>
      <c r="CZ115" s="879"/>
      <c r="DA115" s="879"/>
      <c r="DB115" s="879"/>
      <c r="DC115" s="879"/>
      <c r="DD115" s="879"/>
      <c r="DE115" s="879"/>
      <c r="DF115" s="879"/>
      <c r="DG115" s="879"/>
      <c r="DH115" s="879"/>
      <c r="DI115" s="879"/>
      <c r="DJ115" s="879"/>
      <c r="DK115" s="879"/>
      <c r="DL115" s="879"/>
      <c r="DM115" s="879"/>
      <c r="DN115" s="879"/>
      <c r="DO115" s="879"/>
      <c r="DP115" s="879"/>
      <c r="DQ115" s="879"/>
      <c r="DR115" s="879"/>
      <c r="DS115" s="879"/>
      <c r="DT115" s="879"/>
      <c r="DU115" s="879"/>
      <c r="DV115" s="879"/>
      <c r="DW115" s="879"/>
      <c r="DX115" s="879"/>
      <c r="DY115" s="879"/>
      <c r="DZ115" s="879"/>
      <c r="EA115" s="879"/>
      <c r="EB115" s="879"/>
      <c r="EC115" s="879"/>
      <c r="ED115" s="879"/>
      <c r="EE115" s="879"/>
      <c r="EF115" s="879"/>
      <c r="EG115" s="879"/>
      <c r="EH115" s="879"/>
      <c r="EI115" s="879"/>
      <c r="EJ115" s="879"/>
      <c r="EK115" s="879"/>
      <c r="EL115" s="879"/>
      <c r="EM115" s="879"/>
      <c r="EN115" s="879"/>
      <c r="EO115" s="879"/>
      <c r="EP115" s="879"/>
      <c r="EQ115" s="879"/>
      <c r="ER115" s="879"/>
      <c r="ES115" s="879"/>
      <c r="ET115" s="879"/>
      <c r="EU115" s="879"/>
      <c r="EV115" s="879"/>
      <c r="EW115" s="879"/>
      <c r="EX115" s="879"/>
      <c r="EY115" s="879"/>
      <c r="EZ115" s="879"/>
      <c r="FA115" s="879"/>
      <c r="FB115" s="879"/>
      <c r="FC115" s="879"/>
      <c r="FD115" s="879"/>
      <c r="FE115" s="879"/>
      <c r="FF115" s="879"/>
      <c r="FG115" s="879"/>
      <c r="FH115" s="879"/>
      <c r="FI115" s="879"/>
      <c r="FJ115" s="879"/>
      <c r="FK115" s="879"/>
      <c r="FL115" s="879"/>
      <c r="FM115" s="879"/>
      <c r="FN115" s="879"/>
      <c r="FO115" s="879"/>
      <c r="FP115" s="879"/>
      <c r="FQ115" s="879"/>
      <c r="FR115" s="879"/>
      <c r="FS115" s="879"/>
      <c r="FT115" s="879"/>
      <c r="FU115" s="879"/>
      <c r="FV115" s="879"/>
      <c r="FW115" s="879"/>
      <c r="FX115" s="879"/>
      <c r="FY115" s="879"/>
      <c r="FZ115" s="879"/>
      <c r="GA115" s="879"/>
      <c r="GB115" s="879"/>
      <c r="GC115" s="879"/>
      <c r="GD115" s="879"/>
      <c r="GE115" s="879"/>
      <c r="GF115" s="879"/>
      <c r="GG115" s="879"/>
      <c r="GH115" s="879"/>
      <c r="GI115" s="879"/>
      <c r="GJ115" s="879"/>
      <c r="GK115" s="879"/>
      <c r="GL115" s="879"/>
      <c r="GM115" s="879"/>
      <c r="GN115" s="879"/>
      <c r="GO115" s="879"/>
      <c r="GP115" s="879"/>
      <c r="GQ115" s="879"/>
      <c r="GR115" s="879"/>
      <c r="GS115" s="879"/>
      <c r="GT115" s="879"/>
      <c r="GU115" s="879"/>
      <c r="GV115" s="879"/>
      <c r="GW115" s="879"/>
      <c r="GX115" s="879"/>
      <c r="GY115" s="879"/>
      <c r="GZ115" s="879"/>
      <c r="HA115" s="879"/>
      <c r="HB115" s="879"/>
      <c r="HC115" s="879"/>
      <c r="HD115" s="879"/>
      <c r="HE115" s="879"/>
      <c r="HF115" s="879"/>
      <c r="HG115" s="879"/>
      <c r="HH115" s="879"/>
      <c r="HI115" s="879"/>
      <c r="HJ115" s="879"/>
      <c r="HK115" s="879"/>
      <c r="HL115" s="879"/>
      <c r="HM115" s="879"/>
      <c r="HN115" s="879"/>
      <c r="HO115" s="879"/>
      <c r="HP115" s="879"/>
      <c r="HQ115" s="879"/>
      <c r="HR115" s="879"/>
      <c r="HS115" s="879"/>
      <c r="HT115" s="879"/>
      <c r="HU115" s="879"/>
      <c r="HV115" s="879"/>
      <c r="HW115" s="879"/>
      <c r="HX115" s="879"/>
      <c r="HY115" s="879"/>
      <c r="HZ115" s="879"/>
      <c r="IA115" s="879"/>
      <c r="IB115" s="879"/>
      <c r="IC115" s="879"/>
      <c r="ID115" s="879"/>
      <c r="IE115" s="879"/>
      <c r="IF115" s="879"/>
      <c r="IG115" s="879"/>
      <c r="IH115" s="879"/>
      <c r="II115" s="879"/>
      <c r="IJ115" s="879"/>
      <c r="IK115" s="879"/>
      <c r="IL115" s="879"/>
      <c r="IM115" s="879"/>
      <c r="IN115" s="879"/>
      <c r="IO115" s="879"/>
      <c r="IP115" s="879"/>
      <c r="IQ115" s="879"/>
      <c r="IR115" s="879"/>
      <c r="IS115" s="879"/>
      <c r="IT115" s="879"/>
      <c r="IU115" s="879"/>
      <c r="IV115" s="879"/>
    </row>
    <row r="116" spans="1:256" ht="6" customHeight="1">
      <c r="A116" s="803"/>
      <c r="B116" s="803"/>
      <c r="C116" s="803"/>
      <c r="D116" s="803"/>
      <c r="E116" s="803"/>
      <c r="F116" s="803"/>
      <c r="G116" s="924"/>
      <c r="I116" s="801"/>
      <c r="J116" s="801"/>
      <c r="K116" s="817"/>
      <c r="L116" s="817"/>
      <c r="M116" s="817"/>
      <c r="N116" s="817"/>
      <c r="O116" s="817"/>
      <c r="P116" s="817"/>
      <c r="Q116" s="817"/>
      <c r="R116" s="817"/>
      <c r="S116" s="817"/>
      <c r="T116" s="817"/>
      <c r="U116" s="817"/>
      <c r="V116" s="817"/>
      <c r="W116" s="817"/>
      <c r="X116" s="817"/>
      <c r="Y116" s="817"/>
      <c r="Z116" s="817"/>
      <c r="AA116" s="817"/>
      <c r="AB116" s="817"/>
      <c r="AC116" s="817"/>
      <c r="AD116" s="817"/>
      <c r="AE116" s="817"/>
      <c r="AF116" s="817"/>
      <c r="AG116" s="817"/>
      <c r="AH116" s="817"/>
      <c r="AI116" s="817"/>
      <c r="AJ116" s="817"/>
      <c r="AK116" s="817"/>
      <c r="AL116" s="817"/>
      <c r="AM116" s="817"/>
      <c r="AN116" s="817"/>
      <c r="AO116" s="817"/>
      <c r="AP116" s="817"/>
      <c r="AQ116" s="817"/>
      <c r="AR116" s="817"/>
      <c r="AS116" s="817"/>
      <c r="AT116" s="817"/>
      <c r="AU116" s="817"/>
      <c r="AV116" s="817"/>
      <c r="AW116" s="817"/>
      <c r="AX116" s="817"/>
      <c r="AY116" s="817"/>
      <c r="AZ116" s="817"/>
      <c r="BA116" s="817"/>
      <c r="BB116" s="817"/>
      <c r="BC116" s="817"/>
      <c r="BD116" s="817"/>
      <c r="BE116" s="817"/>
      <c r="BF116" s="817"/>
      <c r="BG116" s="817"/>
      <c r="BH116" s="817"/>
      <c r="BI116" s="817"/>
      <c r="BJ116" s="817"/>
      <c r="BK116" s="817"/>
      <c r="BL116" s="817"/>
      <c r="BM116" s="817"/>
      <c r="BN116" s="817"/>
      <c r="BO116" s="817"/>
      <c r="BP116" s="817"/>
      <c r="BQ116" s="817"/>
      <c r="BR116" s="817"/>
      <c r="BS116" s="817"/>
      <c r="BT116" s="817"/>
      <c r="BU116" s="817"/>
      <c r="BV116" s="817"/>
      <c r="BW116" s="817"/>
      <c r="BX116" s="817"/>
      <c r="BY116" s="817"/>
      <c r="BZ116" s="817"/>
      <c r="CA116" s="817"/>
      <c r="CB116" s="817"/>
      <c r="CC116" s="817"/>
      <c r="CD116" s="817"/>
      <c r="CE116" s="817"/>
      <c r="CF116" s="817"/>
      <c r="CG116" s="817"/>
      <c r="CH116" s="817"/>
      <c r="CI116" s="817"/>
      <c r="CJ116" s="817"/>
      <c r="CK116" s="817"/>
      <c r="CL116" s="817"/>
      <c r="CM116" s="817"/>
      <c r="CN116" s="817"/>
      <c r="CO116" s="817"/>
      <c r="CP116" s="817"/>
      <c r="CQ116" s="817"/>
      <c r="CR116" s="817"/>
      <c r="CS116" s="817"/>
      <c r="CT116" s="817"/>
      <c r="CU116" s="817"/>
      <c r="CV116" s="817"/>
      <c r="CW116" s="817"/>
      <c r="CX116" s="817"/>
      <c r="CY116" s="817"/>
      <c r="CZ116" s="817"/>
      <c r="DA116" s="817"/>
      <c r="DB116" s="817"/>
      <c r="DC116" s="817"/>
      <c r="DD116" s="817"/>
      <c r="DE116" s="817"/>
      <c r="DF116" s="817"/>
      <c r="DG116" s="817"/>
      <c r="DH116" s="817"/>
      <c r="DI116" s="817"/>
      <c r="DJ116" s="817"/>
      <c r="DK116" s="817"/>
      <c r="DL116" s="817"/>
      <c r="DM116" s="817"/>
      <c r="DN116" s="817"/>
      <c r="DO116" s="817"/>
      <c r="DP116" s="817"/>
      <c r="DQ116" s="817"/>
      <c r="DR116" s="817"/>
      <c r="DS116" s="817"/>
      <c r="DT116" s="817"/>
      <c r="DU116" s="817"/>
      <c r="DV116" s="817"/>
      <c r="DW116" s="817"/>
      <c r="DX116" s="817"/>
      <c r="DY116" s="817"/>
      <c r="DZ116" s="817"/>
      <c r="EA116" s="817"/>
      <c r="EB116" s="817"/>
      <c r="EC116" s="817"/>
      <c r="ED116" s="817"/>
      <c r="EE116" s="817"/>
      <c r="EF116" s="817"/>
      <c r="EG116" s="817"/>
      <c r="EH116" s="817"/>
      <c r="EI116" s="817"/>
      <c r="EJ116" s="817"/>
      <c r="EK116" s="817"/>
      <c r="EL116" s="817"/>
      <c r="EM116" s="817"/>
      <c r="EN116" s="817"/>
      <c r="EO116" s="817"/>
      <c r="EP116" s="817"/>
      <c r="EQ116" s="817"/>
      <c r="ER116" s="817"/>
      <c r="ES116" s="817"/>
      <c r="ET116" s="817"/>
      <c r="EU116" s="817"/>
      <c r="EV116" s="817"/>
      <c r="EW116" s="817"/>
      <c r="EX116" s="817"/>
      <c r="EY116" s="817"/>
      <c r="EZ116" s="817"/>
      <c r="FA116" s="817"/>
      <c r="FB116" s="817"/>
      <c r="FC116" s="817"/>
      <c r="FD116" s="817"/>
      <c r="FE116" s="817"/>
      <c r="FF116" s="817"/>
      <c r="FG116" s="817"/>
      <c r="FH116" s="817"/>
      <c r="FI116" s="817"/>
      <c r="FJ116" s="817"/>
      <c r="FK116" s="817"/>
      <c r="FL116" s="817"/>
      <c r="FM116" s="817"/>
      <c r="FN116" s="817"/>
      <c r="FO116" s="817"/>
      <c r="FP116" s="817"/>
      <c r="FQ116" s="817"/>
      <c r="FR116" s="817"/>
      <c r="FS116" s="817"/>
      <c r="FT116" s="817"/>
      <c r="FU116" s="817"/>
      <c r="FV116" s="817"/>
      <c r="FW116" s="817"/>
      <c r="FX116" s="817"/>
      <c r="FY116" s="817"/>
      <c r="FZ116" s="817"/>
      <c r="GA116" s="817"/>
      <c r="GB116" s="817"/>
      <c r="GC116" s="817"/>
      <c r="GD116" s="817"/>
      <c r="GE116" s="817"/>
      <c r="GF116" s="817"/>
      <c r="GG116" s="817"/>
      <c r="GH116" s="817"/>
      <c r="GI116" s="817"/>
      <c r="GJ116" s="817"/>
      <c r="GK116" s="817"/>
      <c r="GL116" s="817"/>
      <c r="GM116" s="817"/>
      <c r="GN116" s="817"/>
      <c r="GO116" s="817"/>
      <c r="GP116" s="817"/>
      <c r="GQ116" s="817"/>
      <c r="GR116" s="817"/>
      <c r="GS116" s="817"/>
      <c r="GT116" s="817"/>
      <c r="GU116" s="817"/>
      <c r="GV116" s="817"/>
      <c r="GW116" s="817"/>
      <c r="GX116" s="817"/>
      <c r="GY116" s="817"/>
      <c r="GZ116" s="817"/>
      <c r="HA116" s="817"/>
      <c r="HB116" s="817"/>
      <c r="HC116" s="817"/>
      <c r="HD116" s="817"/>
      <c r="HE116" s="817"/>
      <c r="HF116" s="817"/>
      <c r="HG116" s="817"/>
      <c r="HH116" s="817"/>
      <c r="HI116" s="817"/>
      <c r="HJ116" s="817"/>
      <c r="HK116" s="817"/>
      <c r="HL116" s="817"/>
      <c r="HM116" s="817"/>
      <c r="HN116" s="817"/>
      <c r="HO116" s="817"/>
      <c r="HP116" s="817"/>
      <c r="HQ116" s="817"/>
      <c r="HR116" s="817"/>
      <c r="HS116" s="817"/>
      <c r="HT116" s="817"/>
      <c r="HU116" s="817"/>
      <c r="HV116" s="817"/>
      <c r="HW116" s="817"/>
      <c r="HX116" s="817"/>
      <c r="HY116" s="817"/>
      <c r="HZ116" s="817"/>
      <c r="IA116" s="817"/>
      <c r="IB116" s="817"/>
      <c r="IC116" s="817"/>
      <c r="ID116" s="817"/>
      <c r="IE116" s="817"/>
      <c r="IF116" s="817"/>
      <c r="IG116" s="817"/>
      <c r="IH116" s="817"/>
      <c r="II116" s="817"/>
      <c r="IJ116" s="817"/>
      <c r="IK116" s="817"/>
      <c r="IL116" s="817"/>
      <c r="IM116" s="817"/>
      <c r="IN116" s="817"/>
      <c r="IO116" s="817"/>
      <c r="IP116" s="817"/>
      <c r="IQ116" s="817"/>
      <c r="IR116" s="817"/>
      <c r="IS116" s="817"/>
      <c r="IT116" s="817"/>
      <c r="IU116" s="817"/>
      <c r="IV116" s="817"/>
    </row>
    <row r="117" spans="1:256" ht="10.5" customHeight="1">
      <c r="A117" s="803"/>
      <c r="B117" s="803"/>
      <c r="C117" s="803"/>
      <c r="D117" s="803"/>
      <c r="E117" s="803"/>
      <c r="F117" s="803"/>
      <c r="G117" s="924"/>
      <c r="K117" s="817"/>
      <c r="L117" s="925"/>
      <c r="M117" s="925" t="s">
        <v>125</v>
      </c>
      <c r="N117" s="925" t="s">
        <v>125</v>
      </c>
      <c r="O117" s="817"/>
      <c r="P117" s="817"/>
      <c r="Q117" s="817"/>
      <c r="R117" s="817"/>
      <c r="S117" s="817"/>
      <c r="T117" s="817"/>
      <c r="U117" s="817"/>
      <c r="V117" s="817"/>
      <c r="W117" s="817"/>
      <c r="X117" s="817"/>
      <c r="Y117" s="817"/>
      <c r="Z117" s="817"/>
      <c r="AA117" s="817"/>
      <c r="AB117" s="817"/>
      <c r="AC117" s="817"/>
      <c r="AD117" s="817"/>
      <c r="AE117" s="817"/>
      <c r="AF117" s="817"/>
      <c r="AG117" s="817"/>
      <c r="AH117" s="817"/>
      <c r="AI117" s="817"/>
      <c r="AJ117" s="817"/>
      <c r="AK117" s="817"/>
      <c r="AL117" s="817"/>
      <c r="AM117" s="817"/>
      <c r="AN117" s="817"/>
      <c r="AO117" s="817"/>
      <c r="AP117" s="817"/>
      <c r="AQ117" s="817"/>
      <c r="AR117" s="817"/>
      <c r="AS117" s="817"/>
      <c r="AT117" s="817"/>
      <c r="AU117" s="817"/>
      <c r="AV117" s="817"/>
      <c r="AW117" s="817"/>
      <c r="AX117" s="817"/>
      <c r="AY117" s="817"/>
      <c r="AZ117" s="817"/>
      <c r="BA117" s="817"/>
      <c r="BB117" s="817"/>
      <c r="BC117" s="817"/>
      <c r="BD117" s="817"/>
      <c r="BE117" s="817"/>
      <c r="BF117" s="817"/>
      <c r="BG117" s="817"/>
      <c r="BH117" s="817"/>
      <c r="BI117" s="817"/>
      <c r="BJ117" s="817"/>
      <c r="BK117" s="817"/>
      <c r="BL117" s="817"/>
      <c r="BM117" s="817"/>
      <c r="BN117" s="817"/>
      <c r="BO117" s="817"/>
      <c r="BP117" s="817"/>
      <c r="BQ117" s="817"/>
      <c r="BR117" s="817"/>
      <c r="BS117" s="817"/>
      <c r="BT117" s="817"/>
      <c r="BU117" s="817"/>
      <c r="BV117" s="817"/>
      <c r="BW117" s="817"/>
      <c r="BX117" s="817"/>
      <c r="BY117" s="817"/>
      <c r="BZ117" s="817"/>
      <c r="CA117" s="817"/>
      <c r="CB117" s="817"/>
      <c r="CC117" s="817"/>
      <c r="CD117" s="817"/>
      <c r="CE117" s="817"/>
      <c r="CF117" s="817"/>
      <c r="CG117" s="817"/>
      <c r="CH117" s="817"/>
      <c r="CI117" s="817"/>
      <c r="CJ117" s="817"/>
      <c r="CK117" s="817"/>
      <c r="CL117" s="817"/>
      <c r="CM117" s="817"/>
      <c r="CN117" s="817"/>
      <c r="CO117" s="817"/>
      <c r="CP117" s="817"/>
      <c r="CQ117" s="817"/>
      <c r="CR117" s="817"/>
      <c r="CS117" s="817"/>
      <c r="CT117" s="817"/>
      <c r="CU117" s="817"/>
      <c r="CV117" s="817"/>
      <c r="CW117" s="817"/>
      <c r="CX117" s="817"/>
      <c r="CY117" s="817"/>
      <c r="CZ117" s="817"/>
      <c r="DA117" s="817"/>
      <c r="DB117" s="817"/>
      <c r="DC117" s="817"/>
      <c r="DD117" s="817"/>
      <c r="DE117" s="817"/>
      <c r="DF117" s="817"/>
      <c r="DG117" s="817"/>
      <c r="DH117" s="817"/>
      <c r="DI117" s="817"/>
      <c r="DJ117" s="817"/>
      <c r="DK117" s="817"/>
      <c r="DL117" s="817"/>
      <c r="DM117" s="817"/>
      <c r="DN117" s="817"/>
      <c r="DO117" s="817"/>
      <c r="DP117" s="817"/>
      <c r="DQ117" s="817"/>
      <c r="DR117" s="817"/>
      <c r="DS117" s="817"/>
      <c r="DT117" s="817"/>
      <c r="DU117" s="817"/>
      <c r="DV117" s="817"/>
      <c r="DW117" s="817"/>
      <c r="DX117" s="817"/>
      <c r="DY117" s="817"/>
      <c r="DZ117" s="817"/>
      <c r="EA117" s="817"/>
      <c r="EB117" s="817"/>
      <c r="EC117" s="817"/>
      <c r="ED117" s="817"/>
      <c r="EE117" s="817"/>
      <c r="EF117" s="817"/>
      <c r="EG117" s="817"/>
      <c r="EH117" s="817"/>
      <c r="EI117" s="817"/>
      <c r="EJ117" s="817"/>
      <c r="EK117" s="817"/>
      <c r="EL117" s="817"/>
      <c r="EM117" s="817"/>
      <c r="EN117" s="817"/>
      <c r="EO117" s="817"/>
      <c r="EP117" s="817"/>
      <c r="EQ117" s="817"/>
      <c r="ER117" s="817"/>
      <c r="ES117" s="817"/>
      <c r="ET117" s="817"/>
      <c r="EU117" s="817"/>
      <c r="EV117" s="817"/>
      <c r="EW117" s="817"/>
      <c r="EX117" s="817"/>
      <c r="EY117" s="817"/>
      <c r="EZ117" s="817"/>
      <c r="FA117" s="817"/>
      <c r="FB117" s="817"/>
      <c r="FC117" s="817"/>
      <c r="FD117" s="817"/>
      <c r="FE117" s="817"/>
      <c r="FF117" s="817"/>
      <c r="FG117" s="817"/>
      <c r="FH117" s="817"/>
      <c r="FI117" s="817"/>
      <c r="FJ117" s="817"/>
      <c r="FK117" s="817"/>
      <c r="FL117" s="817"/>
      <c r="FM117" s="817"/>
      <c r="FN117" s="817"/>
      <c r="FO117" s="817"/>
      <c r="FP117" s="817"/>
      <c r="FQ117" s="817"/>
      <c r="FR117" s="817"/>
      <c r="FS117" s="817"/>
      <c r="FT117" s="817"/>
      <c r="FU117" s="817"/>
      <c r="FV117" s="817"/>
      <c r="FW117" s="817"/>
      <c r="FX117" s="817"/>
      <c r="FY117" s="817"/>
      <c r="FZ117" s="817"/>
      <c r="GA117" s="817"/>
      <c r="GB117" s="817"/>
      <c r="GC117" s="817"/>
      <c r="GD117" s="817"/>
      <c r="GE117" s="817"/>
      <c r="GF117" s="817"/>
      <c r="GG117" s="817"/>
      <c r="GH117" s="817"/>
      <c r="GI117" s="817"/>
      <c r="GJ117" s="817"/>
      <c r="GK117" s="817"/>
      <c r="GL117" s="817"/>
      <c r="GM117" s="817"/>
      <c r="GN117" s="817"/>
      <c r="GO117" s="817"/>
      <c r="GP117" s="817"/>
      <c r="GQ117" s="817"/>
      <c r="GR117" s="817"/>
      <c r="GS117" s="817"/>
      <c r="GT117" s="817"/>
      <c r="GU117" s="817"/>
      <c r="GV117" s="817"/>
      <c r="GW117" s="817"/>
      <c r="GX117" s="817"/>
      <c r="GY117" s="817"/>
      <c r="GZ117" s="817"/>
      <c r="HA117" s="817"/>
      <c r="HB117" s="817"/>
      <c r="HC117" s="817"/>
      <c r="HD117" s="817"/>
      <c r="HE117" s="817"/>
      <c r="HF117" s="817"/>
      <c r="HG117" s="817"/>
      <c r="HH117" s="817"/>
      <c r="HI117" s="817"/>
      <c r="HJ117" s="817"/>
      <c r="HK117" s="817"/>
      <c r="HL117" s="817"/>
      <c r="HM117" s="817"/>
      <c r="HN117" s="817"/>
      <c r="HO117" s="817"/>
      <c r="HP117" s="817"/>
      <c r="HQ117" s="817"/>
      <c r="HR117" s="817"/>
      <c r="HS117" s="817"/>
      <c r="HT117" s="817"/>
      <c r="HU117" s="817"/>
      <c r="HV117" s="817"/>
      <c r="HW117" s="817"/>
      <c r="HX117" s="817"/>
      <c r="HY117" s="817"/>
      <c r="HZ117" s="817"/>
      <c r="IA117" s="817"/>
      <c r="IB117" s="817"/>
      <c r="IC117" s="817"/>
      <c r="ID117" s="817"/>
      <c r="IE117" s="817"/>
      <c r="IF117" s="817"/>
      <c r="IG117" s="817"/>
      <c r="IH117" s="817"/>
      <c r="II117" s="817"/>
      <c r="IJ117" s="817"/>
      <c r="IK117" s="817"/>
      <c r="IL117" s="817"/>
      <c r="IM117" s="817"/>
      <c r="IN117" s="817"/>
      <c r="IO117" s="817"/>
      <c r="IP117" s="817"/>
      <c r="IQ117" s="817"/>
      <c r="IR117" s="817"/>
      <c r="IS117" s="817"/>
      <c r="IT117" s="817"/>
      <c r="IU117" s="817"/>
      <c r="IV117" s="817"/>
    </row>
    <row r="118" spans="1:256" ht="10.5" customHeight="1">
      <c r="A118" s="859" t="s">
        <v>871</v>
      </c>
      <c r="B118" s="859">
        <v>1996</v>
      </c>
      <c r="C118" s="859">
        <v>1997</v>
      </c>
      <c r="D118" s="859">
        <v>1998</v>
      </c>
      <c r="E118" s="859">
        <v>1999</v>
      </c>
      <c r="F118" s="859">
        <v>2000</v>
      </c>
      <c r="G118" s="905">
        <v>2001</v>
      </c>
      <c r="H118" s="859">
        <v>2002</v>
      </c>
      <c r="I118" s="905">
        <v>2003</v>
      </c>
      <c r="J118" s="905">
        <v>2004</v>
      </c>
      <c r="K118" s="905">
        <v>2005</v>
      </c>
      <c r="L118" s="905">
        <v>2006</v>
      </c>
      <c r="M118" s="905">
        <v>2007</v>
      </c>
      <c r="N118" s="905">
        <v>2008</v>
      </c>
      <c r="O118" s="817"/>
      <c r="P118" s="817"/>
      <c r="Q118" s="817"/>
      <c r="R118" s="817"/>
      <c r="S118" s="817"/>
      <c r="T118" s="817"/>
      <c r="U118" s="817"/>
      <c r="V118" s="817"/>
      <c r="W118" s="817"/>
      <c r="X118" s="817"/>
      <c r="Y118" s="817"/>
      <c r="Z118" s="817"/>
      <c r="AA118" s="817"/>
      <c r="AB118" s="817"/>
      <c r="AC118" s="817"/>
      <c r="AD118" s="817"/>
      <c r="AE118" s="817"/>
      <c r="AF118" s="817"/>
      <c r="AG118" s="817"/>
      <c r="AH118" s="817"/>
      <c r="AI118" s="817"/>
      <c r="AJ118" s="817"/>
      <c r="AK118" s="817"/>
      <c r="AL118" s="817"/>
      <c r="AM118" s="817"/>
      <c r="AN118" s="817"/>
      <c r="AO118" s="817"/>
      <c r="AP118" s="817"/>
      <c r="AQ118" s="817"/>
      <c r="AR118" s="817"/>
      <c r="AS118" s="817"/>
      <c r="AT118" s="817"/>
      <c r="AU118" s="817"/>
      <c r="AV118" s="817"/>
      <c r="AW118" s="817"/>
      <c r="AX118" s="817"/>
      <c r="AY118" s="817"/>
      <c r="AZ118" s="817"/>
      <c r="BA118" s="817"/>
      <c r="BB118" s="817"/>
      <c r="BC118" s="817"/>
      <c r="BD118" s="817"/>
      <c r="BE118" s="817"/>
      <c r="BF118" s="817"/>
      <c r="BG118" s="817"/>
      <c r="BH118" s="817"/>
      <c r="BI118" s="817"/>
      <c r="BJ118" s="817"/>
      <c r="BK118" s="817"/>
      <c r="BL118" s="817"/>
      <c r="BM118" s="817"/>
      <c r="BN118" s="817"/>
      <c r="BO118" s="817"/>
      <c r="BP118" s="817"/>
      <c r="BQ118" s="817"/>
      <c r="BR118" s="817"/>
      <c r="BS118" s="817"/>
      <c r="BT118" s="817"/>
      <c r="BU118" s="817"/>
      <c r="BV118" s="817"/>
      <c r="BW118" s="817"/>
      <c r="BX118" s="817"/>
      <c r="BY118" s="817"/>
      <c r="BZ118" s="817"/>
      <c r="CA118" s="817"/>
      <c r="CB118" s="817"/>
      <c r="CC118" s="817"/>
      <c r="CD118" s="817"/>
      <c r="CE118" s="817"/>
      <c r="CF118" s="817"/>
      <c r="CG118" s="817"/>
      <c r="CH118" s="817"/>
      <c r="CI118" s="817"/>
      <c r="CJ118" s="817"/>
      <c r="CK118" s="817"/>
      <c r="CL118" s="817"/>
      <c r="CM118" s="817"/>
      <c r="CN118" s="817"/>
      <c r="CO118" s="817"/>
      <c r="CP118" s="817"/>
      <c r="CQ118" s="817"/>
      <c r="CR118" s="817"/>
      <c r="CS118" s="817"/>
      <c r="CT118" s="817"/>
      <c r="CU118" s="817"/>
      <c r="CV118" s="817"/>
      <c r="CW118" s="817"/>
      <c r="CX118" s="817"/>
      <c r="CY118" s="817"/>
      <c r="CZ118" s="817"/>
      <c r="DA118" s="817"/>
      <c r="DB118" s="817"/>
      <c r="DC118" s="817"/>
      <c r="DD118" s="817"/>
      <c r="DE118" s="817"/>
      <c r="DF118" s="817"/>
      <c r="DG118" s="817"/>
      <c r="DH118" s="817"/>
      <c r="DI118" s="817"/>
      <c r="DJ118" s="817"/>
      <c r="DK118" s="817"/>
      <c r="DL118" s="817"/>
      <c r="DM118" s="817"/>
      <c r="DN118" s="817"/>
      <c r="DO118" s="817"/>
      <c r="DP118" s="817"/>
      <c r="DQ118" s="817"/>
      <c r="DR118" s="817"/>
      <c r="DS118" s="817"/>
      <c r="DT118" s="817"/>
      <c r="DU118" s="817"/>
      <c r="DV118" s="817"/>
      <c r="DW118" s="817"/>
      <c r="DX118" s="817"/>
      <c r="DY118" s="817"/>
      <c r="DZ118" s="817"/>
      <c r="EA118" s="817"/>
      <c r="EB118" s="817"/>
      <c r="EC118" s="817"/>
      <c r="ED118" s="817"/>
      <c r="EE118" s="817"/>
      <c r="EF118" s="817"/>
      <c r="EG118" s="817"/>
      <c r="EH118" s="817"/>
      <c r="EI118" s="817"/>
      <c r="EJ118" s="817"/>
      <c r="EK118" s="817"/>
      <c r="EL118" s="817"/>
      <c r="EM118" s="817"/>
      <c r="EN118" s="817"/>
      <c r="EO118" s="817"/>
      <c r="EP118" s="817"/>
      <c r="EQ118" s="817"/>
      <c r="ER118" s="817"/>
      <c r="ES118" s="817"/>
      <c r="ET118" s="817"/>
      <c r="EU118" s="817"/>
      <c r="EV118" s="817"/>
      <c r="EW118" s="817"/>
      <c r="EX118" s="817"/>
      <c r="EY118" s="817"/>
      <c r="EZ118" s="817"/>
      <c r="FA118" s="817"/>
      <c r="FB118" s="817"/>
      <c r="FC118" s="817"/>
      <c r="FD118" s="817"/>
      <c r="FE118" s="817"/>
      <c r="FF118" s="817"/>
      <c r="FG118" s="817"/>
      <c r="FH118" s="817"/>
      <c r="FI118" s="817"/>
      <c r="FJ118" s="817"/>
      <c r="FK118" s="817"/>
      <c r="FL118" s="817"/>
      <c r="FM118" s="817"/>
      <c r="FN118" s="817"/>
      <c r="FO118" s="817"/>
      <c r="FP118" s="817"/>
      <c r="FQ118" s="817"/>
      <c r="FR118" s="817"/>
      <c r="FS118" s="817"/>
      <c r="FT118" s="817"/>
      <c r="FU118" s="817"/>
      <c r="FV118" s="817"/>
      <c r="FW118" s="817"/>
      <c r="FX118" s="817"/>
      <c r="FY118" s="817"/>
      <c r="FZ118" s="817"/>
      <c r="GA118" s="817"/>
      <c r="GB118" s="817"/>
      <c r="GC118" s="817"/>
      <c r="GD118" s="817"/>
      <c r="GE118" s="817"/>
      <c r="GF118" s="817"/>
      <c r="GG118" s="817"/>
      <c r="GH118" s="817"/>
      <c r="GI118" s="817"/>
      <c r="GJ118" s="817"/>
      <c r="GK118" s="817"/>
      <c r="GL118" s="817"/>
      <c r="GM118" s="817"/>
      <c r="GN118" s="817"/>
      <c r="GO118" s="817"/>
      <c r="GP118" s="817"/>
      <c r="GQ118" s="817"/>
      <c r="GR118" s="817"/>
      <c r="GS118" s="817"/>
      <c r="GT118" s="817"/>
      <c r="GU118" s="817"/>
      <c r="GV118" s="817"/>
      <c r="GW118" s="817"/>
      <c r="GX118" s="817"/>
      <c r="GY118" s="817"/>
      <c r="GZ118" s="817"/>
      <c r="HA118" s="817"/>
      <c r="HB118" s="817"/>
      <c r="HC118" s="817"/>
      <c r="HD118" s="817"/>
      <c r="HE118" s="817"/>
      <c r="HF118" s="817"/>
      <c r="HG118" s="817"/>
      <c r="HH118" s="817"/>
      <c r="HI118" s="817"/>
      <c r="HJ118" s="817"/>
      <c r="HK118" s="817"/>
      <c r="HL118" s="817"/>
      <c r="HM118" s="817"/>
      <c r="HN118" s="817"/>
      <c r="HO118" s="817"/>
      <c r="HP118" s="817"/>
      <c r="HQ118" s="817"/>
      <c r="HR118" s="817"/>
      <c r="HS118" s="817"/>
      <c r="HT118" s="817"/>
      <c r="HU118" s="817"/>
      <c r="HV118" s="817"/>
      <c r="HW118" s="817"/>
      <c r="HX118" s="817"/>
      <c r="HY118" s="817"/>
      <c r="HZ118" s="817"/>
      <c r="IA118" s="817"/>
      <c r="IB118" s="817"/>
      <c r="IC118" s="817"/>
      <c r="ID118" s="817"/>
      <c r="IE118" s="817"/>
      <c r="IF118" s="817"/>
      <c r="IG118" s="817"/>
      <c r="IH118" s="817"/>
      <c r="II118" s="817"/>
      <c r="IJ118" s="817"/>
      <c r="IK118" s="817"/>
      <c r="IL118" s="817"/>
      <c r="IM118" s="817"/>
      <c r="IN118" s="817"/>
      <c r="IO118" s="817"/>
      <c r="IP118" s="817"/>
      <c r="IQ118" s="817"/>
      <c r="IR118" s="817"/>
      <c r="IS118" s="817"/>
      <c r="IT118" s="817"/>
      <c r="IU118" s="817"/>
      <c r="IV118" s="817"/>
    </row>
    <row r="119" spans="1:256" ht="10.5" customHeight="1">
      <c r="A119" s="803" t="s">
        <v>872</v>
      </c>
      <c r="B119" s="926">
        <v>4552</v>
      </c>
      <c r="C119" s="926">
        <v>4818.5</v>
      </c>
      <c r="D119" s="891">
        <v>5114</v>
      </c>
      <c r="E119" s="891">
        <v>5133</v>
      </c>
      <c r="F119" s="891">
        <v>5564.4</v>
      </c>
      <c r="G119" s="891">
        <v>4929.3</v>
      </c>
      <c r="H119" s="891">
        <v>5208.6000000000004</v>
      </c>
      <c r="I119" s="891">
        <v>5981.7</v>
      </c>
      <c r="J119" s="891">
        <v>5968.2</v>
      </c>
      <c r="K119" s="891">
        <v>6005.2</v>
      </c>
      <c r="L119" s="893">
        <v>5791.1</v>
      </c>
      <c r="M119" s="893">
        <v>5974.7</v>
      </c>
      <c r="N119" s="891">
        <v>6014.4</v>
      </c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  <c r="AA119" s="817"/>
      <c r="AB119" s="817"/>
      <c r="AC119" s="817"/>
      <c r="AD119" s="817"/>
      <c r="AE119" s="817"/>
      <c r="AF119" s="817"/>
      <c r="AG119" s="817"/>
      <c r="AH119" s="817"/>
      <c r="AI119" s="817"/>
      <c r="AJ119" s="817"/>
      <c r="AK119" s="817"/>
      <c r="AL119" s="817"/>
      <c r="AM119" s="817"/>
      <c r="AN119" s="817"/>
      <c r="AO119" s="817"/>
      <c r="AP119" s="817"/>
      <c r="AQ119" s="817"/>
      <c r="AR119" s="817"/>
      <c r="AS119" s="817"/>
      <c r="AT119" s="817"/>
      <c r="AU119" s="817"/>
      <c r="AV119" s="817"/>
      <c r="AW119" s="817"/>
      <c r="AX119" s="817"/>
      <c r="AY119" s="817"/>
      <c r="AZ119" s="817"/>
      <c r="BA119" s="817"/>
      <c r="BB119" s="817"/>
      <c r="BC119" s="817"/>
      <c r="BD119" s="817"/>
      <c r="BE119" s="817"/>
      <c r="BF119" s="817"/>
      <c r="BG119" s="817"/>
      <c r="BH119" s="817"/>
      <c r="BI119" s="817"/>
      <c r="BJ119" s="817"/>
      <c r="BK119" s="817"/>
      <c r="BL119" s="817"/>
      <c r="BM119" s="817"/>
      <c r="BN119" s="817"/>
      <c r="BO119" s="817"/>
      <c r="BP119" s="817"/>
      <c r="BQ119" s="817"/>
      <c r="BR119" s="817"/>
      <c r="BS119" s="817"/>
      <c r="BT119" s="817"/>
      <c r="BU119" s="817"/>
      <c r="BV119" s="817"/>
      <c r="BW119" s="817"/>
      <c r="BX119" s="817"/>
      <c r="BY119" s="817"/>
      <c r="BZ119" s="817"/>
      <c r="CA119" s="817"/>
      <c r="CB119" s="817"/>
      <c r="CC119" s="817"/>
      <c r="CD119" s="817"/>
      <c r="CE119" s="817"/>
      <c r="CF119" s="817"/>
      <c r="CG119" s="817"/>
      <c r="CH119" s="817"/>
      <c r="CI119" s="817"/>
      <c r="CJ119" s="817"/>
      <c r="CK119" s="817"/>
      <c r="CL119" s="817"/>
      <c r="CM119" s="817"/>
      <c r="CN119" s="817"/>
      <c r="CO119" s="817"/>
      <c r="CP119" s="817"/>
      <c r="CQ119" s="817"/>
      <c r="CR119" s="817"/>
      <c r="CS119" s="817"/>
      <c r="CT119" s="817"/>
      <c r="CU119" s="817"/>
      <c r="CV119" s="817"/>
      <c r="CW119" s="817"/>
      <c r="CX119" s="817"/>
      <c r="CY119" s="817"/>
      <c r="CZ119" s="817"/>
      <c r="DA119" s="817"/>
      <c r="DB119" s="817"/>
      <c r="DC119" s="817"/>
      <c r="DD119" s="817"/>
      <c r="DE119" s="817"/>
      <c r="DF119" s="817"/>
      <c r="DG119" s="817"/>
      <c r="DH119" s="817"/>
      <c r="DI119" s="817"/>
      <c r="DJ119" s="817"/>
      <c r="DK119" s="817"/>
      <c r="DL119" s="817"/>
      <c r="DM119" s="817"/>
      <c r="DN119" s="817"/>
      <c r="DO119" s="817"/>
      <c r="DP119" s="817"/>
      <c r="DQ119" s="817"/>
      <c r="DR119" s="817"/>
      <c r="DS119" s="817"/>
      <c r="DT119" s="817"/>
      <c r="DU119" s="817"/>
      <c r="DV119" s="817"/>
      <c r="DW119" s="817"/>
      <c r="DX119" s="817"/>
      <c r="DY119" s="817"/>
      <c r="DZ119" s="817"/>
      <c r="EA119" s="817"/>
      <c r="EB119" s="817"/>
      <c r="EC119" s="817"/>
      <c r="ED119" s="817"/>
      <c r="EE119" s="817"/>
      <c r="EF119" s="817"/>
      <c r="EG119" s="817"/>
      <c r="EH119" s="817"/>
      <c r="EI119" s="817"/>
      <c r="EJ119" s="817"/>
      <c r="EK119" s="817"/>
      <c r="EL119" s="817"/>
      <c r="EM119" s="817"/>
      <c r="EN119" s="817"/>
      <c r="EO119" s="817"/>
      <c r="EP119" s="817"/>
      <c r="EQ119" s="817"/>
      <c r="ER119" s="817"/>
      <c r="ES119" s="817"/>
      <c r="ET119" s="817"/>
      <c r="EU119" s="817"/>
      <c r="EV119" s="817"/>
      <c r="EW119" s="817"/>
      <c r="EX119" s="817"/>
      <c r="EY119" s="817"/>
      <c r="EZ119" s="817"/>
      <c r="FA119" s="817"/>
      <c r="FB119" s="817"/>
      <c r="FC119" s="817"/>
      <c r="FD119" s="817"/>
      <c r="FE119" s="817"/>
      <c r="FF119" s="817"/>
      <c r="FG119" s="817"/>
      <c r="FH119" s="817"/>
      <c r="FI119" s="817"/>
      <c r="FJ119" s="817"/>
      <c r="FK119" s="817"/>
      <c r="FL119" s="817"/>
      <c r="FM119" s="817"/>
      <c r="FN119" s="817"/>
      <c r="FO119" s="817"/>
      <c r="FP119" s="817"/>
      <c r="FQ119" s="817"/>
      <c r="FR119" s="817"/>
      <c r="FS119" s="817"/>
      <c r="FT119" s="817"/>
      <c r="FU119" s="817"/>
      <c r="FV119" s="817"/>
      <c r="FW119" s="817"/>
      <c r="FX119" s="817"/>
      <c r="FY119" s="817"/>
      <c r="FZ119" s="817"/>
      <c r="GA119" s="817"/>
      <c r="GB119" s="817"/>
      <c r="GC119" s="817"/>
      <c r="GD119" s="817"/>
      <c r="GE119" s="817"/>
      <c r="GF119" s="817"/>
      <c r="GG119" s="817"/>
      <c r="GH119" s="817"/>
      <c r="GI119" s="817"/>
      <c r="GJ119" s="817"/>
      <c r="GK119" s="817"/>
      <c r="GL119" s="817"/>
      <c r="GM119" s="817"/>
      <c r="GN119" s="817"/>
      <c r="GO119" s="817"/>
      <c r="GP119" s="817"/>
      <c r="GQ119" s="817"/>
      <c r="GR119" s="817"/>
      <c r="GS119" s="817"/>
      <c r="GT119" s="817"/>
      <c r="GU119" s="817"/>
      <c r="GV119" s="817"/>
      <c r="GW119" s="817"/>
      <c r="GX119" s="817"/>
      <c r="GY119" s="817"/>
      <c r="GZ119" s="817"/>
      <c r="HA119" s="817"/>
      <c r="HB119" s="817"/>
      <c r="HC119" s="817"/>
      <c r="HD119" s="817"/>
      <c r="HE119" s="817"/>
      <c r="HF119" s="817"/>
      <c r="HG119" s="817"/>
      <c r="HH119" s="817"/>
      <c r="HI119" s="817"/>
      <c r="HJ119" s="817"/>
      <c r="HK119" s="817"/>
      <c r="HL119" s="817"/>
      <c r="HM119" s="817"/>
      <c r="HN119" s="817"/>
      <c r="HO119" s="817"/>
      <c r="HP119" s="817"/>
      <c r="HQ119" s="817"/>
      <c r="HR119" s="817"/>
      <c r="HS119" s="817"/>
      <c r="HT119" s="817"/>
      <c r="HU119" s="817"/>
      <c r="HV119" s="817"/>
      <c r="HW119" s="817"/>
      <c r="HX119" s="817"/>
      <c r="HY119" s="817"/>
      <c r="HZ119" s="817"/>
      <c r="IA119" s="817"/>
      <c r="IB119" s="817"/>
      <c r="IC119" s="817"/>
      <c r="ID119" s="817"/>
      <c r="IE119" s="817"/>
      <c r="IF119" s="817"/>
      <c r="IG119" s="817"/>
      <c r="IH119" s="817"/>
      <c r="II119" s="817"/>
      <c r="IJ119" s="817"/>
      <c r="IK119" s="817"/>
      <c r="IL119" s="817"/>
      <c r="IM119" s="817"/>
      <c r="IN119" s="817"/>
      <c r="IO119" s="817"/>
      <c r="IP119" s="817"/>
      <c r="IQ119" s="817"/>
      <c r="IR119" s="817"/>
      <c r="IS119" s="817"/>
      <c r="IT119" s="817"/>
      <c r="IU119" s="817"/>
      <c r="IV119" s="817"/>
    </row>
    <row r="120" spans="1:256" ht="10.5" customHeight="1">
      <c r="A120" s="803" t="s">
        <v>873</v>
      </c>
      <c r="B120" s="926">
        <v>1055</v>
      </c>
      <c r="C120" s="926">
        <v>1013.9</v>
      </c>
      <c r="D120" s="891">
        <v>921</v>
      </c>
      <c r="E120" s="891">
        <v>897</v>
      </c>
      <c r="F120" s="891">
        <v>1159</v>
      </c>
      <c r="G120" s="891">
        <v>1352</v>
      </c>
      <c r="H120" s="891">
        <v>1316</v>
      </c>
      <c r="I120" s="891">
        <v>1449</v>
      </c>
      <c r="J120" s="891">
        <v>1203</v>
      </c>
      <c r="K120" s="891">
        <v>1465</v>
      </c>
      <c r="L120" s="893">
        <v>1455</v>
      </c>
      <c r="M120" s="893">
        <v>1361</v>
      </c>
      <c r="N120" s="891">
        <v>1425</v>
      </c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  <c r="AA120" s="817"/>
      <c r="AB120" s="817"/>
      <c r="AC120" s="817"/>
      <c r="AD120" s="817"/>
      <c r="AE120" s="817"/>
      <c r="AF120" s="817"/>
      <c r="AG120" s="817"/>
      <c r="AH120" s="817"/>
      <c r="AI120" s="817"/>
      <c r="AJ120" s="817"/>
      <c r="AK120" s="817"/>
      <c r="AL120" s="817"/>
      <c r="AM120" s="817"/>
      <c r="AN120" s="817"/>
      <c r="AO120" s="817"/>
      <c r="AP120" s="817"/>
      <c r="AQ120" s="817"/>
      <c r="AR120" s="817"/>
      <c r="AS120" s="817"/>
      <c r="AT120" s="817"/>
      <c r="AU120" s="817"/>
      <c r="AV120" s="817"/>
      <c r="AW120" s="817"/>
      <c r="AX120" s="817"/>
      <c r="AY120" s="817"/>
      <c r="AZ120" s="817"/>
      <c r="BA120" s="817"/>
      <c r="BB120" s="817"/>
      <c r="BC120" s="817"/>
      <c r="BD120" s="817"/>
      <c r="BE120" s="817"/>
      <c r="BF120" s="817"/>
      <c r="BG120" s="817"/>
      <c r="BH120" s="817"/>
      <c r="BI120" s="817"/>
      <c r="BJ120" s="817"/>
      <c r="BK120" s="817"/>
      <c r="BL120" s="817"/>
      <c r="BM120" s="817"/>
      <c r="BN120" s="817"/>
      <c r="BO120" s="817"/>
      <c r="BP120" s="817"/>
      <c r="BQ120" s="817"/>
      <c r="BR120" s="817"/>
      <c r="BS120" s="817"/>
      <c r="BT120" s="817"/>
      <c r="BU120" s="817"/>
      <c r="BV120" s="817"/>
      <c r="BW120" s="817"/>
      <c r="BX120" s="817"/>
      <c r="BY120" s="817"/>
      <c r="BZ120" s="817"/>
      <c r="CA120" s="817"/>
      <c r="CB120" s="817"/>
      <c r="CC120" s="817"/>
      <c r="CD120" s="817"/>
      <c r="CE120" s="817"/>
      <c r="CF120" s="817"/>
      <c r="CG120" s="817"/>
      <c r="CH120" s="817"/>
      <c r="CI120" s="817"/>
      <c r="CJ120" s="817"/>
      <c r="CK120" s="817"/>
      <c r="CL120" s="817"/>
      <c r="CM120" s="817"/>
      <c r="CN120" s="817"/>
      <c r="CO120" s="817"/>
      <c r="CP120" s="817"/>
      <c r="CQ120" s="817"/>
      <c r="CR120" s="817"/>
      <c r="CS120" s="817"/>
      <c r="CT120" s="817"/>
      <c r="CU120" s="817"/>
      <c r="CV120" s="817"/>
      <c r="CW120" s="817"/>
      <c r="CX120" s="817"/>
      <c r="CY120" s="817"/>
      <c r="CZ120" s="817"/>
      <c r="DA120" s="817"/>
      <c r="DB120" s="817"/>
      <c r="DC120" s="817"/>
      <c r="DD120" s="817"/>
      <c r="DE120" s="817"/>
      <c r="DF120" s="817"/>
      <c r="DG120" s="817"/>
      <c r="DH120" s="817"/>
      <c r="DI120" s="817"/>
      <c r="DJ120" s="817"/>
      <c r="DK120" s="817"/>
      <c r="DL120" s="817"/>
      <c r="DM120" s="817"/>
      <c r="DN120" s="817"/>
      <c r="DO120" s="817"/>
      <c r="DP120" s="817"/>
      <c r="DQ120" s="817"/>
      <c r="DR120" s="817"/>
      <c r="DS120" s="817"/>
      <c r="DT120" s="817"/>
      <c r="DU120" s="817"/>
      <c r="DV120" s="817"/>
      <c r="DW120" s="817"/>
      <c r="DX120" s="817"/>
      <c r="DY120" s="817"/>
      <c r="DZ120" s="817"/>
      <c r="EA120" s="817"/>
      <c r="EB120" s="817"/>
      <c r="EC120" s="817"/>
      <c r="ED120" s="817"/>
      <c r="EE120" s="817"/>
      <c r="EF120" s="817"/>
      <c r="EG120" s="817"/>
      <c r="EH120" s="817"/>
      <c r="EI120" s="817"/>
      <c r="EJ120" s="817"/>
      <c r="EK120" s="817"/>
      <c r="EL120" s="817"/>
      <c r="EM120" s="817"/>
      <c r="EN120" s="817"/>
      <c r="EO120" s="817"/>
      <c r="EP120" s="817"/>
      <c r="EQ120" s="817"/>
      <c r="ER120" s="817"/>
      <c r="ES120" s="817"/>
      <c r="ET120" s="817"/>
      <c r="EU120" s="817"/>
      <c r="EV120" s="817"/>
      <c r="EW120" s="817"/>
      <c r="EX120" s="817"/>
      <c r="EY120" s="817"/>
      <c r="EZ120" s="817"/>
      <c r="FA120" s="817"/>
      <c r="FB120" s="817"/>
      <c r="FC120" s="817"/>
      <c r="FD120" s="817"/>
      <c r="FE120" s="817"/>
      <c r="FF120" s="817"/>
      <c r="FG120" s="817"/>
      <c r="FH120" s="817"/>
      <c r="FI120" s="817"/>
      <c r="FJ120" s="817"/>
      <c r="FK120" s="817"/>
      <c r="FL120" s="817"/>
      <c r="FM120" s="817"/>
      <c r="FN120" s="817"/>
      <c r="FO120" s="817"/>
      <c r="FP120" s="817"/>
      <c r="FQ120" s="817"/>
      <c r="FR120" s="817"/>
      <c r="FS120" s="817"/>
      <c r="FT120" s="817"/>
      <c r="FU120" s="817"/>
      <c r="FV120" s="817"/>
      <c r="FW120" s="817"/>
      <c r="FX120" s="817"/>
      <c r="FY120" s="817"/>
      <c r="FZ120" s="817"/>
      <c r="GA120" s="817"/>
      <c r="GB120" s="817"/>
      <c r="GC120" s="817"/>
      <c r="GD120" s="817"/>
      <c r="GE120" s="817"/>
      <c r="GF120" s="817"/>
      <c r="GG120" s="817"/>
      <c r="GH120" s="817"/>
      <c r="GI120" s="817"/>
      <c r="GJ120" s="817"/>
      <c r="GK120" s="817"/>
      <c r="GL120" s="817"/>
      <c r="GM120" s="817"/>
      <c r="GN120" s="817"/>
      <c r="GO120" s="817"/>
      <c r="GP120" s="817"/>
      <c r="GQ120" s="817"/>
      <c r="GR120" s="817"/>
      <c r="GS120" s="817"/>
      <c r="GT120" s="817"/>
      <c r="GU120" s="817"/>
      <c r="GV120" s="817"/>
      <c r="GW120" s="817"/>
      <c r="GX120" s="817"/>
      <c r="GY120" s="817"/>
      <c r="GZ120" s="817"/>
      <c r="HA120" s="817"/>
      <c r="HB120" s="817"/>
      <c r="HC120" s="817"/>
      <c r="HD120" s="817"/>
      <c r="HE120" s="817"/>
      <c r="HF120" s="817"/>
      <c r="HG120" s="817"/>
      <c r="HH120" s="817"/>
      <c r="HI120" s="817"/>
      <c r="HJ120" s="817"/>
      <c r="HK120" s="817"/>
      <c r="HL120" s="817"/>
      <c r="HM120" s="817"/>
      <c r="HN120" s="817"/>
      <c r="HO120" s="817"/>
      <c r="HP120" s="817"/>
      <c r="HQ120" s="817"/>
      <c r="HR120" s="817"/>
      <c r="HS120" s="817"/>
      <c r="HT120" s="817"/>
      <c r="HU120" s="817"/>
      <c r="HV120" s="817"/>
      <c r="HW120" s="817"/>
      <c r="HX120" s="817"/>
      <c r="HY120" s="817"/>
      <c r="HZ120" s="817"/>
      <c r="IA120" s="817"/>
      <c r="IB120" s="817"/>
      <c r="IC120" s="817"/>
      <c r="ID120" s="817"/>
      <c r="IE120" s="817"/>
      <c r="IF120" s="817"/>
      <c r="IG120" s="817"/>
      <c r="IH120" s="817"/>
      <c r="II120" s="817"/>
      <c r="IJ120" s="817"/>
      <c r="IK120" s="817"/>
      <c r="IL120" s="817"/>
      <c r="IM120" s="817"/>
      <c r="IN120" s="817"/>
      <c r="IO120" s="817"/>
      <c r="IP120" s="817"/>
      <c r="IQ120" s="817"/>
      <c r="IR120" s="817"/>
      <c r="IS120" s="817"/>
      <c r="IT120" s="817"/>
      <c r="IU120" s="817"/>
      <c r="IV120" s="817"/>
    </row>
    <row r="121" spans="1:256" ht="11.25" customHeight="1">
      <c r="A121" s="803" t="s">
        <v>874</v>
      </c>
      <c r="B121" s="871">
        <v>434</v>
      </c>
      <c r="C121" s="871">
        <v>435</v>
      </c>
      <c r="D121" s="891">
        <v>454.6</v>
      </c>
      <c r="E121" s="891">
        <v>462.8</v>
      </c>
      <c r="F121" s="891">
        <v>439.9</v>
      </c>
      <c r="G121" s="891">
        <v>469.7</v>
      </c>
      <c r="H121" s="891">
        <v>428</v>
      </c>
      <c r="I121" s="891">
        <v>250.7</v>
      </c>
      <c r="J121" s="891">
        <v>303</v>
      </c>
      <c r="K121" s="891">
        <v>275</v>
      </c>
      <c r="L121" s="893">
        <v>240</v>
      </c>
      <c r="M121" s="893">
        <v>246.2</v>
      </c>
      <c r="N121" s="891">
        <v>242</v>
      </c>
      <c r="O121" s="817"/>
      <c r="P121" s="817"/>
      <c r="Q121" s="817"/>
      <c r="R121" s="817"/>
      <c r="S121" s="817"/>
      <c r="T121" s="817"/>
      <c r="U121" s="817"/>
      <c r="V121" s="817"/>
      <c r="W121" s="817"/>
      <c r="X121" s="817"/>
      <c r="Y121" s="817"/>
      <c r="Z121" s="817"/>
      <c r="AA121" s="817"/>
      <c r="AB121" s="817"/>
      <c r="AC121" s="817"/>
      <c r="AD121" s="817"/>
      <c r="AE121" s="817"/>
      <c r="AF121" s="817"/>
      <c r="AG121" s="817"/>
      <c r="AH121" s="817"/>
      <c r="AI121" s="817"/>
      <c r="AJ121" s="817"/>
      <c r="AK121" s="817"/>
      <c r="AL121" s="817"/>
      <c r="AM121" s="817"/>
      <c r="AN121" s="817"/>
      <c r="AO121" s="817"/>
      <c r="AP121" s="817"/>
      <c r="AQ121" s="817"/>
      <c r="AR121" s="817"/>
      <c r="AS121" s="817"/>
      <c r="AT121" s="817"/>
      <c r="AU121" s="817"/>
      <c r="AV121" s="817"/>
      <c r="AW121" s="817"/>
      <c r="AX121" s="817"/>
      <c r="AY121" s="817"/>
      <c r="AZ121" s="817"/>
      <c r="BA121" s="817"/>
      <c r="BB121" s="817"/>
      <c r="BC121" s="817"/>
      <c r="BD121" s="817"/>
      <c r="BE121" s="817"/>
      <c r="BF121" s="817"/>
      <c r="BG121" s="817"/>
      <c r="BH121" s="817"/>
      <c r="BI121" s="817"/>
      <c r="BJ121" s="817"/>
      <c r="BK121" s="817"/>
      <c r="BL121" s="817"/>
      <c r="BM121" s="817"/>
      <c r="BN121" s="817"/>
      <c r="BO121" s="817"/>
      <c r="BP121" s="817"/>
      <c r="BQ121" s="817"/>
      <c r="BR121" s="817"/>
      <c r="BS121" s="817"/>
      <c r="BT121" s="817"/>
      <c r="BU121" s="817"/>
      <c r="BV121" s="817"/>
      <c r="BW121" s="817"/>
      <c r="BX121" s="817"/>
      <c r="BY121" s="817"/>
      <c r="BZ121" s="817"/>
      <c r="CA121" s="817"/>
      <c r="CB121" s="817"/>
      <c r="CC121" s="817"/>
      <c r="CD121" s="817"/>
      <c r="CE121" s="817"/>
      <c r="CF121" s="817"/>
      <c r="CG121" s="817"/>
      <c r="CH121" s="817"/>
      <c r="CI121" s="817"/>
      <c r="CJ121" s="817"/>
      <c r="CK121" s="817"/>
      <c r="CL121" s="817"/>
      <c r="CM121" s="817"/>
      <c r="CN121" s="817"/>
      <c r="CO121" s="817"/>
      <c r="CP121" s="817"/>
      <c r="CQ121" s="817"/>
      <c r="CR121" s="817"/>
      <c r="CS121" s="817"/>
      <c r="CT121" s="817"/>
      <c r="CU121" s="817"/>
      <c r="CV121" s="817"/>
      <c r="CW121" s="817"/>
      <c r="CX121" s="817"/>
      <c r="CY121" s="817"/>
      <c r="CZ121" s="817"/>
      <c r="DA121" s="817"/>
      <c r="DB121" s="817"/>
      <c r="DC121" s="817"/>
      <c r="DD121" s="817"/>
      <c r="DE121" s="817"/>
      <c r="DF121" s="817"/>
      <c r="DG121" s="817"/>
      <c r="DH121" s="817"/>
      <c r="DI121" s="817"/>
      <c r="DJ121" s="817"/>
      <c r="DK121" s="817"/>
      <c r="DL121" s="817"/>
      <c r="DM121" s="817"/>
      <c r="DN121" s="817"/>
      <c r="DO121" s="817"/>
      <c r="DP121" s="817"/>
      <c r="DQ121" s="817"/>
      <c r="DR121" s="817"/>
      <c r="DS121" s="817"/>
      <c r="DT121" s="817"/>
      <c r="DU121" s="817"/>
      <c r="DV121" s="817"/>
      <c r="DW121" s="817"/>
      <c r="DX121" s="817"/>
      <c r="DY121" s="817"/>
      <c r="DZ121" s="817"/>
      <c r="EA121" s="817"/>
      <c r="EB121" s="817"/>
      <c r="EC121" s="817"/>
      <c r="ED121" s="817"/>
      <c r="EE121" s="817"/>
      <c r="EF121" s="817"/>
      <c r="EG121" s="817"/>
      <c r="EH121" s="817"/>
      <c r="EI121" s="817"/>
      <c r="EJ121" s="817"/>
      <c r="EK121" s="817"/>
      <c r="EL121" s="817"/>
      <c r="EM121" s="817"/>
      <c r="EN121" s="817"/>
      <c r="EO121" s="817"/>
      <c r="EP121" s="817"/>
      <c r="EQ121" s="817"/>
      <c r="ER121" s="817"/>
      <c r="ES121" s="817"/>
      <c r="ET121" s="817"/>
      <c r="EU121" s="817"/>
      <c r="EV121" s="817"/>
      <c r="EW121" s="817"/>
      <c r="EX121" s="817"/>
      <c r="EY121" s="817"/>
      <c r="EZ121" s="817"/>
      <c r="FA121" s="817"/>
      <c r="FB121" s="817"/>
      <c r="FC121" s="817"/>
      <c r="FD121" s="817"/>
      <c r="FE121" s="817"/>
      <c r="FF121" s="817"/>
      <c r="FG121" s="817"/>
      <c r="FH121" s="817"/>
      <c r="FI121" s="817"/>
      <c r="FJ121" s="817"/>
      <c r="FK121" s="817"/>
      <c r="FL121" s="817"/>
      <c r="FM121" s="817"/>
      <c r="FN121" s="817"/>
      <c r="FO121" s="817"/>
      <c r="FP121" s="817"/>
      <c r="FQ121" s="817"/>
      <c r="FR121" s="817"/>
      <c r="FS121" s="817"/>
      <c r="FT121" s="817"/>
      <c r="FU121" s="817"/>
      <c r="FV121" s="817"/>
      <c r="FW121" s="817"/>
      <c r="FX121" s="817"/>
      <c r="FY121" s="817"/>
      <c r="FZ121" s="817"/>
      <c r="GA121" s="817"/>
      <c r="GB121" s="817"/>
      <c r="GC121" s="817"/>
      <c r="GD121" s="817"/>
      <c r="GE121" s="817"/>
      <c r="GF121" s="817"/>
      <c r="GG121" s="817"/>
      <c r="GH121" s="817"/>
      <c r="GI121" s="817"/>
      <c r="GJ121" s="817"/>
      <c r="GK121" s="817"/>
      <c r="GL121" s="817"/>
      <c r="GM121" s="817"/>
      <c r="GN121" s="817"/>
      <c r="GO121" s="817"/>
      <c r="GP121" s="817"/>
      <c r="GQ121" s="817"/>
      <c r="GR121" s="817"/>
      <c r="GS121" s="817"/>
      <c r="GT121" s="817"/>
      <c r="GU121" s="817"/>
      <c r="GV121" s="817"/>
      <c r="GW121" s="817"/>
      <c r="GX121" s="817"/>
      <c r="GY121" s="817"/>
      <c r="GZ121" s="817"/>
      <c r="HA121" s="817"/>
      <c r="HB121" s="817"/>
      <c r="HC121" s="817"/>
      <c r="HD121" s="817"/>
      <c r="HE121" s="817"/>
      <c r="HF121" s="817"/>
      <c r="HG121" s="817"/>
      <c r="HH121" s="817"/>
      <c r="HI121" s="817"/>
      <c r="HJ121" s="817"/>
      <c r="HK121" s="817"/>
      <c r="HL121" s="817"/>
      <c r="HM121" s="817"/>
      <c r="HN121" s="817"/>
      <c r="HO121" s="817"/>
      <c r="HP121" s="817"/>
      <c r="HQ121" s="817"/>
      <c r="HR121" s="817"/>
      <c r="HS121" s="817"/>
      <c r="HT121" s="817"/>
      <c r="HU121" s="817"/>
      <c r="HV121" s="817"/>
      <c r="HW121" s="817"/>
      <c r="HX121" s="817"/>
      <c r="HY121" s="817"/>
      <c r="HZ121" s="817"/>
      <c r="IA121" s="817"/>
      <c r="IB121" s="817"/>
      <c r="IC121" s="817"/>
      <c r="ID121" s="817"/>
      <c r="IE121" s="817"/>
      <c r="IF121" s="817"/>
      <c r="IG121" s="817"/>
      <c r="IH121" s="817"/>
      <c r="II121" s="817"/>
      <c r="IJ121" s="817"/>
      <c r="IK121" s="817"/>
      <c r="IL121" s="817"/>
      <c r="IM121" s="817"/>
      <c r="IN121" s="817"/>
      <c r="IO121" s="817"/>
      <c r="IP121" s="817"/>
      <c r="IQ121" s="817"/>
      <c r="IR121" s="817"/>
      <c r="IS121" s="817"/>
      <c r="IT121" s="817"/>
      <c r="IU121" s="817"/>
      <c r="IV121" s="817"/>
    </row>
    <row r="122" spans="1:256" ht="10.5" customHeight="1">
      <c r="A122" s="803" t="s">
        <v>875</v>
      </c>
      <c r="B122" s="927">
        <v>364.4</v>
      </c>
      <c r="C122" s="927">
        <v>431.2</v>
      </c>
      <c r="D122" s="891">
        <v>567.9</v>
      </c>
      <c r="E122" s="891">
        <v>840.8</v>
      </c>
      <c r="F122" s="891">
        <v>859.3</v>
      </c>
      <c r="G122" s="891">
        <v>807.8</v>
      </c>
      <c r="H122" s="891">
        <v>1009.4</v>
      </c>
      <c r="I122" s="891">
        <v>977.1</v>
      </c>
      <c r="J122" s="891">
        <v>920</v>
      </c>
      <c r="K122" s="891">
        <v>1172</v>
      </c>
      <c r="L122" s="893">
        <v>1253</v>
      </c>
      <c r="M122" s="893">
        <v>985.4</v>
      </c>
      <c r="N122" s="891">
        <v>705</v>
      </c>
      <c r="O122" s="817"/>
      <c r="P122" s="817"/>
      <c r="Q122" s="817"/>
      <c r="R122" s="817"/>
      <c r="S122" s="817"/>
      <c r="T122" s="817"/>
      <c r="U122" s="817"/>
      <c r="V122" s="817"/>
      <c r="W122" s="817"/>
      <c r="X122" s="817"/>
      <c r="Y122" s="817"/>
      <c r="Z122" s="817"/>
      <c r="AA122" s="817"/>
      <c r="AB122" s="817"/>
      <c r="AC122" s="817"/>
      <c r="AD122" s="817"/>
      <c r="AE122" s="817"/>
      <c r="AF122" s="817"/>
      <c r="AG122" s="817"/>
      <c r="AH122" s="817"/>
      <c r="AI122" s="817"/>
      <c r="AJ122" s="817"/>
      <c r="AK122" s="817"/>
      <c r="AL122" s="817"/>
      <c r="AM122" s="817"/>
      <c r="AN122" s="817"/>
      <c r="AO122" s="817"/>
      <c r="AP122" s="817"/>
      <c r="AQ122" s="817"/>
      <c r="AR122" s="817"/>
      <c r="AS122" s="817"/>
      <c r="AT122" s="817"/>
      <c r="AU122" s="817"/>
      <c r="AV122" s="817"/>
      <c r="AW122" s="817"/>
      <c r="AX122" s="817"/>
      <c r="AY122" s="817"/>
      <c r="AZ122" s="817"/>
      <c r="BA122" s="817"/>
      <c r="BB122" s="817"/>
      <c r="BC122" s="817"/>
      <c r="BD122" s="817"/>
      <c r="BE122" s="817"/>
      <c r="BF122" s="817"/>
      <c r="BG122" s="817"/>
      <c r="BH122" s="817"/>
      <c r="BI122" s="817"/>
      <c r="BJ122" s="817"/>
      <c r="BK122" s="817"/>
      <c r="BL122" s="817"/>
      <c r="BM122" s="817"/>
      <c r="BN122" s="817"/>
      <c r="BO122" s="817"/>
      <c r="BP122" s="817"/>
      <c r="BQ122" s="817"/>
      <c r="BR122" s="817"/>
      <c r="BS122" s="817"/>
      <c r="BT122" s="817"/>
      <c r="BU122" s="817"/>
      <c r="BV122" s="817"/>
      <c r="BW122" s="817"/>
      <c r="BX122" s="817"/>
      <c r="BY122" s="817"/>
      <c r="BZ122" s="817"/>
      <c r="CA122" s="817"/>
      <c r="CB122" s="817"/>
      <c r="CC122" s="817"/>
      <c r="CD122" s="817"/>
      <c r="CE122" s="817"/>
      <c r="CF122" s="817"/>
      <c r="CG122" s="817"/>
      <c r="CH122" s="817"/>
      <c r="CI122" s="817"/>
      <c r="CJ122" s="817"/>
      <c r="CK122" s="817"/>
      <c r="CL122" s="817"/>
      <c r="CM122" s="817"/>
      <c r="CN122" s="817"/>
      <c r="CO122" s="817"/>
      <c r="CP122" s="817"/>
      <c r="CQ122" s="817"/>
      <c r="CR122" s="817"/>
      <c r="CS122" s="817"/>
      <c r="CT122" s="817"/>
      <c r="CU122" s="817"/>
      <c r="CV122" s="817"/>
      <c r="CW122" s="817"/>
      <c r="CX122" s="817"/>
      <c r="CY122" s="817"/>
      <c r="CZ122" s="817"/>
      <c r="DA122" s="817"/>
      <c r="DB122" s="817"/>
      <c r="DC122" s="817"/>
      <c r="DD122" s="817"/>
      <c r="DE122" s="817"/>
      <c r="DF122" s="817"/>
      <c r="DG122" s="817"/>
      <c r="DH122" s="817"/>
      <c r="DI122" s="817"/>
      <c r="DJ122" s="817"/>
      <c r="DK122" s="817"/>
      <c r="DL122" s="817"/>
      <c r="DM122" s="817"/>
      <c r="DN122" s="817"/>
      <c r="DO122" s="817"/>
      <c r="DP122" s="817"/>
      <c r="DQ122" s="817"/>
      <c r="DR122" s="817"/>
      <c r="DS122" s="817"/>
      <c r="DT122" s="817"/>
      <c r="DU122" s="817"/>
      <c r="DV122" s="817"/>
      <c r="DW122" s="817"/>
      <c r="DX122" s="817"/>
      <c r="DY122" s="817"/>
      <c r="DZ122" s="817"/>
      <c r="EA122" s="817"/>
      <c r="EB122" s="817"/>
      <c r="EC122" s="817"/>
      <c r="ED122" s="817"/>
      <c r="EE122" s="817"/>
      <c r="EF122" s="817"/>
      <c r="EG122" s="817"/>
      <c r="EH122" s="817"/>
      <c r="EI122" s="817"/>
      <c r="EJ122" s="817"/>
      <c r="EK122" s="817"/>
      <c r="EL122" s="817"/>
      <c r="EM122" s="817"/>
      <c r="EN122" s="817"/>
      <c r="EO122" s="817"/>
      <c r="EP122" s="817"/>
      <c r="EQ122" s="817"/>
      <c r="ER122" s="817"/>
      <c r="ES122" s="817"/>
      <c r="ET122" s="817"/>
      <c r="EU122" s="817"/>
      <c r="EV122" s="817"/>
      <c r="EW122" s="817"/>
      <c r="EX122" s="817"/>
      <c r="EY122" s="817"/>
      <c r="EZ122" s="817"/>
      <c r="FA122" s="817"/>
      <c r="FB122" s="817"/>
      <c r="FC122" s="817"/>
      <c r="FD122" s="817"/>
      <c r="FE122" s="817"/>
      <c r="FF122" s="817"/>
      <c r="FG122" s="817"/>
      <c r="FH122" s="817"/>
      <c r="FI122" s="817"/>
      <c r="FJ122" s="817"/>
      <c r="FK122" s="817"/>
      <c r="FL122" s="817"/>
      <c r="FM122" s="817"/>
      <c r="FN122" s="817"/>
      <c r="FO122" s="817"/>
      <c r="FP122" s="817"/>
      <c r="FQ122" s="817"/>
      <c r="FR122" s="817"/>
      <c r="FS122" s="817"/>
      <c r="FT122" s="817"/>
      <c r="FU122" s="817"/>
      <c r="FV122" s="817"/>
      <c r="FW122" s="817"/>
      <c r="FX122" s="817"/>
      <c r="FY122" s="817"/>
      <c r="FZ122" s="817"/>
      <c r="GA122" s="817"/>
      <c r="GB122" s="817"/>
      <c r="GC122" s="817"/>
      <c r="GD122" s="817"/>
      <c r="GE122" s="817"/>
      <c r="GF122" s="817"/>
      <c r="GG122" s="817"/>
      <c r="GH122" s="817"/>
      <c r="GI122" s="817"/>
      <c r="GJ122" s="817"/>
      <c r="GK122" s="817"/>
      <c r="GL122" s="817"/>
      <c r="GM122" s="817"/>
      <c r="GN122" s="817"/>
      <c r="GO122" s="817"/>
      <c r="GP122" s="817"/>
      <c r="GQ122" s="817"/>
      <c r="GR122" s="817"/>
      <c r="GS122" s="817"/>
      <c r="GT122" s="817"/>
      <c r="GU122" s="817"/>
      <c r="GV122" s="817"/>
      <c r="GW122" s="817"/>
      <c r="GX122" s="817"/>
      <c r="GY122" s="817"/>
      <c r="GZ122" s="817"/>
      <c r="HA122" s="817"/>
      <c r="HB122" s="817"/>
      <c r="HC122" s="817"/>
      <c r="HD122" s="817"/>
      <c r="HE122" s="817"/>
      <c r="HF122" s="817"/>
      <c r="HG122" s="817"/>
      <c r="HH122" s="817"/>
      <c r="HI122" s="817"/>
      <c r="HJ122" s="817"/>
      <c r="HK122" s="817"/>
      <c r="HL122" s="817"/>
      <c r="HM122" s="817"/>
      <c r="HN122" s="817"/>
      <c r="HO122" s="817"/>
      <c r="HP122" s="817"/>
      <c r="HQ122" s="817"/>
      <c r="HR122" s="817"/>
      <c r="HS122" s="817"/>
      <c r="HT122" s="817"/>
      <c r="HU122" s="817"/>
      <c r="HV122" s="817"/>
      <c r="HW122" s="817"/>
      <c r="HX122" s="817"/>
      <c r="HY122" s="817"/>
      <c r="HZ122" s="817"/>
      <c r="IA122" s="817"/>
      <c r="IB122" s="817"/>
      <c r="IC122" s="817"/>
      <c r="ID122" s="817"/>
      <c r="IE122" s="817"/>
      <c r="IF122" s="817"/>
      <c r="IG122" s="817"/>
      <c r="IH122" s="817"/>
      <c r="II122" s="817"/>
      <c r="IJ122" s="817"/>
      <c r="IK122" s="817"/>
      <c r="IL122" s="817"/>
      <c r="IM122" s="817"/>
      <c r="IN122" s="817"/>
      <c r="IO122" s="817"/>
      <c r="IP122" s="817"/>
      <c r="IQ122" s="817"/>
      <c r="IR122" s="817"/>
      <c r="IS122" s="817"/>
      <c r="IT122" s="817"/>
      <c r="IU122" s="817"/>
      <c r="IV122" s="817"/>
    </row>
    <row r="123" spans="1:256" ht="10.5" customHeight="1">
      <c r="A123" s="859" t="s">
        <v>876</v>
      </c>
      <c r="B123" s="928">
        <v>6405</v>
      </c>
      <c r="C123" s="928">
        <v>6698.5</v>
      </c>
      <c r="D123" s="914">
        <v>7058</v>
      </c>
      <c r="E123" s="914">
        <v>7334</v>
      </c>
      <c r="F123" s="914">
        <v>8023</v>
      </c>
      <c r="G123" s="914">
        <v>7559</v>
      </c>
      <c r="H123" s="914">
        <v>7962</v>
      </c>
      <c r="I123" s="914">
        <v>8659</v>
      </c>
      <c r="J123" s="929">
        <v>8394</v>
      </c>
      <c r="K123" s="914">
        <v>8917</v>
      </c>
      <c r="L123" s="930">
        <v>8739</v>
      </c>
      <c r="M123" s="915">
        <v>8567</v>
      </c>
      <c r="N123" s="914">
        <v>8386</v>
      </c>
      <c r="O123" s="817"/>
      <c r="P123" s="817"/>
      <c r="Q123" s="817"/>
      <c r="R123" s="817"/>
      <c r="S123" s="817"/>
      <c r="T123" s="817"/>
      <c r="U123" s="817"/>
      <c r="V123" s="817"/>
      <c r="W123" s="817"/>
      <c r="X123" s="817"/>
      <c r="Y123" s="817"/>
      <c r="Z123" s="817"/>
      <c r="AA123" s="817"/>
      <c r="AB123" s="817"/>
      <c r="AC123" s="817"/>
      <c r="AD123" s="817"/>
      <c r="AE123" s="817"/>
      <c r="AF123" s="817"/>
      <c r="AG123" s="817"/>
      <c r="AH123" s="817"/>
      <c r="AI123" s="817"/>
      <c r="AJ123" s="817"/>
      <c r="AK123" s="817"/>
      <c r="AL123" s="817"/>
      <c r="AM123" s="817"/>
      <c r="AN123" s="817"/>
      <c r="AO123" s="817"/>
      <c r="AP123" s="817"/>
      <c r="AQ123" s="817"/>
      <c r="AR123" s="817"/>
      <c r="AS123" s="817"/>
      <c r="AT123" s="817"/>
      <c r="AU123" s="817"/>
      <c r="AV123" s="817"/>
      <c r="AW123" s="817"/>
      <c r="AX123" s="817"/>
      <c r="AY123" s="817"/>
      <c r="AZ123" s="817"/>
      <c r="BA123" s="817"/>
      <c r="BB123" s="817"/>
      <c r="BC123" s="817"/>
      <c r="BD123" s="817"/>
      <c r="BE123" s="817"/>
      <c r="BF123" s="817"/>
      <c r="BG123" s="817"/>
      <c r="BH123" s="817"/>
      <c r="BI123" s="817"/>
      <c r="BJ123" s="817"/>
      <c r="BK123" s="817"/>
      <c r="BL123" s="817"/>
      <c r="BM123" s="817"/>
      <c r="BN123" s="817"/>
      <c r="BO123" s="817"/>
      <c r="BP123" s="817"/>
      <c r="BQ123" s="817"/>
      <c r="BR123" s="817"/>
      <c r="BS123" s="817"/>
      <c r="BT123" s="817"/>
      <c r="BU123" s="817"/>
      <c r="BV123" s="817"/>
      <c r="BW123" s="817"/>
      <c r="BX123" s="817"/>
      <c r="BY123" s="817"/>
      <c r="BZ123" s="817"/>
      <c r="CA123" s="817"/>
      <c r="CB123" s="817"/>
      <c r="CC123" s="817"/>
      <c r="CD123" s="817"/>
      <c r="CE123" s="817"/>
      <c r="CF123" s="817"/>
      <c r="CG123" s="817"/>
      <c r="CH123" s="817"/>
      <c r="CI123" s="817"/>
      <c r="CJ123" s="817"/>
      <c r="CK123" s="817"/>
      <c r="CL123" s="817"/>
      <c r="CM123" s="817"/>
      <c r="CN123" s="817"/>
      <c r="CO123" s="817"/>
      <c r="CP123" s="817"/>
      <c r="CQ123" s="817"/>
      <c r="CR123" s="817"/>
      <c r="CS123" s="817"/>
      <c r="CT123" s="817"/>
      <c r="CU123" s="817"/>
      <c r="CV123" s="817"/>
      <c r="CW123" s="817"/>
      <c r="CX123" s="817"/>
      <c r="CY123" s="817"/>
      <c r="CZ123" s="817"/>
      <c r="DA123" s="817"/>
      <c r="DB123" s="817"/>
      <c r="DC123" s="817"/>
      <c r="DD123" s="817"/>
      <c r="DE123" s="817"/>
      <c r="DF123" s="817"/>
      <c r="DG123" s="817"/>
      <c r="DH123" s="817"/>
      <c r="DI123" s="817"/>
      <c r="DJ123" s="817"/>
      <c r="DK123" s="817"/>
      <c r="DL123" s="817"/>
      <c r="DM123" s="817"/>
      <c r="DN123" s="817"/>
      <c r="DO123" s="817"/>
      <c r="DP123" s="817"/>
      <c r="DQ123" s="817"/>
      <c r="DR123" s="817"/>
      <c r="DS123" s="817"/>
      <c r="DT123" s="817"/>
      <c r="DU123" s="817"/>
      <c r="DV123" s="817"/>
      <c r="DW123" s="817"/>
      <c r="DX123" s="817"/>
      <c r="DY123" s="817"/>
      <c r="DZ123" s="817"/>
      <c r="EA123" s="817"/>
      <c r="EB123" s="817"/>
      <c r="EC123" s="817"/>
      <c r="ED123" s="817"/>
      <c r="EE123" s="817"/>
      <c r="EF123" s="817"/>
      <c r="EG123" s="817"/>
      <c r="EH123" s="817"/>
      <c r="EI123" s="817"/>
      <c r="EJ123" s="817"/>
      <c r="EK123" s="817"/>
      <c r="EL123" s="817"/>
      <c r="EM123" s="817"/>
      <c r="EN123" s="817"/>
      <c r="EO123" s="817"/>
      <c r="EP123" s="817"/>
      <c r="EQ123" s="817"/>
      <c r="ER123" s="817"/>
      <c r="ES123" s="817"/>
      <c r="ET123" s="817"/>
      <c r="EU123" s="817"/>
      <c r="EV123" s="817"/>
      <c r="EW123" s="817"/>
      <c r="EX123" s="817"/>
      <c r="EY123" s="817"/>
      <c r="EZ123" s="817"/>
      <c r="FA123" s="817"/>
      <c r="FB123" s="817"/>
      <c r="FC123" s="817"/>
      <c r="FD123" s="817"/>
      <c r="FE123" s="817"/>
      <c r="FF123" s="817"/>
      <c r="FG123" s="817"/>
      <c r="FH123" s="817"/>
      <c r="FI123" s="817"/>
      <c r="FJ123" s="817"/>
      <c r="FK123" s="817"/>
      <c r="FL123" s="817"/>
      <c r="FM123" s="817"/>
      <c r="FN123" s="817"/>
      <c r="FO123" s="817"/>
      <c r="FP123" s="817"/>
      <c r="FQ123" s="817"/>
      <c r="FR123" s="817"/>
      <c r="FS123" s="817"/>
      <c r="FT123" s="817"/>
      <c r="FU123" s="817"/>
      <c r="FV123" s="817"/>
      <c r="FW123" s="817"/>
      <c r="FX123" s="817"/>
      <c r="FY123" s="817"/>
      <c r="FZ123" s="817"/>
      <c r="GA123" s="817"/>
      <c r="GB123" s="817"/>
      <c r="GC123" s="817"/>
      <c r="GD123" s="817"/>
      <c r="GE123" s="817"/>
      <c r="GF123" s="817"/>
      <c r="GG123" s="817"/>
      <c r="GH123" s="817"/>
      <c r="GI123" s="817"/>
      <c r="GJ123" s="817"/>
      <c r="GK123" s="817"/>
      <c r="GL123" s="817"/>
      <c r="GM123" s="817"/>
      <c r="GN123" s="817"/>
      <c r="GO123" s="817"/>
      <c r="GP123" s="817"/>
      <c r="GQ123" s="817"/>
      <c r="GR123" s="817"/>
      <c r="GS123" s="817"/>
      <c r="GT123" s="817"/>
      <c r="GU123" s="817"/>
      <c r="GV123" s="817"/>
      <c r="GW123" s="817"/>
      <c r="GX123" s="817"/>
      <c r="GY123" s="817"/>
      <c r="GZ123" s="817"/>
      <c r="HA123" s="817"/>
      <c r="HB123" s="817"/>
      <c r="HC123" s="817"/>
      <c r="HD123" s="817"/>
      <c r="HE123" s="817"/>
      <c r="HF123" s="817"/>
      <c r="HG123" s="817"/>
      <c r="HH123" s="817"/>
      <c r="HI123" s="817"/>
      <c r="HJ123" s="817"/>
      <c r="HK123" s="817"/>
      <c r="HL123" s="817"/>
      <c r="HM123" s="817"/>
      <c r="HN123" s="817"/>
      <c r="HO123" s="817"/>
      <c r="HP123" s="817"/>
      <c r="HQ123" s="817"/>
      <c r="HR123" s="817"/>
      <c r="HS123" s="817"/>
      <c r="HT123" s="817"/>
      <c r="HU123" s="817"/>
      <c r="HV123" s="817"/>
      <c r="HW123" s="817"/>
      <c r="HX123" s="817"/>
      <c r="HY123" s="817"/>
      <c r="HZ123" s="817"/>
      <c r="IA123" s="817"/>
      <c r="IB123" s="817"/>
      <c r="IC123" s="817"/>
      <c r="ID123" s="817"/>
      <c r="IE123" s="817"/>
      <c r="IF123" s="817"/>
      <c r="IG123" s="817"/>
      <c r="IH123" s="817"/>
      <c r="II123" s="817"/>
      <c r="IJ123" s="817"/>
      <c r="IK123" s="817"/>
      <c r="IL123" s="817"/>
      <c r="IM123" s="817"/>
      <c r="IN123" s="817"/>
      <c r="IO123" s="817"/>
      <c r="IP123" s="817"/>
      <c r="IQ123" s="817"/>
      <c r="IR123" s="817"/>
      <c r="IS123" s="817"/>
      <c r="IT123" s="817"/>
      <c r="IU123" s="817"/>
      <c r="IV123" s="817"/>
    </row>
    <row r="124" spans="1:256" ht="10.5" customHeight="1">
      <c r="A124" s="859" t="s">
        <v>877</v>
      </c>
      <c r="B124" s="928">
        <v>2117.9</v>
      </c>
      <c r="C124" s="928">
        <v>2281.5</v>
      </c>
      <c r="D124" s="914">
        <v>2488.1999999999998</v>
      </c>
      <c r="E124" s="914">
        <v>2712.2</v>
      </c>
      <c r="F124" s="914">
        <v>3034</v>
      </c>
      <c r="G124" s="914">
        <v>2727.5</v>
      </c>
      <c r="H124" s="914">
        <v>2859.2</v>
      </c>
      <c r="I124" s="914">
        <v>3061.8</v>
      </c>
      <c r="J124" s="914">
        <v>3056.6</v>
      </c>
      <c r="K124" s="914">
        <v>3104.1</v>
      </c>
      <c r="L124" s="915">
        <v>3100.6</v>
      </c>
      <c r="M124" s="915">
        <v>3064</v>
      </c>
      <c r="N124" s="914">
        <v>2954.9</v>
      </c>
      <c r="O124" s="817"/>
      <c r="P124" s="817"/>
      <c r="Q124" s="817"/>
      <c r="R124" s="817"/>
      <c r="S124" s="817"/>
      <c r="T124" s="817"/>
      <c r="U124" s="817"/>
      <c r="V124" s="817"/>
      <c r="W124" s="817"/>
      <c r="X124" s="817"/>
      <c r="Y124" s="817"/>
      <c r="Z124" s="817"/>
      <c r="AA124" s="817"/>
      <c r="AB124" s="817"/>
      <c r="AC124" s="817"/>
      <c r="AD124" s="817"/>
      <c r="AE124" s="817"/>
      <c r="AF124" s="817"/>
      <c r="AG124" s="817"/>
      <c r="AH124" s="817"/>
      <c r="AI124" s="817"/>
      <c r="AJ124" s="817"/>
      <c r="AK124" s="817"/>
      <c r="AL124" s="817"/>
      <c r="AM124" s="817"/>
      <c r="AN124" s="817"/>
      <c r="AO124" s="817"/>
      <c r="AP124" s="817"/>
      <c r="AQ124" s="817"/>
      <c r="AR124" s="817"/>
      <c r="AS124" s="817"/>
      <c r="AT124" s="817"/>
      <c r="AU124" s="817"/>
      <c r="AV124" s="817"/>
      <c r="AW124" s="817"/>
      <c r="AX124" s="817"/>
      <c r="AY124" s="817"/>
      <c r="AZ124" s="817"/>
      <c r="BA124" s="817"/>
      <c r="BB124" s="817"/>
      <c r="BC124" s="817"/>
      <c r="BD124" s="817"/>
      <c r="BE124" s="817"/>
      <c r="BF124" s="817"/>
      <c r="BG124" s="817"/>
      <c r="BH124" s="817"/>
      <c r="BI124" s="817"/>
      <c r="BJ124" s="817"/>
      <c r="BK124" s="817"/>
      <c r="BL124" s="817"/>
      <c r="BM124" s="817"/>
      <c r="BN124" s="817"/>
      <c r="BO124" s="817"/>
      <c r="BP124" s="817"/>
      <c r="BQ124" s="817"/>
      <c r="BR124" s="817"/>
      <c r="BS124" s="817"/>
      <c r="BT124" s="817"/>
      <c r="BU124" s="817"/>
      <c r="BV124" s="817"/>
      <c r="BW124" s="817"/>
      <c r="BX124" s="817"/>
      <c r="BY124" s="817"/>
      <c r="BZ124" s="817"/>
      <c r="CA124" s="817"/>
      <c r="CB124" s="817"/>
      <c r="CC124" s="817"/>
      <c r="CD124" s="817"/>
      <c r="CE124" s="817"/>
      <c r="CF124" s="817"/>
      <c r="CG124" s="817"/>
      <c r="CH124" s="817"/>
      <c r="CI124" s="817"/>
      <c r="CJ124" s="817"/>
      <c r="CK124" s="817"/>
      <c r="CL124" s="817"/>
      <c r="CM124" s="817"/>
      <c r="CN124" s="817"/>
      <c r="CO124" s="817"/>
      <c r="CP124" s="817"/>
      <c r="CQ124" s="817"/>
      <c r="CR124" s="817"/>
      <c r="CS124" s="817"/>
      <c r="CT124" s="817"/>
      <c r="CU124" s="817"/>
      <c r="CV124" s="817"/>
      <c r="CW124" s="817"/>
      <c r="CX124" s="817"/>
      <c r="CY124" s="817"/>
      <c r="CZ124" s="817"/>
      <c r="DA124" s="817"/>
      <c r="DB124" s="817"/>
      <c r="DC124" s="817"/>
      <c r="DD124" s="817"/>
      <c r="DE124" s="817"/>
      <c r="DF124" s="817"/>
      <c r="DG124" s="817"/>
      <c r="DH124" s="817"/>
      <c r="DI124" s="817"/>
      <c r="DJ124" s="817"/>
      <c r="DK124" s="817"/>
      <c r="DL124" s="817"/>
      <c r="DM124" s="817"/>
      <c r="DN124" s="817"/>
      <c r="DO124" s="817"/>
      <c r="DP124" s="817"/>
      <c r="DQ124" s="817"/>
      <c r="DR124" s="817"/>
      <c r="DS124" s="817"/>
      <c r="DT124" s="817"/>
      <c r="DU124" s="817"/>
      <c r="DV124" s="817"/>
      <c r="DW124" s="817"/>
      <c r="DX124" s="817"/>
      <c r="DY124" s="817"/>
      <c r="DZ124" s="817"/>
      <c r="EA124" s="817"/>
      <c r="EB124" s="817"/>
      <c r="EC124" s="817"/>
      <c r="ED124" s="817"/>
      <c r="EE124" s="817"/>
      <c r="EF124" s="817"/>
      <c r="EG124" s="817"/>
      <c r="EH124" s="817"/>
      <c r="EI124" s="817"/>
      <c r="EJ124" s="817"/>
      <c r="EK124" s="817"/>
      <c r="EL124" s="817"/>
      <c r="EM124" s="817"/>
      <c r="EN124" s="817"/>
      <c r="EO124" s="817"/>
      <c r="EP124" s="817"/>
      <c r="EQ124" s="817"/>
      <c r="ER124" s="817"/>
      <c r="ES124" s="817"/>
      <c r="ET124" s="817"/>
      <c r="EU124" s="817"/>
      <c r="EV124" s="817"/>
      <c r="EW124" s="817"/>
      <c r="EX124" s="817"/>
      <c r="EY124" s="817"/>
      <c r="EZ124" s="817"/>
      <c r="FA124" s="817"/>
      <c r="FB124" s="817"/>
      <c r="FC124" s="817"/>
      <c r="FD124" s="817"/>
      <c r="FE124" s="817"/>
      <c r="FF124" s="817"/>
      <c r="FG124" s="817"/>
      <c r="FH124" s="817"/>
      <c r="FI124" s="817"/>
      <c r="FJ124" s="817"/>
      <c r="FK124" s="817"/>
      <c r="FL124" s="817"/>
      <c r="FM124" s="817"/>
      <c r="FN124" s="817"/>
      <c r="FO124" s="817"/>
      <c r="FP124" s="817"/>
      <c r="FQ124" s="817"/>
      <c r="FR124" s="817"/>
      <c r="FS124" s="817"/>
      <c r="FT124" s="817"/>
      <c r="FU124" s="817"/>
      <c r="FV124" s="817"/>
      <c r="FW124" s="817"/>
      <c r="FX124" s="817"/>
      <c r="FY124" s="817"/>
      <c r="FZ124" s="817"/>
      <c r="GA124" s="817"/>
      <c r="GB124" s="817"/>
      <c r="GC124" s="817"/>
      <c r="GD124" s="817"/>
      <c r="GE124" s="817"/>
      <c r="GF124" s="817"/>
      <c r="GG124" s="817"/>
      <c r="GH124" s="817"/>
      <c r="GI124" s="817"/>
      <c r="GJ124" s="817"/>
      <c r="GK124" s="817"/>
      <c r="GL124" s="817"/>
      <c r="GM124" s="817"/>
      <c r="GN124" s="817"/>
      <c r="GO124" s="817"/>
      <c r="GP124" s="817"/>
      <c r="GQ124" s="817"/>
      <c r="GR124" s="817"/>
      <c r="GS124" s="817"/>
      <c r="GT124" s="817"/>
      <c r="GU124" s="817"/>
      <c r="GV124" s="817"/>
      <c r="GW124" s="817"/>
      <c r="GX124" s="817"/>
      <c r="GY124" s="817"/>
      <c r="GZ124" s="817"/>
      <c r="HA124" s="817"/>
      <c r="HB124" s="817"/>
      <c r="HC124" s="817"/>
      <c r="HD124" s="817"/>
      <c r="HE124" s="817"/>
      <c r="HF124" s="817"/>
      <c r="HG124" s="817"/>
      <c r="HH124" s="817"/>
      <c r="HI124" s="817"/>
      <c r="HJ124" s="817"/>
      <c r="HK124" s="817"/>
      <c r="HL124" s="817"/>
      <c r="HM124" s="817"/>
      <c r="HN124" s="817"/>
      <c r="HO124" s="817"/>
      <c r="HP124" s="817"/>
      <c r="HQ124" s="817"/>
      <c r="HR124" s="817"/>
      <c r="HS124" s="817"/>
      <c r="HT124" s="817"/>
      <c r="HU124" s="817"/>
      <c r="HV124" s="817"/>
      <c r="HW124" s="817"/>
      <c r="HX124" s="817"/>
      <c r="HY124" s="817"/>
      <c r="HZ124" s="817"/>
      <c r="IA124" s="817"/>
      <c r="IB124" s="817"/>
      <c r="IC124" s="817"/>
      <c r="ID124" s="817"/>
      <c r="IE124" s="817"/>
      <c r="IF124" s="817"/>
      <c r="IG124" s="817"/>
      <c r="IH124" s="817"/>
      <c r="II124" s="817"/>
      <c r="IJ124" s="817"/>
      <c r="IK124" s="817"/>
      <c r="IL124" s="817"/>
      <c r="IM124" s="817"/>
      <c r="IN124" s="817"/>
      <c r="IO124" s="817"/>
      <c r="IP124" s="817"/>
      <c r="IQ124" s="817"/>
      <c r="IR124" s="817"/>
      <c r="IS124" s="817"/>
      <c r="IT124" s="817"/>
      <c r="IU124" s="817"/>
      <c r="IV124" s="817"/>
    </row>
    <row r="125" spans="1:256" ht="10.5" customHeight="1">
      <c r="A125" s="859" t="s">
        <v>878</v>
      </c>
      <c r="B125" s="928">
        <v>1659.8</v>
      </c>
      <c r="C125" s="928">
        <v>1755.9</v>
      </c>
      <c r="D125" s="914">
        <v>1889.1</v>
      </c>
      <c r="E125" s="914">
        <v>2046.3</v>
      </c>
      <c r="F125" s="914">
        <v>2211</v>
      </c>
      <c r="G125" s="914">
        <v>1848.3</v>
      </c>
      <c r="H125" s="914">
        <v>2091.1</v>
      </c>
      <c r="I125" s="914">
        <v>1917.8</v>
      </c>
      <c r="J125" s="914">
        <v>2066.1</v>
      </c>
      <c r="K125" s="914">
        <v>2232</v>
      </c>
      <c r="L125" s="915">
        <v>2120.3000000000002</v>
      </c>
      <c r="M125" s="915">
        <v>2151.9</v>
      </c>
      <c r="N125" s="914">
        <v>1942.3</v>
      </c>
      <c r="O125" s="817"/>
      <c r="P125" s="817"/>
      <c r="Q125" s="817"/>
      <c r="R125" s="817"/>
      <c r="S125" s="817"/>
      <c r="T125" s="817"/>
      <c r="U125" s="817"/>
      <c r="V125" s="817"/>
      <c r="W125" s="817"/>
      <c r="X125" s="817"/>
      <c r="Y125" s="817"/>
      <c r="Z125" s="817"/>
      <c r="AA125" s="817"/>
      <c r="AB125" s="817"/>
      <c r="AC125" s="817"/>
      <c r="AD125" s="817"/>
      <c r="AE125" s="817"/>
      <c r="AF125" s="817"/>
      <c r="AG125" s="817"/>
      <c r="AH125" s="817"/>
      <c r="AI125" s="817"/>
      <c r="AJ125" s="817"/>
      <c r="AK125" s="817"/>
      <c r="AL125" s="817"/>
      <c r="AM125" s="817"/>
      <c r="AN125" s="817"/>
      <c r="AO125" s="817"/>
      <c r="AP125" s="817"/>
      <c r="AQ125" s="817"/>
      <c r="AR125" s="817"/>
      <c r="AS125" s="817"/>
      <c r="AT125" s="817"/>
      <c r="AU125" s="817"/>
      <c r="AV125" s="817"/>
      <c r="AW125" s="817"/>
      <c r="AX125" s="817"/>
      <c r="AY125" s="817"/>
      <c r="AZ125" s="817"/>
      <c r="BA125" s="817"/>
      <c r="BB125" s="817"/>
      <c r="BC125" s="817"/>
      <c r="BD125" s="817"/>
      <c r="BE125" s="817"/>
      <c r="BF125" s="817"/>
      <c r="BG125" s="817"/>
      <c r="BH125" s="817"/>
      <c r="BI125" s="817"/>
      <c r="BJ125" s="817"/>
      <c r="BK125" s="817"/>
      <c r="BL125" s="817"/>
      <c r="BM125" s="817"/>
      <c r="BN125" s="817"/>
      <c r="BO125" s="817"/>
      <c r="BP125" s="817"/>
      <c r="BQ125" s="817"/>
      <c r="BR125" s="817"/>
      <c r="BS125" s="817"/>
      <c r="BT125" s="817"/>
      <c r="BU125" s="817"/>
      <c r="BV125" s="817"/>
      <c r="BW125" s="817"/>
      <c r="BX125" s="817"/>
      <c r="BY125" s="817"/>
      <c r="BZ125" s="817"/>
      <c r="CA125" s="817"/>
      <c r="CB125" s="817"/>
      <c r="CC125" s="817"/>
      <c r="CD125" s="817"/>
      <c r="CE125" s="817"/>
      <c r="CF125" s="817"/>
      <c r="CG125" s="817"/>
      <c r="CH125" s="817"/>
      <c r="CI125" s="817"/>
      <c r="CJ125" s="817"/>
      <c r="CK125" s="817"/>
      <c r="CL125" s="817"/>
      <c r="CM125" s="817"/>
      <c r="CN125" s="817"/>
      <c r="CO125" s="817"/>
      <c r="CP125" s="817"/>
      <c r="CQ125" s="817"/>
      <c r="CR125" s="817"/>
      <c r="CS125" s="817"/>
      <c r="CT125" s="817"/>
      <c r="CU125" s="817"/>
      <c r="CV125" s="817"/>
      <c r="CW125" s="817"/>
      <c r="CX125" s="817"/>
      <c r="CY125" s="817"/>
      <c r="CZ125" s="817"/>
      <c r="DA125" s="817"/>
      <c r="DB125" s="817"/>
      <c r="DC125" s="817"/>
      <c r="DD125" s="817"/>
      <c r="DE125" s="817"/>
      <c r="DF125" s="817"/>
      <c r="DG125" s="817"/>
      <c r="DH125" s="817"/>
      <c r="DI125" s="817"/>
      <c r="DJ125" s="817"/>
      <c r="DK125" s="817"/>
      <c r="DL125" s="817"/>
      <c r="DM125" s="817"/>
      <c r="DN125" s="817"/>
      <c r="DO125" s="817"/>
      <c r="DP125" s="817"/>
      <c r="DQ125" s="817"/>
      <c r="DR125" s="817"/>
      <c r="DS125" s="817"/>
      <c r="DT125" s="817"/>
      <c r="DU125" s="817"/>
      <c r="DV125" s="817"/>
      <c r="DW125" s="817"/>
      <c r="DX125" s="817"/>
      <c r="DY125" s="817"/>
      <c r="DZ125" s="817"/>
      <c r="EA125" s="817"/>
      <c r="EB125" s="817"/>
      <c r="EC125" s="817"/>
      <c r="ED125" s="817"/>
      <c r="EE125" s="817"/>
      <c r="EF125" s="817"/>
      <c r="EG125" s="817"/>
      <c r="EH125" s="817"/>
      <c r="EI125" s="817"/>
      <c r="EJ125" s="817"/>
      <c r="EK125" s="817"/>
      <c r="EL125" s="817"/>
      <c r="EM125" s="817"/>
      <c r="EN125" s="817"/>
      <c r="EO125" s="817"/>
      <c r="EP125" s="817"/>
      <c r="EQ125" s="817"/>
      <c r="ER125" s="817"/>
      <c r="ES125" s="817"/>
      <c r="ET125" s="817"/>
      <c r="EU125" s="817"/>
      <c r="EV125" s="817"/>
      <c r="EW125" s="817"/>
      <c r="EX125" s="817"/>
      <c r="EY125" s="817"/>
      <c r="EZ125" s="817"/>
      <c r="FA125" s="817"/>
      <c r="FB125" s="817"/>
      <c r="FC125" s="817"/>
      <c r="FD125" s="817"/>
      <c r="FE125" s="817"/>
      <c r="FF125" s="817"/>
      <c r="FG125" s="817"/>
      <c r="FH125" s="817"/>
      <c r="FI125" s="817"/>
      <c r="FJ125" s="817"/>
      <c r="FK125" s="817"/>
      <c r="FL125" s="817"/>
      <c r="FM125" s="817"/>
      <c r="FN125" s="817"/>
      <c r="FO125" s="817"/>
      <c r="FP125" s="817"/>
      <c r="FQ125" s="817"/>
      <c r="FR125" s="817"/>
      <c r="FS125" s="817"/>
      <c r="FT125" s="817"/>
      <c r="FU125" s="817"/>
      <c r="FV125" s="817"/>
      <c r="FW125" s="817"/>
      <c r="FX125" s="817"/>
      <c r="FY125" s="817"/>
      <c r="FZ125" s="817"/>
      <c r="GA125" s="817"/>
      <c r="GB125" s="817"/>
      <c r="GC125" s="817"/>
      <c r="GD125" s="817"/>
      <c r="GE125" s="817"/>
      <c r="GF125" s="817"/>
      <c r="GG125" s="817"/>
      <c r="GH125" s="817"/>
      <c r="GI125" s="817"/>
      <c r="GJ125" s="817"/>
      <c r="GK125" s="817"/>
      <c r="GL125" s="817"/>
      <c r="GM125" s="817"/>
      <c r="GN125" s="817"/>
      <c r="GO125" s="817"/>
      <c r="GP125" s="817"/>
      <c r="GQ125" s="817"/>
      <c r="GR125" s="817"/>
      <c r="GS125" s="817"/>
      <c r="GT125" s="817"/>
      <c r="GU125" s="817"/>
      <c r="GV125" s="817"/>
      <c r="GW125" s="817"/>
      <c r="GX125" s="817"/>
      <c r="GY125" s="817"/>
      <c r="GZ125" s="817"/>
      <c r="HA125" s="817"/>
      <c r="HB125" s="817"/>
      <c r="HC125" s="817"/>
      <c r="HD125" s="817"/>
      <c r="HE125" s="817"/>
      <c r="HF125" s="817"/>
      <c r="HG125" s="817"/>
      <c r="HH125" s="817"/>
      <c r="HI125" s="817"/>
      <c r="HJ125" s="817"/>
      <c r="HK125" s="817"/>
      <c r="HL125" s="817"/>
      <c r="HM125" s="817"/>
      <c r="HN125" s="817"/>
      <c r="HO125" s="817"/>
      <c r="HP125" s="817"/>
      <c r="HQ125" s="817"/>
      <c r="HR125" s="817"/>
      <c r="HS125" s="817"/>
      <c r="HT125" s="817"/>
      <c r="HU125" s="817"/>
      <c r="HV125" s="817"/>
      <c r="HW125" s="817"/>
      <c r="HX125" s="817"/>
      <c r="HY125" s="817"/>
      <c r="HZ125" s="817"/>
      <c r="IA125" s="817"/>
      <c r="IB125" s="817"/>
      <c r="IC125" s="817"/>
      <c r="ID125" s="817"/>
      <c r="IE125" s="817"/>
      <c r="IF125" s="817"/>
      <c r="IG125" s="817"/>
      <c r="IH125" s="817"/>
      <c r="II125" s="817"/>
      <c r="IJ125" s="817"/>
      <c r="IK125" s="817"/>
      <c r="IL125" s="817"/>
      <c r="IM125" s="817"/>
      <c r="IN125" s="817"/>
      <c r="IO125" s="817"/>
      <c r="IP125" s="817"/>
      <c r="IQ125" s="817"/>
      <c r="IR125" s="817"/>
      <c r="IS125" s="817"/>
      <c r="IT125" s="817"/>
      <c r="IU125" s="817"/>
      <c r="IV125" s="817"/>
    </row>
    <row r="126" spans="1:256" ht="10.5" customHeight="1">
      <c r="A126" s="810"/>
      <c r="B126" s="931"/>
      <c r="C126" s="931"/>
      <c r="D126" s="931"/>
      <c r="E126" s="931"/>
      <c r="F126" s="932"/>
      <c r="G126" s="933"/>
      <c r="H126" s="837"/>
      <c r="I126" s="837"/>
      <c r="J126" s="837"/>
      <c r="K126" s="838"/>
      <c r="L126" s="844"/>
      <c r="M126" s="934"/>
      <c r="N126" s="838" t="s">
        <v>373</v>
      </c>
      <c r="O126" s="817"/>
      <c r="P126" s="817"/>
      <c r="Q126" s="817"/>
      <c r="R126" s="817"/>
      <c r="S126" s="817"/>
      <c r="T126" s="817"/>
      <c r="U126" s="817"/>
      <c r="V126" s="817"/>
      <c r="W126" s="817"/>
      <c r="X126" s="817"/>
      <c r="Y126" s="817"/>
      <c r="Z126" s="817"/>
      <c r="AA126" s="817"/>
      <c r="AB126" s="817"/>
      <c r="AC126" s="817"/>
      <c r="AD126" s="817"/>
      <c r="AE126" s="817"/>
      <c r="AF126" s="817"/>
      <c r="AG126" s="817"/>
      <c r="AH126" s="817"/>
      <c r="AI126" s="817"/>
      <c r="AJ126" s="817"/>
      <c r="AK126" s="817"/>
      <c r="AL126" s="817"/>
      <c r="AM126" s="817"/>
      <c r="AN126" s="817"/>
      <c r="AO126" s="817"/>
      <c r="AP126" s="817"/>
      <c r="AQ126" s="817"/>
      <c r="AR126" s="817"/>
      <c r="AS126" s="817"/>
      <c r="AT126" s="817"/>
      <c r="AU126" s="817"/>
      <c r="AV126" s="817"/>
      <c r="AW126" s="817"/>
      <c r="AX126" s="817"/>
      <c r="AY126" s="817"/>
      <c r="AZ126" s="817"/>
      <c r="BA126" s="817"/>
      <c r="BB126" s="817"/>
      <c r="BC126" s="817"/>
      <c r="BD126" s="817"/>
      <c r="BE126" s="817"/>
      <c r="BF126" s="817"/>
      <c r="BG126" s="817"/>
      <c r="BH126" s="817"/>
      <c r="BI126" s="817"/>
      <c r="BJ126" s="817"/>
      <c r="BK126" s="817"/>
      <c r="BL126" s="817"/>
      <c r="BM126" s="817"/>
      <c r="BN126" s="817"/>
      <c r="BO126" s="817"/>
      <c r="BP126" s="817"/>
      <c r="BQ126" s="817"/>
      <c r="BR126" s="817"/>
      <c r="BS126" s="817"/>
      <c r="BT126" s="817"/>
      <c r="BU126" s="817"/>
      <c r="BV126" s="817"/>
      <c r="BW126" s="817"/>
      <c r="BX126" s="817"/>
      <c r="BY126" s="817"/>
      <c r="BZ126" s="817"/>
      <c r="CA126" s="817"/>
      <c r="CB126" s="817"/>
      <c r="CC126" s="817"/>
      <c r="CD126" s="817"/>
      <c r="CE126" s="817"/>
      <c r="CF126" s="817"/>
      <c r="CG126" s="817"/>
      <c r="CH126" s="817"/>
      <c r="CI126" s="817"/>
      <c r="CJ126" s="817"/>
      <c r="CK126" s="817"/>
      <c r="CL126" s="817"/>
      <c r="CM126" s="817"/>
      <c r="CN126" s="817"/>
      <c r="CO126" s="817"/>
      <c r="CP126" s="817"/>
      <c r="CQ126" s="817"/>
      <c r="CR126" s="817"/>
      <c r="CS126" s="817"/>
      <c r="CT126" s="817"/>
      <c r="CU126" s="817"/>
      <c r="CV126" s="817"/>
      <c r="CW126" s="817"/>
      <c r="CX126" s="817"/>
      <c r="CY126" s="817"/>
      <c r="CZ126" s="817"/>
      <c r="DA126" s="817"/>
      <c r="DB126" s="817"/>
      <c r="DC126" s="817"/>
      <c r="DD126" s="817"/>
      <c r="DE126" s="817"/>
      <c r="DF126" s="817"/>
      <c r="DG126" s="817"/>
      <c r="DH126" s="817"/>
      <c r="DI126" s="817"/>
      <c r="DJ126" s="817"/>
      <c r="DK126" s="817"/>
      <c r="DL126" s="817"/>
      <c r="DM126" s="817"/>
      <c r="DN126" s="817"/>
      <c r="DO126" s="817"/>
      <c r="DP126" s="817"/>
      <c r="DQ126" s="817"/>
      <c r="DR126" s="817"/>
      <c r="DS126" s="817"/>
      <c r="DT126" s="817"/>
      <c r="DU126" s="817"/>
      <c r="DV126" s="817"/>
      <c r="DW126" s="817"/>
      <c r="DX126" s="817"/>
      <c r="DY126" s="817"/>
      <c r="DZ126" s="817"/>
      <c r="EA126" s="817"/>
      <c r="EB126" s="817"/>
      <c r="EC126" s="817"/>
      <c r="ED126" s="817"/>
      <c r="EE126" s="817"/>
      <c r="EF126" s="817"/>
      <c r="EG126" s="817"/>
      <c r="EH126" s="817"/>
      <c r="EI126" s="817"/>
      <c r="EJ126" s="817"/>
      <c r="EK126" s="817"/>
      <c r="EL126" s="817"/>
      <c r="EM126" s="817"/>
      <c r="EN126" s="817"/>
      <c r="EO126" s="817"/>
      <c r="EP126" s="817"/>
      <c r="EQ126" s="817"/>
      <c r="ER126" s="817"/>
      <c r="ES126" s="817"/>
      <c r="ET126" s="817"/>
      <c r="EU126" s="817"/>
      <c r="EV126" s="817"/>
      <c r="EW126" s="817"/>
      <c r="EX126" s="817"/>
      <c r="EY126" s="817"/>
      <c r="EZ126" s="817"/>
      <c r="FA126" s="817"/>
      <c r="FB126" s="817"/>
      <c r="FC126" s="817"/>
      <c r="FD126" s="817"/>
      <c r="FE126" s="817"/>
      <c r="FF126" s="817"/>
      <c r="FG126" s="817"/>
      <c r="FH126" s="817"/>
      <c r="FI126" s="817"/>
      <c r="FJ126" s="817"/>
      <c r="FK126" s="817"/>
      <c r="FL126" s="817"/>
      <c r="FM126" s="817"/>
      <c r="FN126" s="817"/>
      <c r="FO126" s="817"/>
      <c r="FP126" s="817"/>
      <c r="FQ126" s="817"/>
      <c r="FR126" s="817"/>
      <c r="FS126" s="817"/>
      <c r="FT126" s="817"/>
      <c r="FU126" s="817"/>
      <c r="FV126" s="817"/>
      <c r="FW126" s="817"/>
      <c r="FX126" s="817"/>
      <c r="FY126" s="817"/>
      <c r="FZ126" s="817"/>
      <c r="GA126" s="817"/>
      <c r="GB126" s="817"/>
      <c r="GC126" s="817"/>
      <c r="GD126" s="817"/>
      <c r="GE126" s="817"/>
      <c r="GF126" s="817"/>
      <c r="GG126" s="817"/>
      <c r="GH126" s="817"/>
      <c r="GI126" s="817"/>
      <c r="GJ126" s="817"/>
      <c r="GK126" s="817"/>
      <c r="GL126" s="817"/>
      <c r="GM126" s="817"/>
      <c r="GN126" s="817"/>
      <c r="GO126" s="817"/>
      <c r="GP126" s="817"/>
      <c r="GQ126" s="817"/>
      <c r="GR126" s="817"/>
      <c r="GS126" s="817"/>
      <c r="GT126" s="817"/>
      <c r="GU126" s="817"/>
      <c r="GV126" s="817"/>
      <c r="GW126" s="817"/>
      <c r="GX126" s="817"/>
      <c r="GY126" s="817"/>
      <c r="GZ126" s="817"/>
      <c r="HA126" s="817"/>
      <c r="HB126" s="817"/>
      <c r="HC126" s="817"/>
      <c r="HD126" s="817"/>
      <c r="HE126" s="817"/>
      <c r="HF126" s="817"/>
      <c r="HG126" s="817"/>
      <c r="HH126" s="817"/>
      <c r="HI126" s="817"/>
      <c r="HJ126" s="817"/>
      <c r="HK126" s="817"/>
      <c r="HL126" s="817"/>
      <c r="HM126" s="817"/>
      <c r="HN126" s="817"/>
      <c r="HO126" s="817"/>
      <c r="HP126" s="817"/>
      <c r="HQ126" s="817"/>
      <c r="HR126" s="817"/>
      <c r="HS126" s="817"/>
      <c r="HT126" s="817"/>
      <c r="HU126" s="817"/>
      <c r="HV126" s="817"/>
      <c r="HW126" s="817"/>
      <c r="HX126" s="817"/>
      <c r="HY126" s="817"/>
      <c r="HZ126" s="817"/>
      <c r="IA126" s="817"/>
      <c r="IB126" s="817"/>
      <c r="IC126" s="817"/>
      <c r="ID126" s="817"/>
      <c r="IE126" s="817"/>
      <c r="IF126" s="817"/>
      <c r="IG126" s="817"/>
      <c r="IH126" s="817"/>
      <c r="II126" s="817"/>
      <c r="IJ126" s="817"/>
      <c r="IK126" s="817"/>
      <c r="IL126" s="817"/>
      <c r="IM126" s="817"/>
      <c r="IN126" s="817"/>
      <c r="IO126" s="817"/>
      <c r="IP126" s="817"/>
      <c r="IQ126" s="817"/>
      <c r="IR126" s="817"/>
      <c r="IS126" s="817"/>
      <c r="IT126" s="817"/>
      <c r="IU126" s="817"/>
      <c r="IV126" s="817"/>
    </row>
    <row r="127" spans="1:256" ht="10.5" customHeight="1">
      <c r="A127" s="859" t="s">
        <v>877</v>
      </c>
      <c r="B127" s="928">
        <v>24631.3</v>
      </c>
      <c r="C127" s="928">
        <v>26533.7</v>
      </c>
      <c r="D127" s="914">
        <v>28937.599999999999</v>
      </c>
      <c r="E127" s="914">
        <v>31544</v>
      </c>
      <c r="F127" s="914">
        <v>35285.4</v>
      </c>
      <c r="G127" s="914">
        <v>31720.400000000001</v>
      </c>
      <c r="H127" s="914">
        <v>33252.5</v>
      </c>
      <c r="I127" s="914">
        <v>35608.9</v>
      </c>
      <c r="J127" s="914">
        <v>35548</v>
      </c>
      <c r="K127" s="914">
        <v>36100.5</v>
      </c>
      <c r="L127" s="915">
        <v>36060.300000000003</v>
      </c>
      <c r="M127" s="915">
        <v>35634.300000000003</v>
      </c>
      <c r="N127" s="914">
        <v>34364.1</v>
      </c>
      <c r="O127" s="817"/>
      <c r="P127" s="817"/>
      <c r="Q127" s="817"/>
      <c r="R127" s="817"/>
      <c r="S127" s="817"/>
      <c r="T127" s="817"/>
      <c r="U127" s="817"/>
      <c r="V127" s="817"/>
      <c r="W127" s="817"/>
      <c r="X127" s="817"/>
      <c r="Y127" s="817"/>
      <c r="Z127" s="817"/>
      <c r="AA127" s="817"/>
      <c r="AB127" s="817"/>
      <c r="AC127" s="817"/>
      <c r="AD127" s="817"/>
      <c r="AE127" s="817"/>
      <c r="AF127" s="817"/>
      <c r="AG127" s="817"/>
      <c r="AH127" s="817"/>
      <c r="AI127" s="817"/>
      <c r="AJ127" s="817"/>
      <c r="AK127" s="817"/>
      <c r="AL127" s="817"/>
      <c r="AM127" s="817"/>
      <c r="AN127" s="817"/>
      <c r="AO127" s="817"/>
      <c r="AP127" s="817"/>
      <c r="AQ127" s="817"/>
      <c r="AR127" s="817"/>
      <c r="AS127" s="817"/>
      <c r="AT127" s="817"/>
      <c r="AU127" s="817"/>
      <c r="AV127" s="817"/>
      <c r="AW127" s="817"/>
      <c r="AX127" s="817"/>
      <c r="AY127" s="817"/>
      <c r="AZ127" s="817"/>
      <c r="BA127" s="817"/>
      <c r="BB127" s="817"/>
      <c r="BC127" s="817"/>
      <c r="BD127" s="817"/>
      <c r="BE127" s="817"/>
      <c r="BF127" s="817"/>
      <c r="BG127" s="817"/>
      <c r="BH127" s="817"/>
      <c r="BI127" s="817"/>
      <c r="BJ127" s="817"/>
      <c r="BK127" s="817"/>
      <c r="BL127" s="817"/>
      <c r="BM127" s="817"/>
      <c r="BN127" s="817"/>
      <c r="BO127" s="817"/>
      <c r="BP127" s="817"/>
      <c r="BQ127" s="817"/>
      <c r="BR127" s="817"/>
      <c r="BS127" s="817"/>
      <c r="BT127" s="817"/>
      <c r="BU127" s="817"/>
      <c r="BV127" s="817"/>
      <c r="BW127" s="817"/>
      <c r="BX127" s="817"/>
      <c r="BY127" s="817"/>
      <c r="BZ127" s="817"/>
      <c r="CA127" s="817"/>
      <c r="CB127" s="817"/>
      <c r="CC127" s="817"/>
      <c r="CD127" s="817"/>
      <c r="CE127" s="817"/>
      <c r="CF127" s="817"/>
      <c r="CG127" s="817"/>
      <c r="CH127" s="817"/>
      <c r="CI127" s="817"/>
      <c r="CJ127" s="817"/>
      <c r="CK127" s="817"/>
      <c r="CL127" s="817"/>
      <c r="CM127" s="817"/>
      <c r="CN127" s="817"/>
      <c r="CO127" s="817"/>
      <c r="CP127" s="817"/>
      <c r="CQ127" s="817"/>
      <c r="CR127" s="817"/>
      <c r="CS127" s="817"/>
      <c r="CT127" s="817"/>
      <c r="CU127" s="817"/>
      <c r="CV127" s="817"/>
      <c r="CW127" s="817"/>
      <c r="CX127" s="817"/>
      <c r="CY127" s="817"/>
      <c r="CZ127" s="817"/>
      <c r="DA127" s="817"/>
      <c r="DB127" s="817"/>
      <c r="DC127" s="817"/>
      <c r="DD127" s="817"/>
      <c r="DE127" s="817"/>
      <c r="DF127" s="817"/>
      <c r="DG127" s="817"/>
      <c r="DH127" s="817"/>
      <c r="DI127" s="817"/>
      <c r="DJ127" s="817"/>
      <c r="DK127" s="817"/>
      <c r="DL127" s="817"/>
      <c r="DM127" s="817"/>
      <c r="DN127" s="817"/>
      <c r="DO127" s="817"/>
      <c r="DP127" s="817"/>
      <c r="DQ127" s="817"/>
      <c r="DR127" s="817"/>
      <c r="DS127" s="817"/>
      <c r="DT127" s="817"/>
      <c r="DU127" s="817"/>
      <c r="DV127" s="817"/>
      <c r="DW127" s="817"/>
      <c r="DX127" s="817"/>
      <c r="DY127" s="817"/>
      <c r="DZ127" s="817"/>
      <c r="EA127" s="817"/>
      <c r="EB127" s="817"/>
      <c r="EC127" s="817"/>
      <c r="ED127" s="817"/>
      <c r="EE127" s="817"/>
      <c r="EF127" s="817"/>
      <c r="EG127" s="817"/>
      <c r="EH127" s="817"/>
      <c r="EI127" s="817"/>
      <c r="EJ127" s="817"/>
      <c r="EK127" s="817"/>
      <c r="EL127" s="817"/>
      <c r="EM127" s="817"/>
      <c r="EN127" s="817"/>
      <c r="EO127" s="817"/>
      <c r="EP127" s="817"/>
      <c r="EQ127" s="817"/>
      <c r="ER127" s="817"/>
      <c r="ES127" s="817"/>
      <c r="ET127" s="817"/>
      <c r="EU127" s="817"/>
      <c r="EV127" s="817"/>
      <c r="EW127" s="817"/>
      <c r="EX127" s="817"/>
      <c r="EY127" s="817"/>
      <c r="EZ127" s="817"/>
      <c r="FA127" s="817"/>
      <c r="FB127" s="817"/>
      <c r="FC127" s="817"/>
      <c r="FD127" s="817"/>
      <c r="FE127" s="817"/>
      <c r="FF127" s="817"/>
      <c r="FG127" s="817"/>
      <c r="FH127" s="817"/>
      <c r="FI127" s="817"/>
      <c r="FJ127" s="817"/>
      <c r="FK127" s="817"/>
      <c r="FL127" s="817"/>
      <c r="FM127" s="817"/>
      <c r="FN127" s="817"/>
      <c r="FO127" s="817"/>
      <c r="FP127" s="817"/>
      <c r="FQ127" s="817"/>
      <c r="FR127" s="817"/>
      <c r="FS127" s="817"/>
      <c r="FT127" s="817"/>
      <c r="FU127" s="817"/>
      <c r="FV127" s="817"/>
      <c r="FW127" s="817"/>
      <c r="FX127" s="817"/>
      <c r="FY127" s="817"/>
      <c r="FZ127" s="817"/>
      <c r="GA127" s="817"/>
      <c r="GB127" s="817"/>
      <c r="GC127" s="817"/>
      <c r="GD127" s="817"/>
      <c r="GE127" s="817"/>
      <c r="GF127" s="817"/>
      <c r="GG127" s="817"/>
      <c r="GH127" s="817"/>
      <c r="GI127" s="817"/>
      <c r="GJ127" s="817"/>
      <c r="GK127" s="817"/>
      <c r="GL127" s="817"/>
      <c r="GM127" s="817"/>
      <c r="GN127" s="817"/>
      <c r="GO127" s="817"/>
      <c r="GP127" s="817"/>
      <c r="GQ127" s="817"/>
      <c r="GR127" s="817"/>
      <c r="GS127" s="817"/>
      <c r="GT127" s="817"/>
      <c r="GU127" s="817"/>
      <c r="GV127" s="817"/>
      <c r="GW127" s="817"/>
      <c r="GX127" s="817"/>
      <c r="GY127" s="817"/>
      <c r="GZ127" s="817"/>
      <c r="HA127" s="817"/>
      <c r="HB127" s="817"/>
      <c r="HC127" s="817"/>
      <c r="HD127" s="817"/>
      <c r="HE127" s="817"/>
      <c r="HF127" s="817"/>
      <c r="HG127" s="817"/>
      <c r="HH127" s="817"/>
      <c r="HI127" s="817"/>
      <c r="HJ127" s="817"/>
      <c r="HK127" s="817"/>
      <c r="HL127" s="817"/>
      <c r="HM127" s="817"/>
      <c r="HN127" s="817"/>
      <c r="HO127" s="817"/>
      <c r="HP127" s="817"/>
      <c r="HQ127" s="817"/>
      <c r="HR127" s="817"/>
      <c r="HS127" s="817"/>
      <c r="HT127" s="817"/>
      <c r="HU127" s="817"/>
      <c r="HV127" s="817"/>
      <c r="HW127" s="817"/>
      <c r="HX127" s="817"/>
      <c r="HY127" s="817"/>
      <c r="HZ127" s="817"/>
      <c r="IA127" s="817"/>
      <c r="IB127" s="817"/>
      <c r="IC127" s="817"/>
      <c r="ID127" s="817"/>
      <c r="IE127" s="817"/>
      <c r="IF127" s="817"/>
      <c r="IG127" s="817"/>
      <c r="IH127" s="817"/>
      <c r="II127" s="817"/>
      <c r="IJ127" s="817"/>
      <c r="IK127" s="817"/>
      <c r="IL127" s="817"/>
      <c r="IM127" s="817"/>
      <c r="IN127" s="817"/>
      <c r="IO127" s="817"/>
      <c r="IP127" s="817"/>
      <c r="IQ127" s="817"/>
      <c r="IR127" s="817"/>
      <c r="IS127" s="817"/>
      <c r="IT127" s="817"/>
      <c r="IU127" s="817"/>
      <c r="IV127" s="817"/>
    </row>
    <row r="128" spans="1:256" ht="10.5" customHeight="1">
      <c r="A128" s="859" t="s">
        <v>878</v>
      </c>
      <c r="B128" s="928">
        <v>19303.7</v>
      </c>
      <c r="C128" s="928">
        <v>20420.900000000001</v>
      </c>
      <c r="D128" s="914">
        <v>21970.7</v>
      </c>
      <c r="E128" s="914">
        <v>23978.5</v>
      </c>
      <c r="F128" s="914">
        <v>25713.5</v>
      </c>
      <c r="G128" s="914">
        <v>21495.4</v>
      </c>
      <c r="H128" s="914">
        <v>24319.200000000001</v>
      </c>
      <c r="I128" s="914">
        <v>23303.4</v>
      </c>
      <c r="J128" s="914">
        <v>24028.6</v>
      </c>
      <c r="K128" s="914">
        <v>25957.7</v>
      </c>
      <c r="L128" s="915">
        <v>24659.4</v>
      </c>
      <c r="M128" s="915">
        <v>25026.6</v>
      </c>
      <c r="N128" s="914">
        <v>22588.9</v>
      </c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  <c r="AA128" s="817"/>
      <c r="AB128" s="817"/>
      <c r="AC128" s="817"/>
      <c r="AD128" s="817"/>
      <c r="AE128" s="817"/>
      <c r="AF128" s="817"/>
      <c r="AG128" s="817"/>
      <c r="AH128" s="817"/>
      <c r="AI128" s="817"/>
      <c r="AJ128" s="817"/>
      <c r="AK128" s="817"/>
      <c r="AL128" s="817"/>
      <c r="AM128" s="817"/>
      <c r="AN128" s="817"/>
      <c r="AO128" s="817"/>
      <c r="AP128" s="817"/>
      <c r="AQ128" s="817"/>
      <c r="AR128" s="817"/>
      <c r="AS128" s="817"/>
      <c r="AT128" s="817"/>
      <c r="AU128" s="817"/>
      <c r="AV128" s="817"/>
      <c r="AW128" s="817"/>
      <c r="AX128" s="817"/>
      <c r="AY128" s="817"/>
      <c r="AZ128" s="817"/>
      <c r="BA128" s="817"/>
      <c r="BB128" s="817"/>
      <c r="BC128" s="817"/>
      <c r="BD128" s="817"/>
      <c r="BE128" s="817"/>
      <c r="BF128" s="817"/>
      <c r="BG128" s="817"/>
      <c r="BH128" s="817"/>
      <c r="BI128" s="817"/>
      <c r="BJ128" s="817"/>
      <c r="BK128" s="817"/>
      <c r="BL128" s="817"/>
      <c r="BM128" s="817"/>
      <c r="BN128" s="817"/>
      <c r="BO128" s="817"/>
      <c r="BP128" s="817"/>
      <c r="BQ128" s="817"/>
      <c r="BR128" s="817"/>
      <c r="BS128" s="817"/>
      <c r="BT128" s="817"/>
      <c r="BU128" s="817"/>
      <c r="BV128" s="817"/>
      <c r="BW128" s="817"/>
      <c r="BX128" s="817"/>
      <c r="BY128" s="817"/>
      <c r="BZ128" s="817"/>
      <c r="CA128" s="817"/>
      <c r="CB128" s="817"/>
      <c r="CC128" s="817"/>
      <c r="CD128" s="817"/>
      <c r="CE128" s="817"/>
      <c r="CF128" s="817"/>
      <c r="CG128" s="817"/>
      <c r="CH128" s="817"/>
      <c r="CI128" s="817"/>
      <c r="CJ128" s="817"/>
      <c r="CK128" s="817"/>
      <c r="CL128" s="817"/>
      <c r="CM128" s="817"/>
      <c r="CN128" s="817"/>
      <c r="CO128" s="817"/>
      <c r="CP128" s="817"/>
      <c r="CQ128" s="817"/>
      <c r="CR128" s="817"/>
      <c r="CS128" s="817"/>
      <c r="CT128" s="817"/>
      <c r="CU128" s="817"/>
      <c r="CV128" s="817"/>
      <c r="CW128" s="817"/>
      <c r="CX128" s="817"/>
      <c r="CY128" s="817"/>
      <c r="CZ128" s="817"/>
      <c r="DA128" s="817"/>
      <c r="DB128" s="817"/>
      <c r="DC128" s="817"/>
      <c r="DD128" s="817"/>
      <c r="DE128" s="817"/>
      <c r="DF128" s="817"/>
      <c r="DG128" s="817"/>
      <c r="DH128" s="817"/>
      <c r="DI128" s="817"/>
      <c r="DJ128" s="817"/>
      <c r="DK128" s="817"/>
      <c r="DL128" s="817"/>
      <c r="DM128" s="817"/>
      <c r="DN128" s="817"/>
      <c r="DO128" s="817"/>
      <c r="DP128" s="817"/>
      <c r="DQ128" s="817"/>
      <c r="DR128" s="817"/>
      <c r="DS128" s="817"/>
      <c r="DT128" s="817"/>
      <c r="DU128" s="817"/>
      <c r="DV128" s="817"/>
      <c r="DW128" s="817"/>
      <c r="DX128" s="817"/>
      <c r="DY128" s="817"/>
      <c r="DZ128" s="817"/>
      <c r="EA128" s="817"/>
      <c r="EB128" s="817"/>
      <c r="EC128" s="817"/>
      <c r="ED128" s="817"/>
      <c r="EE128" s="817"/>
      <c r="EF128" s="817"/>
      <c r="EG128" s="817"/>
      <c r="EH128" s="817"/>
      <c r="EI128" s="817"/>
      <c r="EJ128" s="817"/>
      <c r="EK128" s="817"/>
      <c r="EL128" s="817"/>
      <c r="EM128" s="817"/>
      <c r="EN128" s="817"/>
      <c r="EO128" s="817"/>
      <c r="EP128" s="817"/>
      <c r="EQ128" s="817"/>
      <c r="ER128" s="817"/>
      <c r="ES128" s="817"/>
      <c r="ET128" s="817"/>
      <c r="EU128" s="817"/>
      <c r="EV128" s="817"/>
      <c r="EW128" s="817"/>
      <c r="EX128" s="817"/>
      <c r="EY128" s="817"/>
      <c r="EZ128" s="817"/>
      <c r="FA128" s="817"/>
      <c r="FB128" s="817"/>
      <c r="FC128" s="817"/>
      <c r="FD128" s="817"/>
      <c r="FE128" s="817"/>
      <c r="FF128" s="817"/>
      <c r="FG128" s="817"/>
      <c r="FH128" s="817"/>
      <c r="FI128" s="817"/>
      <c r="FJ128" s="817"/>
      <c r="FK128" s="817"/>
      <c r="FL128" s="817"/>
      <c r="FM128" s="817"/>
      <c r="FN128" s="817"/>
      <c r="FO128" s="817"/>
      <c r="FP128" s="817"/>
      <c r="FQ128" s="817"/>
      <c r="FR128" s="817"/>
      <c r="FS128" s="817"/>
      <c r="FT128" s="817"/>
      <c r="FU128" s="817"/>
      <c r="FV128" s="817"/>
      <c r="FW128" s="817"/>
      <c r="FX128" s="817"/>
      <c r="FY128" s="817"/>
      <c r="FZ128" s="817"/>
      <c r="GA128" s="817"/>
      <c r="GB128" s="817"/>
      <c r="GC128" s="817"/>
      <c r="GD128" s="817"/>
      <c r="GE128" s="817"/>
      <c r="GF128" s="817"/>
      <c r="GG128" s="817"/>
      <c r="GH128" s="817"/>
      <c r="GI128" s="817"/>
      <c r="GJ128" s="817"/>
      <c r="GK128" s="817"/>
      <c r="GL128" s="817"/>
      <c r="GM128" s="817"/>
      <c r="GN128" s="817"/>
      <c r="GO128" s="817"/>
      <c r="GP128" s="817"/>
      <c r="GQ128" s="817"/>
      <c r="GR128" s="817"/>
      <c r="GS128" s="817"/>
      <c r="GT128" s="817"/>
      <c r="GU128" s="817"/>
      <c r="GV128" s="817"/>
      <c r="GW128" s="817"/>
      <c r="GX128" s="817"/>
      <c r="GY128" s="817"/>
      <c r="GZ128" s="817"/>
      <c r="HA128" s="817"/>
      <c r="HB128" s="817"/>
      <c r="HC128" s="817"/>
      <c r="HD128" s="817"/>
      <c r="HE128" s="817"/>
      <c r="HF128" s="817"/>
      <c r="HG128" s="817"/>
      <c r="HH128" s="817"/>
      <c r="HI128" s="817"/>
      <c r="HJ128" s="817"/>
      <c r="HK128" s="817"/>
      <c r="HL128" s="817"/>
      <c r="HM128" s="817"/>
      <c r="HN128" s="817"/>
      <c r="HO128" s="817"/>
      <c r="HP128" s="817"/>
      <c r="HQ128" s="817"/>
      <c r="HR128" s="817"/>
      <c r="HS128" s="817"/>
      <c r="HT128" s="817"/>
      <c r="HU128" s="817"/>
      <c r="HV128" s="817"/>
      <c r="HW128" s="817"/>
      <c r="HX128" s="817"/>
      <c r="HY128" s="817"/>
      <c r="HZ128" s="817"/>
      <c r="IA128" s="817"/>
      <c r="IB128" s="817"/>
      <c r="IC128" s="817"/>
      <c r="ID128" s="817"/>
      <c r="IE128" s="817"/>
      <c r="IF128" s="817"/>
      <c r="IG128" s="817"/>
      <c r="IH128" s="817"/>
      <c r="II128" s="817"/>
      <c r="IJ128" s="817"/>
      <c r="IK128" s="817"/>
      <c r="IL128" s="817"/>
      <c r="IM128" s="817"/>
      <c r="IN128" s="817"/>
      <c r="IO128" s="817"/>
      <c r="IP128" s="817"/>
      <c r="IQ128" s="817"/>
      <c r="IR128" s="817"/>
      <c r="IS128" s="817"/>
      <c r="IT128" s="817"/>
      <c r="IU128" s="817"/>
      <c r="IV128" s="817"/>
    </row>
    <row r="129" spans="11:11">
      <c r="K129" s="935"/>
    </row>
  </sheetData>
  <conditionalFormatting sqref="E15">
    <cfRule type="cellIs" dxfId="0" priority="1" stopIfTrue="1" operator="between">
      <formula>0</formula>
      <formula>0.4</formula>
    </cfRule>
  </conditionalFormatting>
  <pageMargins left="0.51181102362204722" right="0.51181102362204722" top="0.51181102362204722" bottom="0.51181102362204722" header="0.27559055118110237" footer="0.27559055118110237"/>
  <pageSetup paperSize="9" orientation="portrait"/>
  <headerFooter alignWithMargins="0">
    <oddHeader>&amp;R&amp;"Arial,Bold"ENERGY</oddHeader>
    <oddFooter>&amp;C&amp;P</oddFooter>
  </headerFooter>
  <rowBreaks count="1" manualBreakCount="1">
    <brk id="63" max="1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 enableFormatConditionsCalculation="0"/>
  <dimension ref="A1:CL132"/>
  <sheetViews>
    <sheetView workbookViewId="0"/>
  </sheetViews>
  <sheetFormatPr baseColWidth="10" defaultColWidth="8.83203125" defaultRowHeight="13" x14ac:dyDescent="0"/>
  <cols>
    <col min="1" max="1" width="23.6640625" style="217" customWidth="1"/>
    <col min="2" max="2" width="9.33203125" style="217" customWidth="1"/>
    <col min="3" max="3" width="6.5" style="217" customWidth="1"/>
    <col min="4" max="5" width="8.33203125" style="217" customWidth="1"/>
    <col min="6" max="6" width="2.33203125" style="217" customWidth="1"/>
    <col min="7" max="7" width="9.83203125" style="217" customWidth="1"/>
    <col min="8" max="8" width="9.5" style="217" customWidth="1"/>
    <col min="9" max="9" width="10.33203125" style="217" customWidth="1"/>
    <col min="10" max="14" width="8.83203125" style="217"/>
    <col min="15" max="15" width="2.5" style="217" customWidth="1"/>
    <col min="16" max="256" width="8.83203125" style="217"/>
    <col min="257" max="257" width="23.6640625" style="217" customWidth="1"/>
    <col min="258" max="258" width="9.33203125" style="217" customWidth="1"/>
    <col min="259" max="259" width="6.5" style="217" customWidth="1"/>
    <col min="260" max="261" width="8.33203125" style="217" customWidth="1"/>
    <col min="262" max="262" width="2.33203125" style="217" customWidth="1"/>
    <col min="263" max="263" width="9.83203125" style="217" customWidth="1"/>
    <col min="264" max="264" width="9.5" style="217" customWidth="1"/>
    <col min="265" max="265" width="10.33203125" style="217" customWidth="1"/>
    <col min="266" max="512" width="8.83203125" style="217"/>
    <col min="513" max="513" width="23.6640625" style="217" customWidth="1"/>
    <col min="514" max="514" width="9.33203125" style="217" customWidth="1"/>
    <col min="515" max="515" width="6.5" style="217" customWidth="1"/>
    <col min="516" max="517" width="8.33203125" style="217" customWidth="1"/>
    <col min="518" max="518" width="2.33203125" style="217" customWidth="1"/>
    <col min="519" max="519" width="9.83203125" style="217" customWidth="1"/>
    <col min="520" max="520" width="9.5" style="217" customWidth="1"/>
    <col min="521" max="521" width="10.33203125" style="217" customWidth="1"/>
    <col min="522" max="768" width="8.83203125" style="217"/>
    <col min="769" max="769" width="23.6640625" style="217" customWidth="1"/>
    <col min="770" max="770" width="9.33203125" style="217" customWidth="1"/>
    <col min="771" max="771" width="6.5" style="217" customWidth="1"/>
    <col min="772" max="773" width="8.33203125" style="217" customWidth="1"/>
    <col min="774" max="774" width="2.33203125" style="217" customWidth="1"/>
    <col min="775" max="775" width="9.83203125" style="217" customWidth="1"/>
    <col min="776" max="776" width="9.5" style="217" customWidth="1"/>
    <col min="777" max="777" width="10.33203125" style="217" customWidth="1"/>
    <col min="778" max="1024" width="8.83203125" style="217"/>
    <col min="1025" max="1025" width="23.6640625" style="217" customWidth="1"/>
    <col min="1026" max="1026" width="9.33203125" style="217" customWidth="1"/>
    <col min="1027" max="1027" width="6.5" style="217" customWidth="1"/>
    <col min="1028" max="1029" width="8.33203125" style="217" customWidth="1"/>
    <col min="1030" max="1030" width="2.33203125" style="217" customWidth="1"/>
    <col min="1031" max="1031" width="9.83203125" style="217" customWidth="1"/>
    <col min="1032" max="1032" width="9.5" style="217" customWidth="1"/>
    <col min="1033" max="1033" width="10.33203125" style="217" customWidth="1"/>
    <col min="1034" max="1280" width="8.83203125" style="217"/>
    <col min="1281" max="1281" width="23.6640625" style="217" customWidth="1"/>
    <col min="1282" max="1282" width="9.33203125" style="217" customWidth="1"/>
    <col min="1283" max="1283" width="6.5" style="217" customWidth="1"/>
    <col min="1284" max="1285" width="8.33203125" style="217" customWidth="1"/>
    <col min="1286" max="1286" width="2.33203125" style="217" customWidth="1"/>
    <col min="1287" max="1287" width="9.83203125" style="217" customWidth="1"/>
    <col min="1288" max="1288" width="9.5" style="217" customWidth="1"/>
    <col min="1289" max="1289" width="10.33203125" style="217" customWidth="1"/>
    <col min="1290" max="1536" width="8.83203125" style="217"/>
    <col min="1537" max="1537" width="23.6640625" style="217" customWidth="1"/>
    <col min="1538" max="1538" width="9.33203125" style="217" customWidth="1"/>
    <col min="1539" max="1539" width="6.5" style="217" customWidth="1"/>
    <col min="1540" max="1541" width="8.33203125" style="217" customWidth="1"/>
    <col min="1542" max="1542" width="2.33203125" style="217" customWidth="1"/>
    <col min="1543" max="1543" width="9.83203125" style="217" customWidth="1"/>
    <col min="1544" max="1544" width="9.5" style="217" customWidth="1"/>
    <col min="1545" max="1545" width="10.33203125" style="217" customWidth="1"/>
    <col min="1546" max="1792" width="8.83203125" style="217"/>
    <col min="1793" max="1793" width="23.6640625" style="217" customWidth="1"/>
    <col min="1794" max="1794" width="9.33203125" style="217" customWidth="1"/>
    <col min="1795" max="1795" width="6.5" style="217" customWidth="1"/>
    <col min="1796" max="1797" width="8.33203125" style="217" customWidth="1"/>
    <col min="1798" max="1798" width="2.33203125" style="217" customWidth="1"/>
    <col min="1799" max="1799" width="9.83203125" style="217" customWidth="1"/>
    <col min="1800" max="1800" width="9.5" style="217" customWidth="1"/>
    <col min="1801" max="1801" width="10.33203125" style="217" customWidth="1"/>
    <col min="1802" max="2048" width="8.83203125" style="217"/>
    <col min="2049" max="2049" width="23.6640625" style="217" customWidth="1"/>
    <col min="2050" max="2050" width="9.33203125" style="217" customWidth="1"/>
    <col min="2051" max="2051" width="6.5" style="217" customWidth="1"/>
    <col min="2052" max="2053" width="8.33203125" style="217" customWidth="1"/>
    <col min="2054" max="2054" width="2.33203125" style="217" customWidth="1"/>
    <col min="2055" max="2055" width="9.83203125" style="217" customWidth="1"/>
    <col min="2056" max="2056" width="9.5" style="217" customWidth="1"/>
    <col min="2057" max="2057" width="10.33203125" style="217" customWidth="1"/>
    <col min="2058" max="2304" width="8.83203125" style="217"/>
    <col min="2305" max="2305" width="23.6640625" style="217" customWidth="1"/>
    <col min="2306" max="2306" width="9.33203125" style="217" customWidth="1"/>
    <col min="2307" max="2307" width="6.5" style="217" customWidth="1"/>
    <col min="2308" max="2309" width="8.33203125" style="217" customWidth="1"/>
    <col min="2310" max="2310" width="2.33203125" style="217" customWidth="1"/>
    <col min="2311" max="2311" width="9.83203125" style="217" customWidth="1"/>
    <col min="2312" max="2312" width="9.5" style="217" customWidth="1"/>
    <col min="2313" max="2313" width="10.33203125" style="217" customWidth="1"/>
    <col min="2314" max="2560" width="8.83203125" style="217"/>
    <col min="2561" max="2561" width="23.6640625" style="217" customWidth="1"/>
    <col min="2562" max="2562" width="9.33203125" style="217" customWidth="1"/>
    <col min="2563" max="2563" width="6.5" style="217" customWidth="1"/>
    <col min="2564" max="2565" width="8.33203125" style="217" customWidth="1"/>
    <col min="2566" max="2566" width="2.33203125" style="217" customWidth="1"/>
    <col min="2567" max="2567" width="9.83203125" style="217" customWidth="1"/>
    <col min="2568" max="2568" width="9.5" style="217" customWidth="1"/>
    <col min="2569" max="2569" width="10.33203125" style="217" customWidth="1"/>
    <col min="2570" max="2816" width="8.83203125" style="217"/>
    <col min="2817" max="2817" width="23.6640625" style="217" customWidth="1"/>
    <col min="2818" max="2818" width="9.33203125" style="217" customWidth="1"/>
    <col min="2819" max="2819" width="6.5" style="217" customWidth="1"/>
    <col min="2820" max="2821" width="8.33203125" style="217" customWidth="1"/>
    <col min="2822" max="2822" width="2.33203125" style="217" customWidth="1"/>
    <col min="2823" max="2823" width="9.83203125" style="217" customWidth="1"/>
    <col min="2824" max="2824" width="9.5" style="217" customWidth="1"/>
    <col min="2825" max="2825" width="10.33203125" style="217" customWidth="1"/>
    <col min="2826" max="3072" width="8.83203125" style="217"/>
    <col min="3073" max="3073" width="23.6640625" style="217" customWidth="1"/>
    <col min="3074" max="3074" width="9.33203125" style="217" customWidth="1"/>
    <col min="3075" max="3075" width="6.5" style="217" customWidth="1"/>
    <col min="3076" max="3077" width="8.33203125" style="217" customWidth="1"/>
    <col min="3078" max="3078" width="2.33203125" style="217" customWidth="1"/>
    <col min="3079" max="3079" width="9.83203125" style="217" customWidth="1"/>
    <col min="3080" max="3080" width="9.5" style="217" customWidth="1"/>
    <col min="3081" max="3081" width="10.33203125" style="217" customWidth="1"/>
    <col min="3082" max="3328" width="8.83203125" style="217"/>
    <col min="3329" max="3329" width="23.6640625" style="217" customWidth="1"/>
    <col min="3330" max="3330" width="9.33203125" style="217" customWidth="1"/>
    <col min="3331" max="3331" width="6.5" style="217" customWidth="1"/>
    <col min="3332" max="3333" width="8.33203125" style="217" customWidth="1"/>
    <col min="3334" max="3334" width="2.33203125" style="217" customWidth="1"/>
    <col min="3335" max="3335" width="9.83203125" style="217" customWidth="1"/>
    <col min="3336" max="3336" width="9.5" style="217" customWidth="1"/>
    <col min="3337" max="3337" width="10.33203125" style="217" customWidth="1"/>
    <col min="3338" max="3584" width="8.83203125" style="217"/>
    <col min="3585" max="3585" width="23.6640625" style="217" customWidth="1"/>
    <col min="3586" max="3586" width="9.33203125" style="217" customWidth="1"/>
    <col min="3587" max="3587" width="6.5" style="217" customWidth="1"/>
    <col min="3588" max="3589" width="8.33203125" style="217" customWidth="1"/>
    <col min="3590" max="3590" width="2.33203125" style="217" customWidth="1"/>
    <col min="3591" max="3591" width="9.83203125" style="217" customWidth="1"/>
    <col min="3592" max="3592" width="9.5" style="217" customWidth="1"/>
    <col min="3593" max="3593" width="10.33203125" style="217" customWidth="1"/>
    <col min="3594" max="3840" width="8.83203125" style="217"/>
    <col min="3841" max="3841" width="23.6640625" style="217" customWidth="1"/>
    <col min="3842" max="3842" width="9.33203125" style="217" customWidth="1"/>
    <col min="3843" max="3843" width="6.5" style="217" customWidth="1"/>
    <col min="3844" max="3845" width="8.33203125" style="217" customWidth="1"/>
    <col min="3846" max="3846" width="2.33203125" style="217" customWidth="1"/>
    <col min="3847" max="3847" width="9.83203125" style="217" customWidth="1"/>
    <col min="3848" max="3848" width="9.5" style="217" customWidth="1"/>
    <col min="3849" max="3849" width="10.33203125" style="217" customWidth="1"/>
    <col min="3850" max="4096" width="8.83203125" style="217"/>
    <col min="4097" max="4097" width="23.6640625" style="217" customWidth="1"/>
    <col min="4098" max="4098" width="9.33203125" style="217" customWidth="1"/>
    <col min="4099" max="4099" width="6.5" style="217" customWidth="1"/>
    <col min="4100" max="4101" width="8.33203125" style="217" customWidth="1"/>
    <col min="4102" max="4102" width="2.33203125" style="217" customWidth="1"/>
    <col min="4103" max="4103" width="9.83203125" style="217" customWidth="1"/>
    <col min="4104" max="4104" width="9.5" style="217" customWidth="1"/>
    <col min="4105" max="4105" width="10.33203125" style="217" customWidth="1"/>
    <col min="4106" max="4352" width="8.83203125" style="217"/>
    <col min="4353" max="4353" width="23.6640625" style="217" customWidth="1"/>
    <col min="4354" max="4354" width="9.33203125" style="217" customWidth="1"/>
    <col min="4355" max="4355" width="6.5" style="217" customWidth="1"/>
    <col min="4356" max="4357" width="8.33203125" style="217" customWidth="1"/>
    <col min="4358" max="4358" width="2.33203125" style="217" customWidth="1"/>
    <col min="4359" max="4359" width="9.83203125" style="217" customWidth="1"/>
    <col min="4360" max="4360" width="9.5" style="217" customWidth="1"/>
    <col min="4361" max="4361" width="10.33203125" style="217" customWidth="1"/>
    <col min="4362" max="4608" width="8.83203125" style="217"/>
    <col min="4609" max="4609" width="23.6640625" style="217" customWidth="1"/>
    <col min="4610" max="4610" width="9.33203125" style="217" customWidth="1"/>
    <col min="4611" max="4611" width="6.5" style="217" customWidth="1"/>
    <col min="4612" max="4613" width="8.33203125" style="217" customWidth="1"/>
    <col min="4614" max="4614" width="2.33203125" style="217" customWidth="1"/>
    <col min="4615" max="4615" width="9.83203125" style="217" customWidth="1"/>
    <col min="4616" max="4616" width="9.5" style="217" customWidth="1"/>
    <col min="4617" max="4617" width="10.33203125" style="217" customWidth="1"/>
    <col min="4618" max="4864" width="8.83203125" style="217"/>
    <col min="4865" max="4865" width="23.6640625" style="217" customWidth="1"/>
    <col min="4866" max="4866" width="9.33203125" style="217" customWidth="1"/>
    <col min="4867" max="4867" width="6.5" style="217" customWidth="1"/>
    <col min="4868" max="4869" width="8.33203125" style="217" customWidth="1"/>
    <col min="4870" max="4870" width="2.33203125" style="217" customWidth="1"/>
    <col min="4871" max="4871" width="9.83203125" style="217" customWidth="1"/>
    <col min="4872" max="4872" width="9.5" style="217" customWidth="1"/>
    <col min="4873" max="4873" width="10.33203125" style="217" customWidth="1"/>
    <col min="4874" max="5120" width="8.83203125" style="217"/>
    <col min="5121" max="5121" width="23.6640625" style="217" customWidth="1"/>
    <col min="5122" max="5122" width="9.33203125" style="217" customWidth="1"/>
    <col min="5123" max="5123" width="6.5" style="217" customWidth="1"/>
    <col min="5124" max="5125" width="8.33203125" style="217" customWidth="1"/>
    <col min="5126" max="5126" width="2.33203125" style="217" customWidth="1"/>
    <col min="5127" max="5127" width="9.83203125" style="217" customWidth="1"/>
    <col min="5128" max="5128" width="9.5" style="217" customWidth="1"/>
    <col min="5129" max="5129" width="10.33203125" style="217" customWidth="1"/>
    <col min="5130" max="5376" width="8.83203125" style="217"/>
    <col min="5377" max="5377" width="23.6640625" style="217" customWidth="1"/>
    <col min="5378" max="5378" width="9.33203125" style="217" customWidth="1"/>
    <col min="5379" max="5379" width="6.5" style="217" customWidth="1"/>
    <col min="5380" max="5381" width="8.33203125" style="217" customWidth="1"/>
    <col min="5382" max="5382" width="2.33203125" style="217" customWidth="1"/>
    <col min="5383" max="5383" width="9.83203125" style="217" customWidth="1"/>
    <col min="5384" max="5384" width="9.5" style="217" customWidth="1"/>
    <col min="5385" max="5385" width="10.33203125" style="217" customWidth="1"/>
    <col min="5386" max="5632" width="8.83203125" style="217"/>
    <col min="5633" max="5633" width="23.6640625" style="217" customWidth="1"/>
    <col min="5634" max="5634" width="9.33203125" style="217" customWidth="1"/>
    <col min="5635" max="5635" width="6.5" style="217" customWidth="1"/>
    <col min="5636" max="5637" width="8.33203125" style="217" customWidth="1"/>
    <col min="5638" max="5638" width="2.33203125" style="217" customWidth="1"/>
    <col min="5639" max="5639" width="9.83203125" style="217" customWidth="1"/>
    <col min="5640" max="5640" width="9.5" style="217" customWidth="1"/>
    <col min="5641" max="5641" width="10.33203125" style="217" customWidth="1"/>
    <col min="5642" max="5888" width="8.83203125" style="217"/>
    <col min="5889" max="5889" width="23.6640625" style="217" customWidth="1"/>
    <col min="5890" max="5890" width="9.33203125" style="217" customWidth="1"/>
    <col min="5891" max="5891" width="6.5" style="217" customWidth="1"/>
    <col min="5892" max="5893" width="8.33203125" style="217" customWidth="1"/>
    <col min="5894" max="5894" width="2.33203125" style="217" customWidth="1"/>
    <col min="5895" max="5895" width="9.83203125" style="217" customWidth="1"/>
    <col min="5896" max="5896" width="9.5" style="217" customWidth="1"/>
    <col min="5897" max="5897" width="10.33203125" style="217" customWidth="1"/>
    <col min="5898" max="6144" width="8.83203125" style="217"/>
    <col min="6145" max="6145" width="23.6640625" style="217" customWidth="1"/>
    <col min="6146" max="6146" width="9.33203125" style="217" customWidth="1"/>
    <col min="6147" max="6147" width="6.5" style="217" customWidth="1"/>
    <col min="6148" max="6149" width="8.33203125" style="217" customWidth="1"/>
    <col min="6150" max="6150" width="2.33203125" style="217" customWidth="1"/>
    <col min="6151" max="6151" width="9.83203125" style="217" customWidth="1"/>
    <col min="6152" max="6152" width="9.5" style="217" customWidth="1"/>
    <col min="6153" max="6153" width="10.33203125" style="217" customWidth="1"/>
    <col min="6154" max="6400" width="8.83203125" style="217"/>
    <col min="6401" max="6401" width="23.6640625" style="217" customWidth="1"/>
    <col min="6402" max="6402" width="9.33203125" style="217" customWidth="1"/>
    <col min="6403" max="6403" width="6.5" style="217" customWidth="1"/>
    <col min="6404" max="6405" width="8.33203125" style="217" customWidth="1"/>
    <col min="6406" max="6406" width="2.33203125" style="217" customWidth="1"/>
    <col min="6407" max="6407" width="9.83203125" style="217" customWidth="1"/>
    <col min="6408" max="6408" width="9.5" style="217" customWidth="1"/>
    <col min="6409" max="6409" width="10.33203125" style="217" customWidth="1"/>
    <col min="6410" max="6656" width="8.83203125" style="217"/>
    <col min="6657" max="6657" width="23.6640625" style="217" customWidth="1"/>
    <col min="6658" max="6658" width="9.33203125" style="217" customWidth="1"/>
    <col min="6659" max="6659" width="6.5" style="217" customWidth="1"/>
    <col min="6660" max="6661" width="8.33203125" style="217" customWidth="1"/>
    <col min="6662" max="6662" width="2.33203125" style="217" customWidth="1"/>
    <col min="6663" max="6663" width="9.83203125" style="217" customWidth="1"/>
    <col min="6664" max="6664" width="9.5" style="217" customWidth="1"/>
    <col min="6665" max="6665" width="10.33203125" style="217" customWidth="1"/>
    <col min="6666" max="6912" width="8.83203125" style="217"/>
    <col min="6913" max="6913" width="23.6640625" style="217" customWidth="1"/>
    <col min="6914" max="6914" width="9.33203125" style="217" customWidth="1"/>
    <col min="6915" max="6915" width="6.5" style="217" customWidth="1"/>
    <col min="6916" max="6917" width="8.33203125" style="217" customWidth="1"/>
    <col min="6918" max="6918" width="2.33203125" style="217" customWidth="1"/>
    <col min="6919" max="6919" width="9.83203125" style="217" customWidth="1"/>
    <col min="6920" max="6920" width="9.5" style="217" customWidth="1"/>
    <col min="6921" max="6921" width="10.33203125" style="217" customWidth="1"/>
    <col min="6922" max="7168" width="8.83203125" style="217"/>
    <col min="7169" max="7169" width="23.6640625" style="217" customWidth="1"/>
    <col min="7170" max="7170" width="9.33203125" style="217" customWidth="1"/>
    <col min="7171" max="7171" width="6.5" style="217" customWidth="1"/>
    <col min="7172" max="7173" width="8.33203125" style="217" customWidth="1"/>
    <col min="7174" max="7174" width="2.33203125" style="217" customWidth="1"/>
    <col min="7175" max="7175" width="9.83203125" style="217" customWidth="1"/>
    <col min="7176" max="7176" width="9.5" style="217" customWidth="1"/>
    <col min="7177" max="7177" width="10.33203125" style="217" customWidth="1"/>
    <col min="7178" max="7424" width="8.83203125" style="217"/>
    <col min="7425" max="7425" width="23.6640625" style="217" customWidth="1"/>
    <col min="7426" max="7426" width="9.33203125" style="217" customWidth="1"/>
    <col min="7427" max="7427" width="6.5" style="217" customWidth="1"/>
    <col min="7428" max="7429" width="8.33203125" style="217" customWidth="1"/>
    <col min="7430" max="7430" width="2.33203125" style="217" customWidth="1"/>
    <col min="7431" max="7431" width="9.83203125" style="217" customWidth="1"/>
    <col min="7432" max="7432" width="9.5" style="217" customWidth="1"/>
    <col min="7433" max="7433" width="10.33203125" style="217" customWidth="1"/>
    <col min="7434" max="7680" width="8.83203125" style="217"/>
    <col min="7681" max="7681" width="23.6640625" style="217" customWidth="1"/>
    <col min="7682" max="7682" width="9.33203125" style="217" customWidth="1"/>
    <col min="7683" max="7683" width="6.5" style="217" customWidth="1"/>
    <col min="7684" max="7685" width="8.33203125" style="217" customWidth="1"/>
    <col min="7686" max="7686" width="2.33203125" style="217" customWidth="1"/>
    <col min="7687" max="7687" width="9.83203125" style="217" customWidth="1"/>
    <col min="7688" max="7688" width="9.5" style="217" customWidth="1"/>
    <col min="7689" max="7689" width="10.33203125" style="217" customWidth="1"/>
    <col min="7690" max="7936" width="8.83203125" style="217"/>
    <col min="7937" max="7937" width="23.6640625" style="217" customWidth="1"/>
    <col min="7938" max="7938" width="9.33203125" style="217" customWidth="1"/>
    <col min="7939" max="7939" width="6.5" style="217" customWidth="1"/>
    <col min="7940" max="7941" width="8.33203125" style="217" customWidth="1"/>
    <col min="7942" max="7942" width="2.33203125" style="217" customWidth="1"/>
    <col min="7943" max="7943" width="9.83203125" style="217" customWidth="1"/>
    <col min="7944" max="7944" width="9.5" style="217" customWidth="1"/>
    <col min="7945" max="7945" width="10.33203125" style="217" customWidth="1"/>
    <col min="7946" max="8192" width="8.83203125" style="217"/>
    <col min="8193" max="8193" width="23.6640625" style="217" customWidth="1"/>
    <col min="8194" max="8194" width="9.33203125" style="217" customWidth="1"/>
    <col min="8195" max="8195" width="6.5" style="217" customWidth="1"/>
    <col min="8196" max="8197" width="8.33203125" style="217" customWidth="1"/>
    <col min="8198" max="8198" width="2.33203125" style="217" customWidth="1"/>
    <col min="8199" max="8199" width="9.83203125" style="217" customWidth="1"/>
    <col min="8200" max="8200" width="9.5" style="217" customWidth="1"/>
    <col min="8201" max="8201" width="10.33203125" style="217" customWidth="1"/>
    <col min="8202" max="8448" width="8.83203125" style="217"/>
    <col min="8449" max="8449" width="23.6640625" style="217" customWidth="1"/>
    <col min="8450" max="8450" width="9.33203125" style="217" customWidth="1"/>
    <col min="8451" max="8451" width="6.5" style="217" customWidth="1"/>
    <col min="8452" max="8453" width="8.33203125" style="217" customWidth="1"/>
    <col min="8454" max="8454" width="2.33203125" style="217" customWidth="1"/>
    <col min="8455" max="8455" width="9.83203125" style="217" customWidth="1"/>
    <col min="8456" max="8456" width="9.5" style="217" customWidth="1"/>
    <col min="8457" max="8457" width="10.33203125" style="217" customWidth="1"/>
    <col min="8458" max="8704" width="8.83203125" style="217"/>
    <col min="8705" max="8705" width="23.6640625" style="217" customWidth="1"/>
    <col min="8706" max="8706" width="9.33203125" style="217" customWidth="1"/>
    <col min="8707" max="8707" width="6.5" style="217" customWidth="1"/>
    <col min="8708" max="8709" width="8.33203125" style="217" customWidth="1"/>
    <col min="8710" max="8710" width="2.33203125" style="217" customWidth="1"/>
    <col min="8711" max="8711" width="9.83203125" style="217" customWidth="1"/>
    <col min="8712" max="8712" width="9.5" style="217" customWidth="1"/>
    <col min="8713" max="8713" width="10.33203125" style="217" customWidth="1"/>
    <col min="8714" max="8960" width="8.83203125" style="217"/>
    <col min="8961" max="8961" width="23.6640625" style="217" customWidth="1"/>
    <col min="8962" max="8962" width="9.33203125" style="217" customWidth="1"/>
    <col min="8963" max="8963" width="6.5" style="217" customWidth="1"/>
    <col min="8964" max="8965" width="8.33203125" style="217" customWidth="1"/>
    <col min="8966" max="8966" width="2.33203125" style="217" customWidth="1"/>
    <col min="8967" max="8967" width="9.83203125" style="217" customWidth="1"/>
    <col min="8968" max="8968" width="9.5" style="217" customWidth="1"/>
    <col min="8969" max="8969" width="10.33203125" style="217" customWidth="1"/>
    <col min="8970" max="9216" width="8.83203125" style="217"/>
    <col min="9217" max="9217" width="23.6640625" style="217" customWidth="1"/>
    <col min="9218" max="9218" width="9.33203125" style="217" customWidth="1"/>
    <col min="9219" max="9219" width="6.5" style="217" customWidth="1"/>
    <col min="9220" max="9221" width="8.33203125" style="217" customWidth="1"/>
    <col min="9222" max="9222" width="2.33203125" style="217" customWidth="1"/>
    <col min="9223" max="9223" width="9.83203125" style="217" customWidth="1"/>
    <col min="9224" max="9224" width="9.5" style="217" customWidth="1"/>
    <col min="9225" max="9225" width="10.33203125" style="217" customWidth="1"/>
    <col min="9226" max="9472" width="8.83203125" style="217"/>
    <col min="9473" max="9473" width="23.6640625" style="217" customWidth="1"/>
    <col min="9474" max="9474" width="9.33203125" style="217" customWidth="1"/>
    <col min="9475" max="9475" width="6.5" style="217" customWidth="1"/>
    <col min="9476" max="9477" width="8.33203125" style="217" customWidth="1"/>
    <col min="9478" max="9478" width="2.33203125" style="217" customWidth="1"/>
    <col min="9479" max="9479" width="9.83203125" style="217" customWidth="1"/>
    <col min="9480" max="9480" width="9.5" style="217" customWidth="1"/>
    <col min="9481" max="9481" width="10.33203125" style="217" customWidth="1"/>
    <col min="9482" max="9728" width="8.83203125" style="217"/>
    <col min="9729" max="9729" width="23.6640625" style="217" customWidth="1"/>
    <col min="9730" max="9730" width="9.33203125" style="217" customWidth="1"/>
    <col min="9731" max="9731" width="6.5" style="217" customWidth="1"/>
    <col min="9732" max="9733" width="8.33203125" style="217" customWidth="1"/>
    <col min="9734" max="9734" width="2.33203125" style="217" customWidth="1"/>
    <col min="9735" max="9735" width="9.83203125" style="217" customWidth="1"/>
    <col min="9736" max="9736" width="9.5" style="217" customWidth="1"/>
    <col min="9737" max="9737" width="10.33203125" style="217" customWidth="1"/>
    <col min="9738" max="9984" width="8.83203125" style="217"/>
    <col min="9985" max="9985" width="23.6640625" style="217" customWidth="1"/>
    <col min="9986" max="9986" width="9.33203125" style="217" customWidth="1"/>
    <col min="9987" max="9987" width="6.5" style="217" customWidth="1"/>
    <col min="9988" max="9989" width="8.33203125" style="217" customWidth="1"/>
    <col min="9990" max="9990" width="2.33203125" style="217" customWidth="1"/>
    <col min="9991" max="9991" width="9.83203125" style="217" customWidth="1"/>
    <col min="9992" max="9992" width="9.5" style="217" customWidth="1"/>
    <col min="9993" max="9993" width="10.33203125" style="217" customWidth="1"/>
    <col min="9994" max="10240" width="8.83203125" style="217"/>
    <col min="10241" max="10241" width="23.6640625" style="217" customWidth="1"/>
    <col min="10242" max="10242" width="9.33203125" style="217" customWidth="1"/>
    <col min="10243" max="10243" width="6.5" style="217" customWidth="1"/>
    <col min="10244" max="10245" width="8.33203125" style="217" customWidth="1"/>
    <col min="10246" max="10246" width="2.33203125" style="217" customWidth="1"/>
    <col min="10247" max="10247" width="9.83203125" style="217" customWidth="1"/>
    <col min="10248" max="10248" width="9.5" style="217" customWidth="1"/>
    <col min="10249" max="10249" width="10.33203125" style="217" customWidth="1"/>
    <col min="10250" max="10496" width="8.83203125" style="217"/>
    <col min="10497" max="10497" width="23.6640625" style="217" customWidth="1"/>
    <col min="10498" max="10498" width="9.33203125" style="217" customWidth="1"/>
    <col min="10499" max="10499" width="6.5" style="217" customWidth="1"/>
    <col min="10500" max="10501" width="8.33203125" style="217" customWidth="1"/>
    <col min="10502" max="10502" width="2.33203125" style="217" customWidth="1"/>
    <col min="10503" max="10503" width="9.83203125" style="217" customWidth="1"/>
    <col min="10504" max="10504" width="9.5" style="217" customWidth="1"/>
    <col min="10505" max="10505" width="10.33203125" style="217" customWidth="1"/>
    <col min="10506" max="10752" width="8.83203125" style="217"/>
    <col min="10753" max="10753" width="23.6640625" style="217" customWidth="1"/>
    <col min="10754" max="10754" width="9.33203125" style="217" customWidth="1"/>
    <col min="10755" max="10755" width="6.5" style="217" customWidth="1"/>
    <col min="10756" max="10757" width="8.33203125" style="217" customWidth="1"/>
    <col min="10758" max="10758" width="2.33203125" style="217" customWidth="1"/>
    <col min="10759" max="10759" width="9.83203125" style="217" customWidth="1"/>
    <col min="10760" max="10760" width="9.5" style="217" customWidth="1"/>
    <col min="10761" max="10761" width="10.33203125" style="217" customWidth="1"/>
    <col min="10762" max="11008" width="8.83203125" style="217"/>
    <col min="11009" max="11009" width="23.6640625" style="217" customWidth="1"/>
    <col min="11010" max="11010" width="9.33203125" style="217" customWidth="1"/>
    <col min="11011" max="11011" width="6.5" style="217" customWidth="1"/>
    <col min="11012" max="11013" width="8.33203125" style="217" customWidth="1"/>
    <col min="11014" max="11014" width="2.33203125" style="217" customWidth="1"/>
    <col min="11015" max="11015" width="9.83203125" style="217" customWidth="1"/>
    <col min="11016" max="11016" width="9.5" style="217" customWidth="1"/>
    <col min="11017" max="11017" width="10.33203125" style="217" customWidth="1"/>
    <col min="11018" max="11264" width="8.83203125" style="217"/>
    <col min="11265" max="11265" width="23.6640625" style="217" customWidth="1"/>
    <col min="11266" max="11266" width="9.33203125" style="217" customWidth="1"/>
    <col min="11267" max="11267" width="6.5" style="217" customWidth="1"/>
    <col min="11268" max="11269" width="8.33203125" style="217" customWidth="1"/>
    <col min="11270" max="11270" width="2.33203125" style="217" customWidth="1"/>
    <col min="11271" max="11271" width="9.83203125" style="217" customWidth="1"/>
    <col min="11272" max="11272" width="9.5" style="217" customWidth="1"/>
    <col min="11273" max="11273" width="10.33203125" style="217" customWidth="1"/>
    <col min="11274" max="11520" width="8.83203125" style="217"/>
    <col min="11521" max="11521" width="23.6640625" style="217" customWidth="1"/>
    <col min="11522" max="11522" width="9.33203125" style="217" customWidth="1"/>
    <col min="11523" max="11523" width="6.5" style="217" customWidth="1"/>
    <col min="11524" max="11525" width="8.33203125" style="217" customWidth="1"/>
    <col min="11526" max="11526" width="2.33203125" style="217" customWidth="1"/>
    <col min="11527" max="11527" width="9.83203125" style="217" customWidth="1"/>
    <col min="11528" max="11528" width="9.5" style="217" customWidth="1"/>
    <col min="11529" max="11529" width="10.33203125" style="217" customWidth="1"/>
    <col min="11530" max="11776" width="8.83203125" style="217"/>
    <col min="11777" max="11777" width="23.6640625" style="217" customWidth="1"/>
    <col min="11778" max="11778" width="9.33203125" style="217" customWidth="1"/>
    <col min="11779" max="11779" width="6.5" style="217" customWidth="1"/>
    <col min="11780" max="11781" width="8.33203125" style="217" customWidth="1"/>
    <col min="11782" max="11782" width="2.33203125" style="217" customWidth="1"/>
    <col min="11783" max="11783" width="9.83203125" style="217" customWidth="1"/>
    <col min="11784" max="11784" width="9.5" style="217" customWidth="1"/>
    <col min="11785" max="11785" width="10.33203125" style="217" customWidth="1"/>
    <col min="11786" max="12032" width="8.83203125" style="217"/>
    <col min="12033" max="12033" width="23.6640625" style="217" customWidth="1"/>
    <col min="12034" max="12034" width="9.33203125" style="217" customWidth="1"/>
    <col min="12035" max="12035" width="6.5" style="217" customWidth="1"/>
    <col min="12036" max="12037" width="8.33203125" style="217" customWidth="1"/>
    <col min="12038" max="12038" width="2.33203125" style="217" customWidth="1"/>
    <col min="12039" max="12039" width="9.83203125" style="217" customWidth="1"/>
    <col min="12040" max="12040" width="9.5" style="217" customWidth="1"/>
    <col min="12041" max="12041" width="10.33203125" style="217" customWidth="1"/>
    <col min="12042" max="12288" width="8.83203125" style="217"/>
    <col min="12289" max="12289" width="23.6640625" style="217" customWidth="1"/>
    <col min="12290" max="12290" width="9.33203125" style="217" customWidth="1"/>
    <col min="12291" max="12291" width="6.5" style="217" customWidth="1"/>
    <col min="12292" max="12293" width="8.33203125" style="217" customWidth="1"/>
    <col min="12294" max="12294" width="2.33203125" style="217" customWidth="1"/>
    <col min="12295" max="12295" width="9.83203125" style="217" customWidth="1"/>
    <col min="12296" max="12296" width="9.5" style="217" customWidth="1"/>
    <col min="12297" max="12297" width="10.33203125" style="217" customWidth="1"/>
    <col min="12298" max="12544" width="8.83203125" style="217"/>
    <col min="12545" max="12545" width="23.6640625" style="217" customWidth="1"/>
    <col min="12546" max="12546" width="9.33203125" style="217" customWidth="1"/>
    <col min="12547" max="12547" width="6.5" style="217" customWidth="1"/>
    <col min="12548" max="12549" width="8.33203125" style="217" customWidth="1"/>
    <col min="12550" max="12550" width="2.33203125" style="217" customWidth="1"/>
    <col min="12551" max="12551" width="9.83203125" style="217" customWidth="1"/>
    <col min="12552" max="12552" width="9.5" style="217" customWidth="1"/>
    <col min="12553" max="12553" width="10.33203125" style="217" customWidth="1"/>
    <col min="12554" max="12800" width="8.83203125" style="217"/>
    <col min="12801" max="12801" width="23.6640625" style="217" customWidth="1"/>
    <col min="12802" max="12802" width="9.33203125" style="217" customWidth="1"/>
    <col min="12803" max="12803" width="6.5" style="217" customWidth="1"/>
    <col min="12804" max="12805" width="8.33203125" style="217" customWidth="1"/>
    <col min="12806" max="12806" width="2.33203125" style="217" customWidth="1"/>
    <col min="12807" max="12807" width="9.83203125" style="217" customWidth="1"/>
    <col min="12808" max="12808" width="9.5" style="217" customWidth="1"/>
    <col min="12809" max="12809" width="10.33203125" style="217" customWidth="1"/>
    <col min="12810" max="13056" width="8.83203125" style="217"/>
    <col min="13057" max="13057" width="23.6640625" style="217" customWidth="1"/>
    <col min="13058" max="13058" width="9.33203125" style="217" customWidth="1"/>
    <col min="13059" max="13059" width="6.5" style="217" customWidth="1"/>
    <col min="13060" max="13061" width="8.33203125" style="217" customWidth="1"/>
    <col min="13062" max="13062" width="2.33203125" style="217" customWidth="1"/>
    <col min="13063" max="13063" width="9.83203125" style="217" customWidth="1"/>
    <col min="13064" max="13064" width="9.5" style="217" customWidth="1"/>
    <col min="13065" max="13065" width="10.33203125" style="217" customWidth="1"/>
    <col min="13066" max="13312" width="8.83203125" style="217"/>
    <col min="13313" max="13313" width="23.6640625" style="217" customWidth="1"/>
    <col min="13314" max="13314" width="9.33203125" style="217" customWidth="1"/>
    <col min="13315" max="13315" width="6.5" style="217" customWidth="1"/>
    <col min="13316" max="13317" width="8.33203125" style="217" customWidth="1"/>
    <col min="13318" max="13318" width="2.33203125" style="217" customWidth="1"/>
    <col min="13319" max="13319" width="9.83203125" style="217" customWidth="1"/>
    <col min="13320" max="13320" width="9.5" style="217" customWidth="1"/>
    <col min="13321" max="13321" width="10.33203125" style="217" customWidth="1"/>
    <col min="13322" max="13568" width="8.83203125" style="217"/>
    <col min="13569" max="13569" width="23.6640625" style="217" customWidth="1"/>
    <col min="13570" max="13570" width="9.33203125" style="217" customWidth="1"/>
    <col min="13571" max="13571" width="6.5" style="217" customWidth="1"/>
    <col min="13572" max="13573" width="8.33203125" style="217" customWidth="1"/>
    <col min="13574" max="13574" width="2.33203125" style="217" customWidth="1"/>
    <col min="13575" max="13575" width="9.83203125" style="217" customWidth="1"/>
    <col min="13576" max="13576" width="9.5" style="217" customWidth="1"/>
    <col min="13577" max="13577" width="10.33203125" style="217" customWidth="1"/>
    <col min="13578" max="13824" width="8.83203125" style="217"/>
    <col min="13825" max="13825" width="23.6640625" style="217" customWidth="1"/>
    <col min="13826" max="13826" width="9.33203125" style="217" customWidth="1"/>
    <col min="13827" max="13827" width="6.5" style="217" customWidth="1"/>
    <col min="13828" max="13829" width="8.33203125" style="217" customWidth="1"/>
    <col min="13830" max="13830" width="2.33203125" style="217" customWidth="1"/>
    <col min="13831" max="13831" width="9.83203125" style="217" customWidth="1"/>
    <col min="13832" max="13832" width="9.5" style="217" customWidth="1"/>
    <col min="13833" max="13833" width="10.33203125" style="217" customWidth="1"/>
    <col min="13834" max="14080" width="8.83203125" style="217"/>
    <col min="14081" max="14081" width="23.6640625" style="217" customWidth="1"/>
    <col min="14082" max="14082" width="9.33203125" style="217" customWidth="1"/>
    <col min="14083" max="14083" width="6.5" style="217" customWidth="1"/>
    <col min="14084" max="14085" width="8.33203125" style="217" customWidth="1"/>
    <col min="14086" max="14086" width="2.33203125" style="217" customWidth="1"/>
    <col min="14087" max="14087" width="9.83203125" style="217" customWidth="1"/>
    <col min="14088" max="14088" width="9.5" style="217" customWidth="1"/>
    <col min="14089" max="14089" width="10.33203125" style="217" customWidth="1"/>
    <col min="14090" max="14336" width="8.83203125" style="217"/>
    <col min="14337" max="14337" width="23.6640625" style="217" customWidth="1"/>
    <col min="14338" max="14338" width="9.33203125" style="217" customWidth="1"/>
    <col min="14339" max="14339" width="6.5" style="217" customWidth="1"/>
    <col min="14340" max="14341" width="8.33203125" style="217" customWidth="1"/>
    <col min="14342" max="14342" width="2.33203125" style="217" customWidth="1"/>
    <col min="14343" max="14343" width="9.83203125" style="217" customWidth="1"/>
    <col min="14344" max="14344" width="9.5" style="217" customWidth="1"/>
    <col min="14345" max="14345" width="10.33203125" style="217" customWidth="1"/>
    <col min="14346" max="14592" width="8.83203125" style="217"/>
    <col min="14593" max="14593" width="23.6640625" style="217" customWidth="1"/>
    <col min="14594" max="14594" width="9.33203125" style="217" customWidth="1"/>
    <col min="14595" max="14595" width="6.5" style="217" customWidth="1"/>
    <col min="14596" max="14597" width="8.33203125" style="217" customWidth="1"/>
    <col min="14598" max="14598" width="2.33203125" style="217" customWidth="1"/>
    <col min="14599" max="14599" width="9.83203125" style="217" customWidth="1"/>
    <col min="14600" max="14600" width="9.5" style="217" customWidth="1"/>
    <col min="14601" max="14601" width="10.33203125" style="217" customWidth="1"/>
    <col min="14602" max="14848" width="8.83203125" style="217"/>
    <col min="14849" max="14849" width="23.6640625" style="217" customWidth="1"/>
    <col min="14850" max="14850" width="9.33203125" style="217" customWidth="1"/>
    <col min="14851" max="14851" width="6.5" style="217" customWidth="1"/>
    <col min="14852" max="14853" width="8.33203125" style="217" customWidth="1"/>
    <col min="14854" max="14854" width="2.33203125" style="217" customWidth="1"/>
    <col min="14855" max="14855" width="9.83203125" style="217" customWidth="1"/>
    <col min="14856" max="14856" width="9.5" style="217" customWidth="1"/>
    <col min="14857" max="14857" width="10.33203125" style="217" customWidth="1"/>
    <col min="14858" max="15104" width="8.83203125" style="217"/>
    <col min="15105" max="15105" width="23.6640625" style="217" customWidth="1"/>
    <col min="15106" max="15106" width="9.33203125" style="217" customWidth="1"/>
    <col min="15107" max="15107" width="6.5" style="217" customWidth="1"/>
    <col min="15108" max="15109" width="8.33203125" style="217" customWidth="1"/>
    <col min="15110" max="15110" width="2.33203125" style="217" customWidth="1"/>
    <col min="15111" max="15111" width="9.83203125" style="217" customWidth="1"/>
    <col min="15112" max="15112" width="9.5" style="217" customWidth="1"/>
    <col min="15113" max="15113" width="10.33203125" style="217" customWidth="1"/>
    <col min="15114" max="15360" width="8.83203125" style="217"/>
    <col min="15361" max="15361" width="23.6640625" style="217" customWidth="1"/>
    <col min="15362" max="15362" width="9.33203125" style="217" customWidth="1"/>
    <col min="15363" max="15363" width="6.5" style="217" customWidth="1"/>
    <col min="15364" max="15365" width="8.33203125" style="217" customWidth="1"/>
    <col min="15366" max="15366" width="2.33203125" style="217" customWidth="1"/>
    <col min="15367" max="15367" width="9.83203125" style="217" customWidth="1"/>
    <col min="15368" max="15368" width="9.5" style="217" customWidth="1"/>
    <col min="15369" max="15369" width="10.33203125" style="217" customWidth="1"/>
    <col min="15370" max="15616" width="8.83203125" style="217"/>
    <col min="15617" max="15617" width="23.6640625" style="217" customWidth="1"/>
    <col min="15618" max="15618" width="9.33203125" style="217" customWidth="1"/>
    <col min="15619" max="15619" width="6.5" style="217" customWidth="1"/>
    <col min="15620" max="15621" width="8.33203125" style="217" customWidth="1"/>
    <col min="15622" max="15622" width="2.33203125" style="217" customWidth="1"/>
    <col min="15623" max="15623" width="9.83203125" style="217" customWidth="1"/>
    <col min="15624" max="15624" width="9.5" style="217" customWidth="1"/>
    <col min="15625" max="15625" width="10.33203125" style="217" customWidth="1"/>
    <col min="15626" max="15872" width="8.83203125" style="217"/>
    <col min="15873" max="15873" width="23.6640625" style="217" customWidth="1"/>
    <col min="15874" max="15874" width="9.33203125" style="217" customWidth="1"/>
    <col min="15875" max="15875" width="6.5" style="217" customWidth="1"/>
    <col min="15876" max="15877" width="8.33203125" style="217" customWidth="1"/>
    <col min="15878" max="15878" width="2.33203125" style="217" customWidth="1"/>
    <col min="15879" max="15879" width="9.83203125" style="217" customWidth="1"/>
    <col min="15880" max="15880" width="9.5" style="217" customWidth="1"/>
    <col min="15881" max="15881" width="10.33203125" style="217" customWidth="1"/>
    <col min="15882" max="16128" width="8.83203125" style="217"/>
    <col min="16129" max="16129" width="23.6640625" style="217" customWidth="1"/>
    <col min="16130" max="16130" width="9.33203125" style="217" customWidth="1"/>
    <col min="16131" max="16131" width="6.5" style="217" customWidth="1"/>
    <col min="16132" max="16133" width="8.33203125" style="217" customWidth="1"/>
    <col min="16134" max="16134" width="2.33203125" style="217" customWidth="1"/>
    <col min="16135" max="16135" width="9.83203125" style="217" customWidth="1"/>
    <col min="16136" max="16136" width="9.5" style="217" customWidth="1"/>
    <col min="16137" max="16137" width="10.33203125" style="217" customWidth="1"/>
    <col min="16138" max="16384" width="8.83203125" style="217"/>
  </cols>
  <sheetData>
    <row r="1" spans="1:25" s="243" customFormat="1" ht="21" customHeight="1">
      <c r="A1" s="211" t="s">
        <v>370</v>
      </c>
    </row>
    <row r="2" spans="1:25" s="245" customFormat="1" ht="16.5" customHeight="1">
      <c r="A2" s="244" t="s">
        <v>371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16" customFormat="1" ht="29.25" customHeight="1" thickBot="1">
      <c r="A3" s="1777" t="s">
        <v>372</v>
      </c>
      <c r="B3" s="1777"/>
      <c r="C3" s="1777"/>
      <c r="D3" s="1777"/>
      <c r="E3" s="1777"/>
      <c r="H3" s="246"/>
      <c r="I3" s="247" t="s">
        <v>373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52" customFormat="1" ht="11.25" customHeight="1" thickTop="1">
      <c r="A4" s="248"/>
      <c r="B4" s="249" t="s">
        <v>362</v>
      </c>
      <c r="C4" s="249" t="s">
        <v>362</v>
      </c>
      <c r="D4" s="249" t="s">
        <v>374</v>
      </c>
      <c r="E4" s="249" t="s">
        <v>375</v>
      </c>
      <c r="F4" s="250"/>
      <c r="G4" s="249" t="s">
        <v>376</v>
      </c>
      <c r="H4" s="251" t="s">
        <v>362</v>
      </c>
      <c r="I4" s="249" t="s">
        <v>377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252" customFormat="1" ht="11.25" customHeight="1">
      <c r="A5" s="253"/>
      <c r="B5" s="254" t="s">
        <v>378</v>
      </c>
      <c r="C5" s="251" t="s">
        <v>379</v>
      </c>
      <c r="D5" s="251" t="s">
        <v>380</v>
      </c>
      <c r="E5" s="251" t="s">
        <v>381</v>
      </c>
      <c r="F5" s="250"/>
      <c r="G5" s="251" t="s">
        <v>382</v>
      </c>
      <c r="H5" s="254" t="s">
        <v>378</v>
      </c>
      <c r="I5" s="251" t="s">
        <v>383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s="252" customFormat="1" ht="11.25" customHeight="1">
      <c r="A6" s="255"/>
      <c r="B6" s="256" t="s">
        <v>384</v>
      </c>
      <c r="C6" s="257"/>
      <c r="D6" s="256" t="s">
        <v>385</v>
      </c>
      <c r="E6" s="256" t="s">
        <v>385</v>
      </c>
      <c r="F6" s="258"/>
      <c r="G6" s="256" t="s">
        <v>386</v>
      </c>
      <c r="H6" s="256" t="s">
        <v>219</v>
      </c>
      <c r="I6" s="256" t="s">
        <v>219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s="262" customFormat="1" ht="10.5" customHeight="1">
      <c r="A7" s="259" t="s">
        <v>66</v>
      </c>
      <c r="B7" s="260"/>
      <c r="C7" s="260"/>
      <c r="D7" s="260"/>
      <c r="E7" s="260"/>
      <c r="F7" s="261"/>
      <c r="G7" s="261"/>
      <c r="H7" s="261"/>
      <c r="I7" s="261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s="216" customFormat="1" ht="10.5" customHeight="1">
      <c r="A8" s="215" t="s">
        <v>387</v>
      </c>
      <c r="B8" s="263">
        <v>4451.3389999999999</v>
      </c>
      <c r="C8" s="263">
        <v>25.312999999999999</v>
      </c>
      <c r="D8" s="263">
        <v>226.83118999999999</v>
      </c>
      <c r="E8" s="263">
        <v>4703.4831899999999</v>
      </c>
      <c r="F8" s="264"/>
      <c r="G8" s="265">
        <v>1817.8133728000003</v>
      </c>
      <c r="H8" s="263">
        <v>9650.9856348643498</v>
      </c>
      <c r="I8" s="263">
        <v>16700.745766240001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s="216" customFormat="1" ht="10.5" customHeight="1">
      <c r="A9" s="215" t="s">
        <v>231</v>
      </c>
      <c r="B9" s="266">
        <v>0</v>
      </c>
      <c r="C9" s="266">
        <v>0</v>
      </c>
      <c r="D9" s="266">
        <v>0</v>
      </c>
      <c r="E9" s="266">
        <v>0</v>
      </c>
      <c r="F9" s="266"/>
      <c r="G9" s="266">
        <v>0</v>
      </c>
      <c r="H9" s="266">
        <v>0</v>
      </c>
      <c r="I9" s="266">
        <v>0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s="216" customFormat="1" ht="10.5" customHeight="1">
      <c r="A10" s="215" t="s">
        <v>4</v>
      </c>
      <c r="B10" s="263">
        <v>744.70399999999995</v>
      </c>
      <c r="C10" s="265">
        <v>324.548</v>
      </c>
      <c r="D10" s="265">
        <v>13.378825000000001</v>
      </c>
      <c r="E10" s="265">
        <v>1082.630825</v>
      </c>
      <c r="F10" s="263"/>
      <c r="G10" s="266">
        <v>0</v>
      </c>
      <c r="H10" s="266">
        <v>0</v>
      </c>
      <c r="I10" s="266">
        <v>0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s="216" customFormat="1" ht="11.25" customHeight="1">
      <c r="A11" s="215" t="s">
        <v>136</v>
      </c>
      <c r="B11" s="266">
        <v>-105.3</v>
      </c>
      <c r="C11" s="267">
        <v>-152.06900000000002</v>
      </c>
      <c r="D11" s="268">
        <v>-6.9963199999999999</v>
      </c>
      <c r="E11" s="265">
        <v>-264.36532000000005</v>
      </c>
      <c r="F11" s="263"/>
      <c r="G11" s="266">
        <v>0</v>
      </c>
      <c r="H11" s="266">
        <v>0</v>
      </c>
      <c r="I11" s="266">
        <v>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s="216" customFormat="1" ht="11.25" customHeight="1">
      <c r="A12" s="215" t="s">
        <v>137</v>
      </c>
      <c r="B12" s="266">
        <v>0</v>
      </c>
      <c r="C12" s="266">
        <v>0</v>
      </c>
      <c r="D12" s="266">
        <v>0</v>
      </c>
      <c r="E12" s="266">
        <v>0</v>
      </c>
      <c r="F12" s="263"/>
      <c r="G12" s="266">
        <v>0</v>
      </c>
      <c r="H12" s="266">
        <v>0</v>
      </c>
      <c r="I12" s="266">
        <v>0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s="262" customFormat="1" ht="10.5" customHeight="1">
      <c r="A13" s="215" t="s">
        <v>388</v>
      </c>
      <c r="B13" s="267">
        <v>33.902999999999849</v>
      </c>
      <c r="C13" s="267">
        <v>-79.826000000000022</v>
      </c>
      <c r="D13" s="267">
        <v>1.8500399999999892</v>
      </c>
      <c r="E13" s="263">
        <v>-44.07296000000018</v>
      </c>
      <c r="F13" s="263"/>
      <c r="G13" s="266">
        <v>0</v>
      </c>
      <c r="H13" s="266">
        <v>0</v>
      </c>
      <c r="I13" s="266">
        <v>0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s="216" customFormat="1" ht="13.5" customHeight="1">
      <c r="A14" s="215" t="s">
        <v>389</v>
      </c>
      <c r="B14" s="263">
        <v>-1114.5379999999998</v>
      </c>
      <c r="C14" s="267">
        <v>1114.5379999999998</v>
      </c>
      <c r="D14" s="266">
        <v>0</v>
      </c>
      <c r="E14" s="266">
        <v>0</v>
      </c>
      <c r="F14" s="263"/>
      <c r="G14" s="266">
        <v>0</v>
      </c>
      <c r="H14" s="267">
        <v>80.780350800000008</v>
      </c>
      <c r="I14" s="267">
        <v>-3.0127409999999997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s="273" customFormat="1" ht="10.5" customHeight="1">
      <c r="A15" s="269" t="s">
        <v>234</v>
      </c>
      <c r="B15" s="270">
        <v>4010.1080000000002</v>
      </c>
      <c r="C15" s="271">
        <v>1232.5039999999997</v>
      </c>
      <c r="D15" s="271">
        <v>235.06373499999998</v>
      </c>
      <c r="E15" s="271">
        <v>5477.6757349999998</v>
      </c>
      <c r="F15" s="272"/>
      <c r="G15" s="271">
        <v>1817.8133728000003</v>
      </c>
      <c r="H15" s="270">
        <v>9731.7659856643495</v>
      </c>
      <c r="I15" s="270">
        <v>16697.733025240002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s="273" customFormat="1" ht="11.25" customHeight="1">
      <c r="A16" s="269" t="s">
        <v>390</v>
      </c>
      <c r="B16" s="274">
        <v>-13.877000000000407</v>
      </c>
      <c r="C16" s="274">
        <v>3.1179999999997108</v>
      </c>
      <c r="D16" s="274">
        <v>0</v>
      </c>
      <c r="E16" s="275">
        <v>-10.759000000000697</v>
      </c>
      <c r="F16" s="276"/>
      <c r="G16" s="277">
        <v>0</v>
      </c>
      <c r="H16" s="274">
        <v>46.530388799998036</v>
      </c>
      <c r="I16" s="278">
        <v>-113.46896329999799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s="273" customFormat="1" ht="10.5" customHeight="1">
      <c r="A17" s="269" t="s">
        <v>237</v>
      </c>
      <c r="B17" s="279">
        <v>4023.9850000000006</v>
      </c>
      <c r="C17" s="280">
        <v>1229.386</v>
      </c>
      <c r="D17" s="280">
        <v>234.60278499999998</v>
      </c>
      <c r="E17" s="279">
        <v>5485.1817850000007</v>
      </c>
      <c r="F17" s="281"/>
      <c r="G17" s="280">
        <v>1817.8133728000003</v>
      </c>
      <c r="H17" s="279">
        <v>9685.2355968643515</v>
      </c>
      <c r="I17" s="279">
        <v>16811.20198854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262" customFormat="1" ht="10.5" customHeight="1">
      <c r="A18" s="282" t="s">
        <v>143</v>
      </c>
      <c r="B18" s="283">
        <v>3909.8620000000005</v>
      </c>
      <c r="C18" s="283">
        <v>482.50200000000007</v>
      </c>
      <c r="D18" s="266">
        <v>0</v>
      </c>
      <c r="E18" s="283">
        <v>4392.3640000000005</v>
      </c>
      <c r="F18" s="284"/>
      <c r="G18" s="266">
        <v>0</v>
      </c>
      <c r="H18" s="283">
        <v>2525.2819999999997</v>
      </c>
      <c r="I18" s="283">
        <v>8970.67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s="216" customFormat="1" ht="10.5" customHeight="1">
      <c r="A19" s="215" t="s">
        <v>144</v>
      </c>
      <c r="B19" s="266">
        <v>0</v>
      </c>
      <c r="C19" s="266">
        <v>0</v>
      </c>
      <c r="D19" s="266">
        <v>0</v>
      </c>
      <c r="E19" s="266">
        <v>0</v>
      </c>
      <c r="F19" s="266"/>
      <c r="G19" s="266">
        <v>0</v>
      </c>
      <c r="H19" s="266">
        <v>2106.9969999999998</v>
      </c>
      <c r="I19" s="266">
        <v>8791.4049999999988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s="216" customFormat="1" ht="10.5" customHeight="1">
      <c r="A20" s="215" t="s">
        <v>238</v>
      </c>
      <c r="B20" s="266">
        <v>0</v>
      </c>
      <c r="C20" s="266">
        <v>0</v>
      </c>
      <c r="D20" s="266">
        <v>0</v>
      </c>
      <c r="E20" s="266">
        <v>0</v>
      </c>
      <c r="F20" s="266"/>
      <c r="G20" s="266">
        <v>0</v>
      </c>
      <c r="H20" s="266">
        <v>0</v>
      </c>
      <c r="I20" s="266">
        <v>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s="216" customFormat="1" ht="10.5" customHeight="1">
      <c r="A21" s="215" t="s">
        <v>239</v>
      </c>
      <c r="B21" s="266">
        <v>0</v>
      </c>
      <c r="C21" s="266">
        <v>0</v>
      </c>
      <c r="D21" s="266">
        <v>0</v>
      </c>
      <c r="E21" s="266">
        <v>0</v>
      </c>
      <c r="F21" s="266"/>
      <c r="G21" s="266">
        <v>0</v>
      </c>
      <c r="H21" s="266">
        <v>2106.9969999999998</v>
      </c>
      <c r="I21" s="266">
        <v>8791.4049999999988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s="216" customFormat="1" ht="10.5" customHeight="1">
      <c r="A22" s="215" t="s">
        <v>146</v>
      </c>
      <c r="B22" s="266">
        <v>0</v>
      </c>
      <c r="C22" s="266">
        <v>0</v>
      </c>
      <c r="D22" s="266">
        <v>0</v>
      </c>
      <c r="E22" s="266">
        <v>0</v>
      </c>
      <c r="F22" s="266"/>
      <c r="G22" s="266">
        <v>0</v>
      </c>
      <c r="H22" s="266">
        <v>418.28500000000003</v>
      </c>
      <c r="I22" s="266">
        <v>179.26499999999999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216" customFormat="1" ht="10.5" customHeight="1">
      <c r="A23" s="215" t="s">
        <v>147</v>
      </c>
      <c r="B23" s="266">
        <v>0</v>
      </c>
      <c r="C23" s="266">
        <v>0</v>
      </c>
      <c r="D23" s="266">
        <v>0</v>
      </c>
      <c r="E23" s="266">
        <v>0</v>
      </c>
      <c r="F23" s="266"/>
      <c r="G23" s="266">
        <v>0</v>
      </c>
      <c r="H23" s="266">
        <v>0</v>
      </c>
      <c r="I23" s="266">
        <v>0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s="216" customFormat="1" ht="10.5" customHeight="1">
      <c r="A24" s="215" t="s">
        <v>148</v>
      </c>
      <c r="B24" s="266">
        <v>0</v>
      </c>
      <c r="C24" s="266">
        <v>0</v>
      </c>
      <c r="D24" s="266">
        <v>0</v>
      </c>
      <c r="E24" s="266">
        <v>0</v>
      </c>
      <c r="F24" s="266"/>
      <c r="G24" s="266">
        <v>0</v>
      </c>
      <c r="H24" s="266">
        <v>0</v>
      </c>
      <c r="I24" s="266">
        <v>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s="216" customFormat="1" ht="10.5" customHeight="1">
      <c r="A25" s="215" t="s">
        <v>116</v>
      </c>
      <c r="B25" s="266">
        <v>3909.8620000000005</v>
      </c>
      <c r="C25" s="266">
        <v>482.50200000000007</v>
      </c>
      <c r="D25" s="266">
        <v>0</v>
      </c>
      <c r="E25" s="266">
        <v>4392.3640000000005</v>
      </c>
      <c r="F25" s="266"/>
      <c r="G25" s="266">
        <v>0</v>
      </c>
      <c r="H25" s="266">
        <v>0</v>
      </c>
      <c r="I25" s="266">
        <v>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s="216" customFormat="1" ht="10.5" customHeight="1">
      <c r="A26" s="215" t="s">
        <v>149</v>
      </c>
      <c r="B26" s="266">
        <v>0</v>
      </c>
      <c r="C26" s="266">
        <v>0</v>
      </c>
      <c r="D26" s="266">
        <v>0</v>
      </c>
      <c r="E26" s="266">
        <v>0</v>
      </c>
      <c r="F26" s="266"/>
      <c r="G26" s="266">
        <v>0</v>
      </c>
      <c r="H26" s="266">
        <v>0</v>
      </c>
      <c r="I26" s="266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s="216" customFormat="1" ht="10.5" customHeight="1">
      <c r="A27" s="285" t="s">
        <v>391</v>
      </c>
      <c r="B27" s="286">
        <v>0</v>
      </c>
      <c r="C27" s="286">
        <v>0</v>
      </c>
      <c r="D27" s="266">
        <v>0</v>
      </c>
      <c r="E27" s="266">
        <v>0</v>
      </c>
      <c r="F27" s="266"/>
      <c r="G27" s="286">
        <v>0</v>
      </c>
      <c r="H27" s="286">
        <v>0</v>
      </c>
      <c r="I27" s="286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s="273" customFormat="1" ht="10.5" customHeight="1">
      <c r="A28" s="287" t="s">
        <v>150</v>
      </c>
      <c r="B28" s="277">
        <v>0</v>
      </c>
      <c r="C28" s="277">
        <v>0</v>
      </c>
      <c r="D28" s="288">
        <v>0</v>
      </c>
      <c r="E28" s="288">
        <v>0</v>
      </c>
      <c r="F28" s="281"/>
      <c r="G28" s="277">
        <v>0</v>
      </c>
      <c r="H28" s="288">
        <v>5169.6770131518142</v>
      </c>
      <c r="I28" s="288">
        <v>5081.8984326400005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s="216" customFormat="1" ht="10.5" customHeight="1">
      <c r="A29" s="215" t="s">
        <v>144</v>
      </c>
      <c r="B29" s="266">
        <v>0</v>
      </c>
      <c r="C29" s="266">
        <v>0</v>
      </c>
      <c r="D29" s="266">
        <v>0</v>
      </c>
      <c r="E29" s="266">
        <v>0</v>
      </c>
      <c r="F29" s="266"/>
      <c r="G29" s="266">
        <v>0</v>
      </c>
      <c r="H29" s="266">
        <v>0</v>
      </c>
      <c r="I29" s="266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s="216" customFormat="1" ht="10.5" customHeight="1">
      <c r="A30" s="215" t="s">
        <v>151</v>
      </c>
      <c r="B30" s="266">
        <v>0</v>
      </c>
      <c r="C30" s="266">
        <v>0</v>
      </c>
      <c r="D30" s="266">
        <v>0</v>
      </c>
      <c r="E30" s="266">
        <v>0</v>
      </c>
      <c r="F30" s="266"/>
      <c r="G30" s="266">
        <v>0</v>
      </c>
      <c r="H30" s="266">
        <v>0</v>
      </c>
      <c r="I30" s="266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s="216" customFormat="1" ht="10.5" customHeight="1">
      <c r="A31" s="215" t="s">
        <v>147</v>
      </c>
      <c r="B31" s="266">
        <v>0</v>
      </c>
      <c r="C31" s="266">
        <v>0</v>
      </c>
      <c r="D31" s="266">
        <v>0</v>
      </c>
      <c r="E31" s="266">
        <v>0</v>
      </c>
      <c r="F31" s="266"/>
      <c r="G31" s="266">
        <v>0</v>
      </c>
      <c r="H31" s="266">
        <v>0</v>
      </c>
      <c r="I31" s="266">
        <v>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s="216" customFormat="1" ht="10.5" customHeight="1">
      <c r="A32" s="215" t="s">
        <v>152</v>
      </c>
      <c r="B32" s="266">
        <v>0</v>
      </c>
      <c r="C32" s="266">
        <v>0</v>
      </c>
      <c r="D32" s="266">
        <v>0</v>
      </c>
      <c r="E32" s="266">
        <v>0</v>
      </c>
      <c r="F32" s="266"/>
      <c r="G32" s="266">
        <v>0</v>
      </c>
      <c r="H32" s="266">
        <v>0</v>
      </c>
      <c r="I32" s="266">
        <v>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90" s="216" customFormat="1" ht="10.5" customHeight="1">
      <c r="A33" s="215" t="s">
        <v>148</v>
      </c>
      <c r="B33" s="266">
        <v>0</v>
      </c>
      <c r="C33" s="266">
        <v>0</v>
      </c>
      <c r="D33" s="266">
        <v>0</v>
      </c>
      <c r="E33" s="266">
        <v>0</v>
      </c>
      <c r="F33" s="266"/>
      <c r="G33" s="266">
        <v>0</v>
      </c>
      <c r="H33" s="266">
        <v>4227.8516731518139</v>
      </c>
      <c r="I33" s="266">
        <v>702.5692316200001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90" s="216" customFormat="1" ht="10.5" customHeight="1">
      <c r="A34" s="215" t="s">
        <v>116</v>
      </c>
      <c r="B34" s="266">
        <v>0</v>
      </c>
      <c r="C34" s="266">
        <v>0</v>
      </c>
      <c r="D34" s="266">
        <v>0</v>
      </c>
      <c r="E34" s="266">
        <v>0</v>
      </c>
      <c r="F34" s="266"/>
      <c r="G34" s="266">
        <v>0</v>
      </c>
      <c r="H34" s="266">
        <v>941.82533999999998</v>
      </c>
      <c r="I34" s="266">
        <v>4379.3292010200003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90" s="216" customFormat="1" ht="10.5" customHeight="1">
      <c r="A35" s="215" t="s">
        <v>149</v>
      </c>
      <c r="B35" s="266">
        <v>0</v>
      </c>
      <c r="C35" s="266">
        <v>0</v>
      </c>
      <c r="D35" s="266">
        <v>0</v>
      </c>
      <c r="E35" s="266">
        <v>0</v>
      </c>
      <c r="F35" s="266"/>
      <c r="G35" s="266">
        <v>0</v>
      </c>
      <c r="H35" s="266">
        <v>0</v>
      </c>
      <c r="I35" s="266">
        <v>0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90" s="262" customFormat="1" ht="10.5" customHeight="1">
      <c r="A36" s="215" t="s">
        <v>153</v>
      </c>
      <c r="B36" s="266">
        <v>0</v>
      </c>
      <c r="C36" s="266">
        <v>0</v>
      </c>
      <c r="D36" s="266">
        <v>0</v>
      </c>
      <c r="E36" s="266">
        <v>0</v>
      </c>
      <c r="F36" s="266"/>
      <c r="G36" s="266">
        <v>0</v>
      </c>
      <c r="H36" s="266">
        <v>0</v>
      </c>
      <c r="I36" s="266">
        <v>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90" s="216" customFormat="1" ht="9.75" customHeight="1">
      <c r="A37" s="215" t="s">
        <v>114</v>
      </c>
      <c r="B37" s="266">
        <v>0</v>
      </c>
      <c r="C37" s="266">
        <v>0</v>
      </c>
      <c r="D37" s="266">
        <v>0</v>
      </c>
      <c r="E37" s="266">
        <v>0</v>
      </c>
      <c r="F37" s="266"/>
      <c r="G37" s="266">
        <v>0</v>
      </c>
      <c r="H37" s="266">
        <v>0</v>
      </c>
      <c r="I37" s="266">
        <v>0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90" s="273" customFormat="1" ht="9.75" customHeight="1">
      <c r="A38" s="289" t="s">
        <v>52</v>
      </c>
      <c r="B38" s="277">
        <v>0</v>
      </c>
      <c r="C38" s="277">
        <v>0</v>
      </c>
      <c r="D38" s="277">
        <v>0</v>
      </c>
      <c r="E38" s="277">
        <v>0</v>
      </c>
      <c r="F38" s="290"/>
      <c r="G38" s="277">
        <v>0</v>
      </c>
      <c r="H38" s="290">
        <v>445.46924580000001</v>
      </c>
      <c r="I38" s="290">
        <v>2070.5885090200004</v>
      </c>
      <c r="J38" s="291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291"/>
      <c r="AA38" s="291"/>
      <c r="AB38" s="291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91"/>
      <c r="CB38" s="291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</row>
    <row r="39" spans="1:90" s="292" customFormat="1" ht="10.5" customHeight="1">
      <c r="A39" s="269" t="s">
        <v>154</v>
      </c>
      <c r="B39" s="279">
        <v>114.12299999999995</v>
      </c>
      <c r="C39" s="280">
        <v>746.88400000000001</v>
      </c>
      <c r="D39" s="280">
        <v>234.60278499999998</v>
      </c>
      <c r="E39" s="279">
        <v>1092.817785</v>
      </c>
      <c r="F39" s="281"/>
      <c r="G39" s="280">
        <v>1817.8133728000003</v>
      </c>
      <c r="H39" s="279">
        <v>1544.8073379125367</v>
      </c>
      <c r="I39" s="279">
        <v>688.04504688000077</v>
      </c>
      <c r="J39" s="29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91"/>
      <c r="CB39" s="291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</row>
    <row r="40" spans="1:90" s="273" customFormat="1" ht="10.5" customHeight="1">
      <c r="A40" s="289" t="s">
        <v>39</v>
      </c>
      <c r="B40" s="290">
        <v>99.250999994719976</v>
      </c>
      <c r="C40" s="293">
        <v>746.88400000000001</v>
      </c>
      <c r="D40" s="290">
        <v>0</v>
      </c>
      <c r="E40" s="293">
        <v>846.13499999472003</v>
      </c>
      <c r="F40" s="290"/>
      <c r="G40" s="293">
        <v>1817.8133728000003</v>
      </c>
      <c r="H40" s="290">
        <v>1544.8073379125367</v>
      </c>
      <c r="I40" s="290">
        <v>688.04504688000077</v>
      </c>
      <c r="J40" s="291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291"/>
      <c r="AA40" s="291"/>
      <c r="AB40" s="291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91"/>
      <c r="CB40" s="291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</row>
    <row r="41" spans="1:90" s="216" customFormat="1" ht="10.5" customHeight="1">
      <c r="A41" s="215" t="s">
        <v>155</v>
      </c>
      <c r="B41" s="266">
        <v>76.327999994719974</v>
      </c>
      <c r="C41" s="268">
        <v>12.95</v>
      </c>
      <c r="D41" s="266">
        <v>0</v>
      </c>
      <c r="E41" s="294">
        <v>89.277999994719977</v>
      </c>
      <c r="F41" s="266"/>
      <c r="G41" s="268">
        <v>1817.8133728000003</v>
      </c>
      <c r="H41" s="266">
        <v>221.21165071253574</v>
      </c>
      <c r="I41" s="266">
        <v>0</v>
      </c>
      <c r="J41" s="295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95"/>
      <c r="BN41" s="295"/>
      <c r="BO41" s="295"/>
      <c r="BP41" s="295"/>
      <c r="BQ41" s="295"/>
      <c r="BR41" s="295"/>
      <c r="BS41" s="295"/>
      <c r="BT41" s="295"/>
      <c r="BU41" s="295"/>
      <c r="BV41" s="295"/>
      <c r="BW41" s="295"/>
      <c r="BX41" s="295"/>
      <c r="BY41" s="295"/>
      <c r="BZ41" s="295"/>
      <c r="CA41" s="295"/>
      <c r="CB41" s="295"/>
      <c r="CC41" s="295"/>
      <c r="CD41" s="295"/>
      <c r="CE41" s="295"/>
      <c r="CF41" s="295"/>
      <c r="CG41" s="295"/>
      <c r="CH41" s="295"/>
      <c r="CI41" s="295"/>
      <c r="CJ41" s="295"/>
      <c r="CK41" s="295"/>
      <c r="CL41" s="295"/>
    </row>
    <row r="42" spans="1:90" s="216" customFormat="1" ht="10.5" customHeight="1">
      <c r="A42" s="215" t="s">
        <v>156</v>
      </c>
      <c r="B42" s="266">
        <v>22.923000000000002</v>
      </c>
      <c r="C42" s="266">
        <v>733.93399999999997</v>
      </c>
      <c r="D42" s="266">
        <v>0</v>
      </c>
      <c r="E42" s="266">
        <v>756.85699999999997</v>
      </c>
      <c r="F42" s="266"/>
      <c r="G42" s="266">
        <v>0</v>
      </c>
      <c r="H42" s="266">
        <v>1323.5956872000008</v>
      </c>
      <c r="I42" s="266">
        <v>688.04504688000077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90" s="216" customFormat="1" ht="10.5" customHeight="1">
      <c r="A43" s="215" t="s">
        <v>157</v>
      </c>
      <c r="B43" s="266">
        <v>0</v>
      </c>
      <c r="C43" s="266">
        <v>0</v>
      </c>
      <c r="D43" s="266">
        <v>0</v>
      </c>
      <c r="E43" s="266">
        <v>0</v>
      </c>
      <c r="F43" s="266"/>
      <c r="G43" s="266">
        <v>0</v>
      </c>
      <c r="H43" s="266">
        <v>0</v>
      </c>
      <c r="I43" s="266">
        <v>0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90" s="216" customFormat="1" ht="10.5" customHeight="1">
      <c r="A44" s="215" t="s">
        <v>158</v>
      </c>
      <c r="B44" s="266">
        <v>0</v>
      </c>
      <c r="C44" s="266">
        <v>0</v>
      </c>
      <c r="D44" s="266">
        <v>0</v>
      </c>
      <c r="E44" s="266">
        <v>0</v>
      </c>
      <c r="F44" s="266"/>
      <c r="G44" s="266">
        <v>0</v>
      </c>
      <c r="H44" s="266">
        <v>0</v>
      </c>
      <c r="I44" s="266">
        <v>0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90" s="216" customFormat="1" ht="10.5" customHeight="1">
      <c r="A45" s="215" t="s">
        <v>159</v>
      </c>
      <c r="B45" s="266">
        <v>0</v>
      </c>
      <c r="C45" s="266">
        <v>0</v>
      </c>
      <c r="D45" s="266">
        <v>0</v>
      </c>
      <c r="E45" s="266">
        <v>0</v>
      </c>
      <c r="F45" s="266"/>
      <c r="G45" s="266">
        <v>0</v>
      </c>
      <c r="H45" s="266">
        <v>0</v>
      </c>
      <c r="I45" s="266">
        <v>0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90" s="216" customFormat="1" ht="10.5" customHeight="1">
      <c r="A46" s="296" t="s">
        <v>240</v>
      </c>
      <c r="B46" s="266">
        <v>0</v>
      </c>
      <c r="C46" s="266">
        <v>0</v>
      </c>
      <c r="D46" s="266">
        <v>0</v>
      </c>
      <c r="E46" s="266">
        <v>0</v>
      </c>
      <c r="F46" s="266"/>
      <c r="G46" s="266">
        <v>0</v>
      </c>
      <c r="H46" s="266">
        <v>0</v>
      </c>
      <c r="I46" s="266">
        <v>0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90" s="216" customFormat="1" ht="10.5" customHeight="1">
      <c r="A47" s="296" t="s">
        <v>241</v>
      </c>
      <c r="B47" s="266">
        <v>0</v>
      </c>
      <c r="C47" s="266">
        <v>0</v>
      </c>
      <c r="D47" s="266">
        <v>0</v>
      </c>
      <c r="E47" s="266">
        <v>0</v>
      </c>
      <c r="F47" s="266"/>
      <c r="G47" s="266">
        <v>0</v>
      </c>
      <c r="H47" s="266">
        <v>0</v>
      </c>
      <c r="I47" s="266">
        <v>0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90" s="216" customFormat="1" ht="10.5" customHeight="1">
      <c r="A48" s="296" t="s">
        <v>162</v>
      </c>
      <c r="B48" s="266">
        <v>0</v>
      </c>
      <c r="C48" s="266">
        <v>0</v>
      </c>
      <c r="D48" s="266">
        <v>0</v>
      </c>
      <c r="E48" s="266">
        <v>0</v>
      </c>
      <c r="F48" s="266"/>
      <c r="G48" s="266">
        <v>0</v>
      </c>
      <c r="H48" s="266">
        <v>0</v>
      </c>
      <c r="I48" s="266">
        <v>0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216" customFormat="1" ht="10.5" customHeight="1">
      <c r="A49" s="296" t="s">
        <v>242</v>
      </c>
      <c r="B49" s="266">
        <v>0</v>
      </c>
      <c r="C49" s="266">
        <v>0</v>
      </c>
      <c r="D49" s="266">
        <v>0</v>
      </c>
      <c r="E49" s="266">
        <v>0</v>
      </c>
      <c r="F49" s="266"/>
      <c r="G49" s="266">
        <v>0</v>
      </c>
      <c r="H49" s="266">
        <v>0</v>
      </c>
      <c r="I49" s="266">
        <v>0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s="216" customFormat="1" ht="10.5" customHeight="1">
      <c r="A50" s="296" t="s">
        <v>243</v>
      </c>
      <c r="B50" s="266">
        <v>0</v>
      </c>
      <c r="C50" s="266">
        <v>0</v>
      </c>
      <c r="D50" s="266">
        <v>0</v>
      </c>
      <c r="E50" s="266">
        <v>0</v>
      </c>
      <c r="F50" s="266"/>
      <c r="G50" s="266">
        <v>0</v>
      </c>
      <c r="H50" s="266">
        <v>0</v>
      </c>
      <c r="I50" s="266">
        <v>0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s="216" customFormat="1" ht="10.5" customHeight="1">
      <c r="A51" s="296" t="s">
        <v>244</v>
      </c>
      <c r="B51" s="266">
        <v>0</v>
      </c>
      <c r="C51" s="266">
        <v>0</v>
      </c>
      <c r="D51" s="266">
        <v>0</v>
      </c>
      <c r="E51" s="266">
        <v>0</v>
      </c>
      <c r="F51" s="266"/>
      <c r="G51" s="266">
        <v>0</v>
      </c>
      <c r="H51" s="266">
        <v>0</v>
      </c>
      <c r="I51" s="266">
        <v>0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216" customFormat="1" ht="10.5" customHeight="1">
      <c r="A52" s="215" t="s">
        <v>166</v>
      </c>
      <c r="B52" s="266">
        <v>0</v>
      </c>
      <c r="C52" s="266">
        <v>0</v>
      </c>
      <c r="D52" s="266">
        <v>0</v>
      </c>
      <c r="E52" s="266">
        <v>0</v>
      </c>
      <c r="F52" s="266"/>
      <c r="G52" s="266">
        <v>0</v>
      </c>
      <c r="H52" s="266">
        <v>0</v>
      </c>
      <c r="I52" s="266">
        <v>0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216" customFormat="1" ht="10.5" customHeight="1">
      <c r="A53" s="215" t="s">
        <v>167</v>
      </c>
      <c r="B53" s="266">
        <v>0</v>
      </c>
      <c r="C53" s="266">
        <v>0</v>
      </c>
      <c r="D53" s="266">
        <v>0</v>
      </c>
      <c r="E53" s="266">
        <v>0</v>
      </c>
      <c r="F53" s="266"/>
      <c r="G53" s="266">
        <v>0</v>
      </c>
      <c r="H53" s="266">
        <v>0</v>
      </c>
      <c r="I53" s="266">
        <v>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s="262" customFormat="1" ht="10.5" customHeight="1">
      <c r="A54" s="259" t="s">
        <v>245</v>
      </c>
      <c r="B54" s="266">
        <v>0</v>
      </c>
      <c r="C54" s="266">
        <v>0</v>
      </c>
      <c r="D54" s="266">
        <v>0</v>
      </c>
      <c r="E54" s="266">
        <v>0</v>
      </c>
      <c r="F54" s="266"/>
      <c r="G54" s="266">
        <v>0</v>
      </c>
      <c r="H54" s="266">
        <v>0</v>
      </c>
      <c r="I54" s="266">
        <v>0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262" customFormat="1" ht="10.5" customHeight="1">
      <c r="A55" s="259" t="s">
        <v>114</v>
      </c>
      <c r="B55" s="260">
        <v>14.872000005279974</v>
      </c>
      <c r="C55" s="266">
        <v>0</v>
      </c>
      <c r="D55" s="297">
        <v>234.60278499999998</v>
      </c>
      <c r="E55" s="297">
        <v>249.47478500527995</v>
      </c>
      <c r="F55" s="260"/>
      <c r="G55" s="266">
        <v>0</v>
      </c>
      <c r="H55" s="266">
        <v>0</v>
      </c>
      <c r="I55" s="266">
        <v>0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s="216" customFormat="1" ht="10.5" customHeight="1">
      <c r="A56" s="215" t="s">
        <v>38</v>
      </c>
      <c r="B56" s="266">
        <v>14.872000005279974</v>
      </c>
      <c r="C56" s="266">
        <v>0</v>
      </c>
      <c r="D56" s="268">
        <v>234.60278499999998</v>
      </c>
      <c r="E56" s="268">
        <v>249.47478500527995</v>
      </c>
      <c r="F56" s="266"/>
      <c r="G56" s="266">
        <v>0</v>
      </c>
      <c r="H56" s="266">
        <v>0</v>
      </c>
      <c r="I56" s="266">
        <v>0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s="216" customFormat="1" ht="10.5" customHeight="1">
      <c r="A57" s="215" t="s">
        <v>172</v>
      </c>
      <c r="B57" s="266">
        <v>0</v>
      </c>
      <c r="C57" s="266">
        <v>0</v>
      </c>
      <c r="D57" s="266">
        <v>0</v>
      </c>
      <c r="E57" s="266">
        <v>0</v>
      </c>
      <c r="F57" s="266"/>
      <c r="G57" s="266">
        <v>0</v>
      </c>
      <c r="H57" s="266">
        <v>0</v>
      </c>
      <c r="I57" s="266">
        <v>0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s="216" customFormat="1" ht="11.25" customHeight="1">
      <c r="A58" s="215" t="s">
        <v>47</v>
      </c>
      <c r="B58" s="266">
        <v>0</v>
      </c>
      <c r="C58" s="266">
        <v>0</v>
      </c>
      <c r="D58" s="266">
        <v>0</v>
      </c>
      <c r="E58" s="266">
        <v>0</v>
      </c>
      <c r="F58" s="266"/>
      <c r="G58" s="266">
        <v>0</v>
      </c>
      <c r="H58" s="266">
        <v>0</v>
      </c>
      <c r="I58" s="266">
        <v>0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s="216" customFormat="1" ht="10.5" customHeight="1">
      <c r="A59" s="215" t="s">
        <v>173</v>
      </c>
      <c r="B59" s="266">
        <v>0</v>
      </c>
      <c r="C59" s="266">
        <v>0</v>
      </c>
      <c r="D59" s="266">
        <v>0</v>
      </c>
      <c r="E59" s="266">
        <v>0</v>
      </c>
      <c r="F59" s="266"/>
      <c r="G59" s="266">
        <v>0</v>
      </c>
      <c r="H59" s="266">
        <v>0</v>
      </c>
      <c r="I59" s="266">
        <v>0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s="216" customFormat="1" ht="10.5" customHeight="1">
      <c r="A60" s="215" t="s">
        <v>174</v>
      </c>
      <c r="B60" s="266">
        <v>0</v>
      </c>
      <c r="C60" s="266">
        <v>0</v>
      </c>
      <c r="D60" s="266">
        <v>0</v>
      </c>
      <c r="E60" s="266">
        <v>0</v>
      </c>
      <c r="F60" s="266"/>
      <c r="G60" s="266">
        <v>0</v>
      </c>
      <c r="H60" s="266">
        <v>0</v>
      </c>
      <c r="I60" s="266">
        <v>0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s="273" customFormat="1" ht="10.5" customHeight="1" thickBot="1">
      <c r="A61" s="298" t="s">
        <v>175</v>
      </c>
      <c r="B61" s="299">
        <v>0</v>
      </c>
      <c r="C61" s="299">
        <v>0</v>
      </c>
      <c r="D61" s="299">
        <v>0</v>
      </c>
      <c r="E61" s="299">
        <v>0</v>
      </c>
      <c r="F61" s="300"/>
      <c r="G61" s="299">
        <v>0</v>
      </c>
      <c r="H61" s="299">
        <v>0</v>
      </c>
      <c r="I61" s="299">
        <v>0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s="273" customFormat="1" ht="3" customHeight="1" thickTop="1">
      <c r="A62" s="301"/>
      <c r="B62" s="300"/>
      <c r="C62" s="300"/>
      <c r="D62" s="300"/>
      <c r="E62" s="300"/>
      <c r="F62" s="300"/>
      <c r="G62" s="300"/>
      <c r="H62" s="300"/>
      <c r="I62" s="300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s="232" customFormat="1" ht="10.5" customHeight="1">
      <c r="A63" s="302" t="s">
        <v>392</v>
      </c>
      <c r="B63" s="216"/>
      <c r="C63" s="303"/>
      <c r="D63" s="302" t="s">
        <v>393</v>
      </c>
      <c r="E63" s="216"/>
      <c r="F63" s="216"/>
      <c r="G63" s="216"/>
      <c r="H63" s="216"/>
      <c r="I63" s="216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s="232" customFormat="1" ht="10.5" customHeight="1">
      <c r="A64" s="302" t="s">
        <v>394</v>
      </c>
      <c r="B64" s="216"/>
      <c r="C64" s="216"/>
      <c r="D64" s="302" t="s">
        <v>395</v>
      </c>
      <c r="E64" s="216"/>
      <c r="F64" s="216"/>
      <c r="G64" s="216"/>
      <c r="H64" s="216"/>
      <c r="I64" s="216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s="232" customFormat="1" ht="10.5" customHeight="1">
      <c r="A65" s="302" t="s">
        <v>396</v>
      </c>
      <c r="B65" s="216"/>
      <c r="C65" s="216"/>
      <c r="D65" s="302" t="s">
        <v>397</v>
      </c>
      <c r="E65" s="216"/>
      <c r="F65" s="216"/>
      <c r="G65" s="216"/>
      <c r="H65" s="216"/>
      <c r="I65" s="216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s="232" customFormat="1" ht="10.5" customHeight="1">
      <c r="A66" s="302" t="s">
        <v>398</v>
      </c>
      <c r="B66" s="216"/>
      <c r="C66" s="216"/>
      <c r="D66" s="216"/>
      <c r="E66" s="216"/>
      <c r="F66" s="216"/>
      <c r="G66" s="216"/>
      <c r="H66" s="216"/>
      <c r="I66" s="21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s="216" customFormat="1"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s="216" customFormat="1"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s="216" customFormat="1"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s="216" customFormat="1"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s="216" customFormat="1"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s="216" customFormat="1"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s="216" customFormat="1"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s="216" customFormat="1"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s="216" customFormat="1"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s="216" customFormat="1"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s="216" customFormat="1"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s="216" customFormat="1"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s="216" customFormat="1"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s="216" customFormat="1"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1:25" s="216" customFormat="1"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1:25" s="216" customFormat="1"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1:25" s="216" customFormat="1"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1:25" s="216" customFormat="1"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1:25" s="216" customFormat="1"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1:25" s="216" customFormat="1"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1:25" s="216" customFormat="1"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1:25" s="216" customFormat="1"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1:25" s="216" customFormat="1"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1:25" s="216" customFormat="1"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1:25" s="216" customFormat="1"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1:25" s="216" customFormat="1"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1:25" s="216" customFormat="1"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1:25" s="216" customFormat="1" ht="12"/>
    <row r="95" spans="11:25" s="216" customFormat="1" ht="12"/>
    <row r="96" spans="11:25" s="216" customFormat="1" ht="12"/>
    <row r="97" s="216" customFormat="1" ht="12"/>
    <row r="98" s="216" customFormat="1" ht="12"/>
    <row r="99" s="216" customFormat="1" ht="12"/>
    <row r="100" s="216" customFormat="1" ht="12"/>
    <row r="101" s="216" customFormat="1" ht="12"/>
    <row r="102" s="216" customFormat="1" ht="12"/>
    <row r="103" s="216" customFormat="1" ht="12"/>
    <row r="104" s="216" customFormat="1" ht="12"/>
    <row r="105" s="216" customFormat="1" ht="12"/>
    <row r="106" s="216" customFormat="1" ht="12"/>
    <row r="107" s="216" customFormat="1" ht="12"/>
    <row r="108" s="216" customFormat="1" ht="12"/>
    <row r="109" s="216" customFormat="1" ht="12"/>
    <row r="110" s="216" customFormat="1" ht="12"/>
    <row r="111" s="216" customFormat="1" ht="12"/>
    <row r="112" s="216" customFormat="1" ht="12"/>
    <row r="113" s="216" customFormat="1" ht="12"/>
    <row r="114" s="216" customFormat="1" ht="12"/>
    <row r="115" s="216" customFormat="1" ht="12"/>
    <row r="116" s="216" customFormat="1" ht="12"/>
    <row r="117" s="216" customFormat="1" ht="12"/>
    <row r="118" s="216" customFormat="1" ht="12"/>
    <row r="119" s="216" customFormat="1" ht="12"/>
    <row r="120" s="216" customFormat="1" ht="12"/>
    <row r="121" s="216" customFormat="1" ht="12"/>
    <row r="122" s="216" customFormat="1" ht="12"/>
    <row r="123" s="216" customFormat="1" ht="12"/>
    <row r="124" s="216" customFormat="1" ht="12"/>
    <row r="125" s="216" customFormat="1" ht="12"/>
    <row r="126" s="216" customFormat="1" ht="12"/>
    <row r="127" s="216" customFormat="1" ht="12"/>
    <row r="128" s="216" customFormat="1" ht="12"/>
    <row r="129" s="216" customFormat="1" ht="12"/>
    <row r="130" s="216" customFormat="1" ht="12"/>
    <row r="131" s="216" customFormat="1" ht="12"/>
    <row r="132" s="216" customFormat="1" ht="12"/>
  </sheetData>
  <mergeCells count="1">
    <mergeCell ref="A3:E3"/>
  </mergeCells>
  <pageMargins left="0.6692913385826772" right="0.6692913385826772" top="0.51181102362204722" bottom="0.51181102362204722" header="0.27559055118110237" footer="0.27559055118110237"/>
  <pageSetup paperSize="9" orientation="portrait"/>
  <headerFooter alignWithMargins="0">
    <oddFooter>&amp;C54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 enableFormatConditionsCalculation="0">
    <pageSetUpPr fitToPage="1"/>
  </sheetPr>
  <dimension ref="A1:Q119"/>
  <sheetViews>
    <sheetView workbookViewId="0"/>
  </sheetViews>
  <sheetFormatPr baseColWidth="10" defaultColWidth="8.83203125" defaultRowHeight="13" x14ac:dyDescent="0"/>
  <cols>
    <col min="1" max="1" width="27.1640625" style="313" customWidth="1"/>
    <col min="2" max="5" width="10.5" style="312" customWidth="1"/>
    <col min="6" max="6" width="10.5" style="313" customWidth="1"/>
    <col min="7" max="9" width="10.5" style="314" customWidth="1"/>
    <col min="10" max="10" width="10.5" style="313" customWidth="1"/>
    <col min="11" max="12" width="12.6640625" style="313" customWidth="1"/>
    <col min="13" max="256" width="8.83203125" style="313"/>
    <col min="257" max="266" width="10.5" style="313" customWidth="1"/>
    <col min="267" max="268" width="12.6640625" style="313" customWidth="1"/>
    <col min="269" max="512" width="8.83203125" style="313"/>
    <col min="513" max="522" width="10.5" style="313" customWidth="1"/>
    <col min="523" max="524" width="12.6640625" style="313" customWidth="1"/>
    <col min="525" max="768" width="8.83203125" style="313"/>
    <col min="769" max="778" width="10.5" style="313" customWidth="1"/>
    <col min="779" max="780" width="12.6640625" style="313" customWidth="1"/>
    <col min="781" max="1024" width="8.83203125" style="313"/>
    <col min="1025" max="1034" width="10.5" style="313" customWidth="1"/>
    <col min="1035" max="1036" width="12.6640625" style="313" customWidth="1"/>
    <col min="1037" max="1280" width="8.83203125" style="313"/>
    <col min="1281" max="1290" width="10.5" style="313" customWidth="1"/>
    <col min="1291" max="1292" width="12.6640625" style="313" customWidth="1"/>
    <col min="1293" max="1536" width="8.83203125" style="313"/>
    <col min="1537" max="1546" width="10.5" style="313" customWidth="1"/>
    <col min="1547" max="1548" width="12.6640625" style="313" customWidth="1"/>
    <col min="1549" max="1792" width="8.83203125" style="313"/>
    <col min="1793" max="1802" width="10.5" style="313" customWidth="1"/>
    <col min="1803" max="1804" width="12.6640625" style="313" customWidth="1"/>
    <col min="1805" max="2048" width="8.83203125" style="313"/>
    <col min="2049" max="2058" width="10.5" style="313" customWidth="1"/>
    <col min="2059" max="2060" width="12.6640625" style="313" customWidth="1"/>
    <col min="2061" max="2304" width="8.83203125" style="313"/>
    <col min="2305" max="2314" width="10.5" style="313" customWidth="1"/>
    <col min="2315" max="2316" width="12.6640625" style="313" customWidth="1"/>
    <col min="2317" max="2560" width="8.83203125" style="313"/>
    <col min="2561" max="2570" width="10.5" style="313" customWidth="1"/>
    <col min="2571" max="2572" width="12.6640625" style="313" customWidth="1"/>
    <col min="2573" max="2816" width="8.83203125" style="313"/>
    <col min="2817" max="2826" width="10.5" style="313" customWidth="1"/>
    <col min="2827" max="2828" width="12.6640625" style="313" customWidth="1"/>
    <col min="2829" max="3072" width="8.83203125" style="313"/>
    <col min="3073" max="3082" width="10.5" style="313" customWidth="1"/>
    <col min="3083" max="3084" width="12.6640625" style="313" customWidth="1"/>
    <col min="3085" max="3328" width="8.83203125" style="313"/>
    <col min="3329" max="3338" width="10.5" style="313" customWidth="1"/>
    <col min="3339" max="3340" width="12.6640625" style="313" customWidth="1"/>
    <col min="3341" max="3584" width="8.83203125" style="313"/>
    <col min="3585" max="3594" width="10.5" style="313" customWidth="1"/>
    <col min="3595" max="3596" width="12.6640625" style="313" customWidth="1"/>
    <col min="3597" max="3840" width="8.83203125" style="313"/>
    <col min="3841" max="3850" width="10.5" style="313" customWidth="1"/>
    <col min="3851" max="3852" width="12.6640625" style="313" customWidth="1"/>
    <col min="3853" max="4096" width="8.83203125" style="313"/>
    <col min="4097" max="4106" width="10.5" style="313" customWidth="1"/>
    <col min="4107" max="4108" width="12.6640625" style="313" customWidth="1"/>
    <col min="4109" max="4352" width="8.83203125" style="313"/>
    <col min="4353" max="4362" width="10.5" style="313" customWidth="1"/>
    <col min="4363" max="4364" width="12.6640625" style="313" customWidth="1"/>
    <col min="4365" max="4608" width="8.83203125" style="313"/>
    <col min="4609" max="4618" width="10.5" style="313" customWidth="1"/>
    <col min="4619" max="4620" width="12.6640625" style="313" customWidth="1"/>
    <col min="4621" max="4864" width="8.83203125" style="313"/>
    <col min="4865" max="4874" width="10.5" style="313" customWidth="1"/>
    <col min="4875" max="4876" width="12.6640625" style="313" customWidth="1"/>
    <col min="4877" max="5120" width="8.83203125" style="313"/>
    <col min="5121" max="5130" width="10.5" style="313" customWidth="1"/>
    <col min="5131" max="5132" width="12.6640625" style="313" customWidth="1"/>
    <col min="5133" max="5376" width="8.83203125" style="313"/>
    <col min="5377" max="5386" width="10.5" style="313" customWidth="1"/>
    <col min="5387" max="5388" width="12.6640625" style="313" customWidth="1"/>
    <col min="5389" max="5632" width="8.83203125" style="313"/>
    <col min="5633" max="5642" width="10.5" style="313" customWidth="1"/>
    <col min="5643" max="5644" width="12.6640625" style="313" customWidth="1"/>
    <col min="5645" max="5888" width="8.83203125" style="313"/>
    <col min="5889" max="5898" width="10.5" style="313" customWidth="1"/>
    <col min="5899" max="5900" width="12.6640625" style="313" customWidth="1"/>
    <col min="5901" max="6144" width="8.83203125" style="313"/>
    <col min="6145" max="6154" width="10.5" style="313" customWidth="1"/>
    <col min="6155" max="6156" width="12.6640625" style="313" customWidth="1"/>
    <col min="6157" max="6400" width="8.83203125" style="313"/>
    <col min="6401" max="6410" width="10.5" style="313" customWidth="1"/>
    <col min="6411" max="6412" width="12.6640625" style="313" customWidth="1"/>
    <col min="6413" max="6656" width="8.83203125" style="313"/>
    <col min="6657" max="6666" width="10.5" style="313" customWidth="1"/>
    <col min="6667" max="6668" width="12.6640625" style="313" customWidth="1"/>
    <col min="6669" max="6912" width="8.83203125" style="313"/>
    <col min="6913" max="6922" width="10.5" style="313" customWidth="1"/>
    <col min="6923" max="6924" width="12.6640625" style="313" customWidth="1"/>
    <col min="6925" max="7168" width="8.83203125" style="313"/>
    <col min="7169" max="7178" width="10.5" style="313" customWidth="1"/>
    <col min="7179" max="7180" width="12.6640625" style="313" customWidth="1"/>
    <col min="7181" max="7424" width="8.83203125" style="313"/>
    <col min="7425" max="7434" width="10.5" style="313" customWidth="1"/>
    <col min="7435" max="7436" width="12.6640625" style="313" customWidth="1"/>
    <col min="7437" max="7680" width="8.83203125" style="313"/>
    <col min="7681" max="7690" width="10.5" style="313" customWidth="1"/>
    <col min="7691" max="7692" width="12.6640625" style="313" customWidth="1"/>
    <col min="7693" max="7936" width="8.83203125" style="313"/>
    <col min="7937" max="7946" width="10.5" style="313" customWidth="1"/>
    <col min="7947" max="7948" width="12.6640625" style="313" customWidth="1"/>
    <col min="7949" max="8192" width="8.83203125" style="313"/>
    <col min="8193" max="8202" width="10.5" style="313" customWidth="1"/>
    <col min="8203" max="8204" width="12.6640625" style="313" customWidth="1"/>
    <col min="8205" max="8448" width="8.83203125" style="313"/>
    <col min="8449" max="8458" width="10.5" style="313" customWidth="1"/>
    <col min="8459" max="8460" width="12.6640625" style="313" customWidth="1"/>
    <col min="8461" max="8704" width="8.83203125" style="313"/>
    <col min="8705" max="8714" width="10.5" style="313" customWidth="1"/>
    <col min="8715" max="8716" width="12.6640625" style="313" customWidth="1"/>
    <col min="8717" max="8960" width="8.83203125" style="313"/>
    <col min="8961" max="8970" width="10.5" style="313" customWidth="1"/>
    <col min="8971" max="8972" width="12.6640625" style="313" customWidth="1"/>
    <col min="8973" max="9216" width="8.83203125" style="313"/>
    <col min="9217" max="9226" width="10.5" style="313" customWidth="1"/>
    <col min="9227" max="9228" width="12.6640625" style="313" customWidth="1"/>
    <col min="9229" max="9472" width="8.83203125" style="313"/>
    <col min="9473" max="9482" width="10.5" style="313" customWidth="1"/>
    <col min="9483" max="9484" width="12.6640625" style="313" customWidth="1"/>
    <col min="9485" max="9728" width="8.83203125" style="313"/>
    <col min="9729" max="9738" width="10.5" style="313" customWidth="1"/>
    <col min="9739" max="9740" width="12.6640625" style="313" customWidth="1"/>
    <col min="9741" max="9984" width="8.83203125" style="313"/>
    <col min="9985" max="9994" width="10.5" style="313" customWidth="1"/>
    <col min="9995" max="9996" width="12.6640625" style="313" customWidth="1"/>
    <col min="9997" max="10240" width="8.83203125" style="313"/>
    <col min="10241" max="10250" width="10.5" style="313" customWidth="1"/>
    <col min="10251" max="10252" width="12.6640625" style="313" customWidth="1"/>
    <col min="10253" max="10496" width="8.83203125" style="313"/>
    <col min="10497" max="10506" width="10.5" style="313" customWidth="1"/>
    <col min="10507" max="10508" width="12.6640625" style="313" customWidth="1"/>
    <col min="10509" max="10752" width="8.83203125" style="313"/>
    <col min="10753" max="10762" width="10.5" style="313" customWidth="1"/>
    <col min="10763" max="10764" width="12.6640625" style="313" customWidth="1"/>
    <col min="10765" max="11008" width="8.83203125" style="313"/>
    <col min="11009" max="11018" width="10.5" style="313" customWidth="1"/>
    <col min="11019" max="11020" width="12.6640625" style="313" customWidth="1"/>
    <col min="11021" max="11264" width="8.83203125" style="313"/>
    <col min="11265" max="11274" width="10.5" style="313" customWidth="1"/>
    <col min="11275" max="11276" width="12.6640625" style="313" customWidth="1"/>
    <col min="11277" max="11520" width="8.83203125" style="313"/>
    <col min="11521" max="11530" width="10.5" style="313" customWidth="1"/>
    <col min="11531" max="11532" width="12.6640625" style="313" customWidth="1"/>
    <col min="11533" max="11776" width="8.83203125" style="313"/>
    <col min="11777" max="11786" width="10.5" style="313" customWidth="1"/>
    <col min="11787" max="11788" width="12.6640625" style="313" customWidth="1"/>
    <col min="11789" max="12032" width="8.83203125" style="313"/>
    <col min="12033" max="12042" width="10.5" style="313" customWidth="1"/>
    <col min="12043" max="12044" width="12.6640625" style="313" customWidth="1"/>
    <col min="12045" max="12288" width="8.83203125" style="313"/>
    <col min="12289" max="12298" width="10.5" style="313" customWidth="1"/>
    <col min="12299" max="12300" width="12.6640625" style="313" customWidth="1"/>
    <col min="12301" max="12544" width="8.83203125" style="313"/>
    <col min="12545" max="12554" width="10.5" style="313" customWidth="1"/>
    <col min="12555" max="12556" width="12.6640625" style="313" customWidth="1"/>
    <col min="12557" max="12800" width="8.83203125" style="313"/>
    <col min="12801" max="12810" width="10.5" style="313" customWidth="1"/>
    <col min="12811" max="12812" width="12.6640625" style="313" customWidth="1"/>
    <col min="12813" max="13056" width="8.83203125" style="313"/>
    <col min="13057" max="13066" width="10.5" style="313" customWidth="1"/>
    <col min="13067" max="13068" width="12.6640625" style="313" customWidth="1"/>
    <col min="13069" max="13312" width="8.83203125" style="313"/>
    <col min="13313" max="13322" width="10.5" style="313" customWidth="1"/>
    <col min="13323" max="13324" width="12.6640625" style="313" customWidth="1"/>
    <col min="13325" max="13568" width="8.83203125" style="313"/>
    <col min="13569" max="13578" width="10.5" style="313" customWidth="1"/>
    <col min="13579" max="13580" width="12.6640625" style="313" customWidth="1"/>
    <col min="13581" max="13824" width="8.83203125" style="313"/>
    <col min="13825" max="13834" width="10.5" style="313" customWidth="1"/>
    <col min="13835" max="13836" width="12.6640625" style="313" customWidth="1"/>
    <col min="13837" max="14080" width="8.83203125" style="313"/>
    <col min="14081" max="14090" width="10.5" style="313" customWidth="1"/>
    <col min="14091" max="14092" width="12.6640625" style="313" customWidth="1"/>
    <col min="14093" max="14336" width="8.83203125" style="313"/>
    <col min="14337" max="14346" width="10.5" style="313" customWidth="1"/>
    <col min="14347" max="14348" width="12.6640625" style="313" customWidth="1"/>
    <col min="14349" max="14592" width="8.83203125" style="313"/>
    <col min="14593" max="14602" width="10.5" style="313" customWidth="1"/>
    <col min="14603" max="14604" width="12.6640625" style="313" customWidth="1"/>
    <col min="14605" max="14848" width="8.83203125" style="313"/>
    <col min="14849" max="14858" width="10.5" style="313" customWidth="1"/>
    <col min="14859" max="14860" width="12.6640625" style="313" customWidth="1"/>
    <col min="14861" max="15104" width="8.83203125" style="313"/>
    <col min="15105" max="15114" width="10.5" style="313" customWidth="1"/>
    <col min="15115" max="15116" width="12.6640625" style="313" customWidth="1"/>
    <col min="15117" max="15360" width="8.83203125" style="313"/>
    <col min="15361" max="15370" width="10.5" style="313" customWidth="1"/>
    <col min="15371" max="15372" width="12.6640625" style="313" customWidth="1"/>
    <col min="15373" max="15616" width="8.83203125" style="313"/>
    <col min="15617" max="15626" width="10.5" style="313" customWidth="1"/>
    <col min="15627" max="15628" width="12.6640625" style="313" customWidth="1"/>
    <col min="15629" max="15872" width="8.83203125" style="313"/>
    <col min="15873" max="15882" width="10.5" style="313" customWidth="1"/>
    <col min="15883" max="15884" width="12.6640625" style="313" customWidth="1"/>
    <col min="15885" max="16128" width="8.83203125" style="313"/>
    <col min="16129" max="16138" width="10.5" style="313" customWidth="1"/>
    <col min="16139" max="16140" width="12.6640625" style="313" customWidth="1"/>
    <col min="16141" max="16384" width="8.83203125" style="313"/>
  </cols>
  <sheetData>
    <row r="1" spans="1:17" s="310" customFormat="1" ht="26">
      <c r="A1" s="304" t="s">
        <v>432</v>
      </c>
      <c r="B1" s="305"/>
      <c r="C1" s="305"/>
      <c r="D1" s="305"/>
      <c r="E1" s="305"/>
      <c r="F1" s="306"/>
      <c r="G1" s="306"/>
      <c r="H1" s="307"/>
      <c r="I1" s="308"/>
      <c r="J1" s="309"/>
      <c r="K1" s="309"/>
      <c r="L1" s="309"/>
    </row>
    <row r="2" spans="1:17" ht="18" customHeight="1">
      <c r="A2" s="311" t="s">
        <v>5</v>
      </c>
      <c r="H2" s="315"/>
      <c r="I2" s="308"/>
      <c r="J2" s="316"/>
      <c r="K2" s="316"/>
      <c r="L2" s="316"/>
    </row>
    <row r="3" spans="1:17" ht="12.75" customHeight="1" thickBot="1">
      <c r="A3" s="317"/>
      <c r="B3" s="317"/>
      <c r="C3" s="317"/>
      <c r="D3" s="317"/>
      <c r="E3" s="317"/>
      <c r="I3" s="318"/>
      <c r="K3" s="318"/>
      <c r="L3" s="318" t="s">
        <v>373</v>
      </c>
    </row>
    <row r="4" spans="1:17" ht="14" thickTop="1">
      <c r="A4" s="319"/>
      <c r="B4" s="320">
        <v>1998</v>
      </c>
      <c r="C4" s="320">
        <v>1999</v>
      </c>
      <c r="D4" s="320">
        <v>2000</v>
      </c>
      <c r="E4" s="320">
        <v>2001</v>
      </c>
      <c r="F4" s="320">
        <v>2002</v>
      </c>
      <c r="G4" s="321">
        <v>2003</v>
      </c>
      <c r="H4" s="321">
        <v>2004</v>
      </c>
      <c r="I4" s="321">
        <v>2005</v>
      </c>
      <c r="J4" s="321">
        <v>2006</v>
      </c>
      <c r="K4" s="322">
        <v>2007</v>
      </c>
      <c r="L4" s="322">
        <v>2008</v>
      </c>
    </row>
    <row r="5" spans="1:17" ht="11.25" customHeight="1">
      <c r="A5" s="323" t="s">
        <v>433</v>
      </c>
      <c r="B5" s="324"/>
      <c r="C5" s="324"/>
      <c r="D5" s="324"/>
      <c r="E5" s="324"/>
      <c r="F5" s="324"/>
      <c r="G5" s="325"/>
      <c r="H5" s="325"/>
      <c r="I5" s="325"/>
      <c r="J5" s="325"/>
      <c r="K5" s="326"/>
      <c r="L5" s="326"/>
    </row>
    <row r="6" spans="1:17" ht="10.5" customHeight="1">
      <c r="A6" s="323" t="s">
        <v>66</v>
      </c>
      <c r="B6" s="324"/>
      <c r="C6" s="324"/>
      <c r="D6" s="324"/>
      <c r="E6" s="324"/>
      <c r="F6" s="324"/>
      <c r="G6" s="325"/>
      <c r="H6" s="325"/>
      <c r="I6" s="325"/>
      <c r="J6" s="325"/>
      <c r="K6" s="327"/>
      <c r="L6" s="327"/>
    </row>
    <row r="7" spans="1:17" ht="10.5" customHeight="1">
      <c r="A7" s="328" t="s">
        <v>230</v>
      </c>
      <c r="B7" s="329">
        <v>361078</v>
      </c>
      <c r="C7" s="329">
        <v>365250</v>
      </c>
      <c r="D7" s="329">
        <v>374374</v>
      </c>
      <c r="E7" s="329">
        <v>382356</v>
      </c>
      <c r="F7" s="329">
        <v>384594</v>
      </c>
      <c r="G7" s="329">
        <v>395475</v>
      </c>
      <c r="H7" s="330">
        <v>391218.6877095456</v>
      </c>
      <c r="I7" s="330">
        <v>395382.84676819755</v>
      </c>
      <c r="J7" s="331">
        <v>393439.74485443806</v>
      </c>
      <c r="K7" s="332">
        <v>393184.3387592379</v>
      </c>
      <c r="L7" s="333">
        <v>385560.22494830529</v>
      </c>
      <c r="N7" s="333"/>
      <c r="O7" s="332"/>
      <c r="P7" s="332"/>
      <c r="Q7" s="333"/>
    </row>
    <row r="8" spans="1:17" ht="10.5" customHeight="1">
      <c r="A8" s="328" t="s">
        <v>434</v>
      </c>
      <c r="B8" s="329">
        <v>1624</v>
      </c>
      <c r="C8" s="329">
        <v>2902</v>
      </c>
      <c r="D8" s="329">
        <v>2694</v>
      </c>
      <c r="E8" s="329">
        <v>2422</v>
      </c>
      <c r="F8" s="329">
        <v>2652</v>
      </c>
      <c r="G8" s="329">
        <v>2734</v>
      </c>
      <c r="H8" s="330">
        <v>2648.5490306581578</v>
      </c>
      <c r="I8" s="330">
        <v>2929.7584574999996</v>
      </c>
      <c r="J8" s="330">
        <v>3852.6022349999998</v>
      </c>
      <c r="K8" s="333">
        <v>3859.226181</v>
      </c>
      <c r="L8" s="333">
        <v>4088.9413800000007</v>
      </c>
      <c r="N8" s="333"/>
      <c r="O8" s="333"/>
      <c r="P8" s="333"/>
      <c r="Q8" s="333"/>
    </row>
    <row r="9" spans="1:17" ht="10.5" customHeight="1">
      <c r="A9" s="328" t="s">
        <v>4</v>
      </c>
      <c r="B9" s="329">
        <v>12599</v>
      </c>
      <c r="C9" s="329">
        <v>14507</v>
      </c>
      <c r="D9" s="329">
        <v>14308</v>
      </c>
      <c r="E9" s="329">
        <v>10663</v>
      </c>
      <c r="F9" s="329">
        <v>9182</v>
      </c>
      <c r="G9" s="329">
        <v>5119</v>
      </c>
      <c r="H9" s="330">
        <v>9783.8487368421065</v>
      </c>
      <c r="I9" s="330">
        <v>11160.064999999999</v>
      </c>
      <c r="J9" s="330">
        <v>10281.69605</v>
      </c>
      <c r="K9" s="333">
        <v>8612.8860000000022</v>
      </c>
      <c r="L9" s="333">
        <v>12293.68098323957</v>
      </c>
      <c r="N9" s="333"/>
      <c r="O9" s="333"/>
      <c r="P9" s="333"/>
      <c r="Q9" s="333"/>
    </row>
    <row r="10" spans="1:17" ht="10.5" customHeight="1">
      <c r="A10" s="328" t="s">
        <v>136</v>
      </c>
      <c r="B10" s="329">
        <v>-131</v>
      </c>
      <c r="C10" s="329">
        <v>-263</v>
      </c>
      <c r="D10" s="329">
        <v>-134</v>
      </c>
      <c r="E10" s="329">
        <v>-264</v>
      </c>
      <c r="F10" s="329">
        <v>-768</v>
      </c>
      <c r="G10" s="329">
        <v>-2959</v>
      </c>
      <c r="H10" s="330">
        <v>-2294</v>
      </c>
      <c r="I10" s="330">
        <v>-2839.2</v>
      </c>
      <c r="J10" s="330">
        <v>-2764.7199000000001</v>
      </c>
      <c r="K10" s="333">
        <v>-3398.3617500000014</v>
      </c>
      <c r="L10" s="333">
        <v>-1271.5793242227455</v>
      </c>
      <c r="N10" s="333"/>
      <c r="O10" s="333"/>
      <c r="P10" s="333"/>
      <c r="Q10" s="333"/>
    </row>
    <row r="11" spans="1:17" ht="10.5" customHeight="1">
      <c r="A11" s="328" t="s">
        <v>137</v>
      </c>
      <c r="B11" s="329">
        <v>0</v>
      </c>
      <c r="C11" s="329">
        <v>0</v>
      </c>
      <c r="D11" s="329" t="s">
        <v>435</v>
      </c>
      <c r="E11" s="329" t="s">
        <v>435</v>
      </c>
      <c r="F11" s="329" t="s">
        <v>435</v>
      </c>
      <c r="G11" s="329">
        <v>0</v>
      </c>
      <c r="H11" s="330">
        <v>0</v>
      </c>
      <c r="I11" s="330">
        <v>0</v>
      </c>
      <c r="J11" s="330">
        <v>0</v>
      </c>
      <c r="K11" s="333">
        <v>0</v>
      </c>
      <c r="L11" s="333">
        <v>0</v>
      </c>
      <c r="N11" s="333"/>
      <c r="O11" s="333"/>
      <c r="P11" s="333"/>
      <c r="Q11" s="333"/>
    </row>
    <row r="12" spans="1:17" ht="10.5" customHeight="1">
      <c r="A12" s="328" t="s">
        <v>436</v>
      </c>
      <c r="B12" s="329">
        <v>0</v>
      </c>
      <c r="C12" s="329">
        <v>0</v>
      </c>
      <c r="D12" s="329" t="s">
        <v>435</v>
      </c>
      <c r="E12" s="329" t="s">
        <v>435</v>
      </c>
      <c r="F12" s="329" t="s">
        <v>435</v>
      </c>
      <c r="G12" s="329">
        <v>0</v>
      </c>
      <c r="H12" s="330">
        <v>0</v>
      </c>
      <c r="I12" s="330">
        <v>0</v>
      </c>
      <c r="J12" s="330">
        <v>0</v>
      </c>
      <c r="K12" s="333">
        <v>0</v>
      </c>
      <c r="L12" s="333">
        <v>0</v>
      </c>
      <c r="N12" s="333"/>
      <c r="O12" s="333"/>
      <c r="P12" s="333"/>
      <c r="Q12" s="333"/>
    </row>
    <row r="13" spans="1:17" ht="10.5" customHeight="1">
      <c r="A13" s="334" t="s">
        <v>142</v>
      </c>
      <c r="B13" s="329">
        <v>0</v>
      </c>
      <c r="C13" s="329">
        <v>0</v>
      </c>
      <c r="D13" s="329" t="s">
        <v>435</v>
      </c>
      <c r="E13" s="329" t="s">
        <v>435</v>
      </c>
      <c r="F13" s="329" t="s">
        <v>435</v>
      </c>
      <c r="G13" s="329">
        <v>0</v>
      </c>
      <c r="H13" s="330">
        <v>0</v>
      </c>
      <c r="I13" s="330">
        <v>0</v>
      </c>
      <c r="J13" s="330">
        <v>0</v>
      </c>
      <c r="K13" s="335">
        <v>0</v>
      </c>
      <c r="L13" s="333">
        <v>0</v>
      </c>
      <c r="N13" s="333"/>
      <c r="O13" s="333"/>
      <c r="P13" s="333"/>
      <c r="Q13" s="333"/>
    </row>
    <row r="14" spans="1:17" s="340" customFormat="1" ht="10.5" customHeight="1">
      <c r="A14" s="336" t="s">
        <v>234</v>
      </c>
      <c r="B14" s="337">
        <v>375170</v>
      </c>
      <c r="C14" s="337">
        <v>382396</v>
      </c>
      <c r="D14" s="337">
        <v>391243</v>
      </c>
      <c r="E14" s="337">
        <v>395177</v>
      </c>
      <c r="F14" s="337">
        <v>395661</v>
      </c>
      <c r="G14" s="337">
        <v>400369</v>
      </c>
      <c r="H14" s="338">
        <v>401356.91205599322</v>
      </c>
      <c r="I14" s="338">
        <v>406633.49122569757</v>
      </c>
      <c r="J14" s="339">
        <v>404809.32323943806</v>
      </c>
      <c r="K14" s="339">
        <v>402258.08919023792</v>
      </c>
      <c r="L14" s="338">
        <v>400671.26798732206</v>
      </c>
      <c r="N14" s="333"/>
      <c r="O14" s="332"/>
      <c r="P14" s="332"/>
      <c r="Q14" s="333"/>
    </row>
    <row r="15" spans="1:17" s="340" customFormat="1" ht="10.5" customHeight="1">
      <c r="A15" s="336" t="s">
        <v>437</v>
      </c>
      <c r="B15" s="341">
        <v>1861</v>
      </c>
      <c r="C15" s="341">
        <v>1564</v>
      </c>
      <c r="D15" s="341">
        <v>1497</v>
      </c>
      <c r="E15" s="341">
        <v>1167</v>
      </c>
      <c r="F15" s="341">
        <v>983</v>
      </c>
      <c r="G15" s="341">
        <v>2208</v>
      </c>
      <c r="H15" s="342">
        <v>2386.7683979548747</v>
      </c>
      <c r="I15" s="342">
        <v>2382.2539049094776</v>
      </c>
      <c r="J15" s="343">
        <v>1045.8537374696461</v>
      </c>
      <c r="K15" s="343">
        <v>983.87671508395579</v>
      </c>
      <c r="L15" s="342">
        <v>1052.5228208390181</v>
      </c>
      <c r="N15" s="333"/>
      <c r="O15" s="332"/>
      <c r="P15" s="332"/>
      <c r="Q15" s="333"/>
    </row>
    <row r="16" spans="1:17" s="340" customFormat="1" ht="10.5" customHeight="1">
      <c r="A16" s="336" t="s">
        <v>237</v>
      </c>
      <c r="B16" s="337">
        <v>373309</v>
      </c>
      <c r="C16" s="337">
        <v>380832</v>
      </c>
      <c r="D16" s="337">
        <v>389746</v>
      </c>
      <c r="E16" s="337">
        <v>394010</v>
      </c>
      <c r="F16" s="337">
        <v>394678</v>
      </c>
      <c r="G16" s="337">
        <v>398161</v>
      </c>
      <c r="H16" s="338">
        <v>398970.14365803835</v>
      </c>
      <c r="I16" s="338">
        <v>404251.23732078809</v>
      </c>
      <c r="J16" s="339">
        <v>403763.46950196841</v>
      </c>
      <c r="K16" s="339">
        <v>401274.21247515397</v>
      </c>
      <c r="L16" s="338">
        <v>399618.74516648304</v>
      </c>
      <c r="N16" s="333"/>
      <c r="O16" s="332"/>
      <c r="P16" s="332"/>
      <c r="Q16" s="333"/>
    </row>
    <row r="17" spans="1:17" ht="10.5" customHeight="1">
      <c r="A17" s="323" t="s">
        <v>143</v>
      </c>
      <c r="B17" s="329">
        <v>0</v>
      </c>
      <c r="C17" s="329">
        <v>0</v>
      </c>
      <c r="D17" s="329"/>
      <c r="E17" s="329"/>
      <c r="F17" s="329"/>
      <c r="G17" s="329">
        <v>0</v>
      </c>
      <c r="H17" s="330">
        <v>0</v>
      </c>
      <c r="I17" s="330">
        <v>0</v>
      </c>
      <c r="J17" s="330">
        <v>0</v>
      </c>
      <c r="K17" s="330">
        <v>0</v>
      </c>
      <c r="L17" s="333">
        <v>0</v>
      </c>
      <c r="N17" s="333"/>
      <c r="O17" s="333"/>
      <c r="P17" s="333"/>
      <c r="Q17" s="333"/>
    </row>
    <row r="18" spans="1:17" ht="10.5" customHeight="1">
      <c r="A18" s="328" t="s">
        <v>144</v>
      </c>
      <c r="B18" s="329">
        <v>0</v>
      </c>
      <c r="C18" s="329">
        <v>0</v>
      </c>
      <c r="D18" s="329" t="s">
        <v>435</v>
      </c>
      <c r="E18" s="329" t="s">
        <v>435</v>
      </c>
      <c r="F18" s="329" t="s">
        <v>435</v>
      </c>
      <c r="G18" s="329">
        <v>0</v>
      </c>
      <c r="H18" s="330">
        <v>0</v>
      </c>
      <c r="I18" s="330">
        <v>0</v>
      </c>
      <c r="J18" s="330">
        <v>0</v>
      </c>
      <c r="K18" s="330">
        <v>0</v>
      </c>
      <c r="L18" s="333">
        <v>0</v>
      </c>
      <c r="N18" s="333"/>
      <c r="O18" s="333"/>
      <c r="P18" s="333"/>
      <c r="Q18" s="333"/>
    </row>
    <row r="19" spans="1:17" ht="10.5" customHeight="1">
      <c r="A19" s="328" t="s">
        <v>238</v>
      </c>
      <c r="B19" s="329">
        <v>0</v>
      </c>
      <c r="C19" s="329">
        <v>0</v>
      </c>
      <c r="D19" s="329" t="s">
        <v>435</v>
      </c>
      <c r="E19" s="329" t="s">
        <v>435</v>
      </c>
      <c r="F19" s="329" t="s">
        <v>435</v>
      </c>
      <c r="G19" s="329">
        <v>0</v>
      </c>
      <c r="H19" s="330">
        <v>0</v>
      </c>
      <c r="I19" s="330">
        <v>0</v>
      </c>
      <c r="J19" s="330">
        <v>0</v>
      </c>
      <c r="K19" s="330">
        <v>0</v>
      </c>
      <c r="L19" s="333">
        <v>0</v>
      </c>
      <c r="N19" s="333"/>
      <c r="O19" s="333"/>
      <c r="P19" s="333"/>
      <c r="Q19" s="333"/>
    </row>
    <row r="20" spans="1:17" ht="10.5" customHeight="1">
      <c r="A20" s="328" t="s">
        <v>438</v>
      </c>
      <c r="B20" s="329">
        <v>0</v>
      </c>
      <c r="C20" s="329">
        <v>0</v>
      </c>
      <c r="D20" s="329" t="s">
        <v>435</v>
      </c>
      <c r="E20" s="329" t="s">
        <v>435</v>
      </c>
      <c r="F20" s="329" t="s">
        <v>435</v>
      </c>
      <c r="G20" s="329">
        <v>0</v>
      </c>
      <c r="H20" s="330">
        <v>0</v>
      </c>
      <c r="I20" s="330">
        <v>0</v>
      </c>
      <c r="J20" s="330">
        <v>0</v>
      </c>
      <c r="K20" s="330">
        <v>0</v>
      </c>
      <c r="L20" s="333">
        <v>0</v>
      </c>
      <c r="N20" s="333"/>
      <c r="O20" s="333"/>
      <c r="P20" s="333"/>
      <c r="Q20" s="333"/>
    </row>
    <row r="21" spans="1:17" ht="10.5" customHeight="1">
      <c r="A21" s="328" t="s">
        <v>146</v>
      </c>
      <c r="B21" s="329">
        <v>0</v>
      </c>
      <c r="C21" s="329">
        <v>0</v>
      </c>
      <c r="D21" s="329" t="s">
        <v>435</v>
      </c>
      <c r="E21" s="329" t="s">
        <v>435</v>
      </c>
      <c r="F21" s="329" t="s">
        <v>435</v>
      </c>
      <c r="G21" s="329">
        <v>0</v>
      </c>
      <c r="H21" s="330">
        <v>0</v>
      </c>
      <c r="I21" s="330">
        <v>0</v>
      </c>
      <c r="J21" s="330">
        <v>0</v>
      </c>
      <c r="K21" s="330">
        <v>0</v>
      </c>
      <c r="L21" s="333">
        <v>0</v>
      </c>
      <c r="N21" s="333"/>
      <c r="O21" s="333"/>
      <c r="P21" s="333"/>
      <c r="Q21" s="333"/>
    </row>
    <row r="22" spans="1:17" ht="10.5" customHeight="1">
      <c r="A22" s="328" t="s">
        <v>147</v>
      </c>
      <c r="B22" s="329">
        <v>0</v>
      </c>
      <c r="C22" s="329">
        <v>0</v>
      </c>
      <c r="D22" s="329" t="s">
        <v>435</v>
      </c>
      <c r="E22" s="329" t="s">
        <v>435</v>
      </c>
      <c r="F22" s="329" t="s">
        <v>435</v>
      </c>
      <c r="G22" s="329">
        <v>0</v>
      </c>
      <c r="H22" s="330">
        <v>0</v>
      </c>
      <c r="I22" s="330">
        <v>0</v>
      </c>
      <c r="J22" s="330">
        <v>0</v>
      </c>
      <c r="K22" s="330">
        <v>0</v>
      </c>
      <c r="L22" s="333">
        <v>0</v>
      </c>
      <c r="N22" s="333"/>
      <c r="O22" s="333"/>
      <c r="P22" s="333"/>
      <c r="Q22" s="333"/>
    </row>
    <row r="23" spans="1:17" ht="10.5" customHeight="1">
      <c r="A23" s="328" t="s">
        <v>148</v>
      </c>
      <c r="B23" s="329">
        <v>0</v>
      </c>
      <c r="C23" s="329">
        <v>0</v>
      </c>
      <c r="D23" s="329" t="s">
        <v>435</v>
      </c>
      <c r="E23" s="329" t="s">
        <v>435</v>
      </c>
      <c r="F23" s="329" t="s">
        <v>435</v>
      </c>
      <c r="G23" s="329">
        <v>0</v>
      </c>
      <c r="H23" s="330">
        <v>0</v>
      </c>
      <c r="I23" s="330">
        <v>0</v>
      </c>
      <c r="J23" s="330">
        <v>0</v>
      </c>
      <c r="K23" s="330">
        <v>0</v>
      </c>
      <c r="L23" s="333">
        <v>0</v>
      </c>
      <c r="N23" s="333"/>
      <c r="O23" s="333"/>
      <c r="P23" s="333"/>
      <c r="Q23" s="333"/>
    </row>
    <row r="24" spans="1:17" ht="10.5" customHeight="1">
      <c r="A24" s="328" t="s">
        <v>116</v>
      </c>
      <c r="B24" s="329">
        <v>0</v>
      </c>
      <c r="C24" s="329">
        <v>0</v>
      </c>
      <c r="D24" s="329" t="s">
        <v>435</v>
      </c>
      <c r="E24" s="329" t="s">
        <v>435</v>
      </c>
      <c r="F24" s="329" t="s">
        <v>435</v>
      </c>
      <c r="G24" s="329">
        <v>0</v>
      </c>
      <c r="H24" s="330">
        <v>0</v>
      </c>
      <c r="I24" s="330">
        <v>0</v>
      </c>
      <c r="J24" s="330">
        <v>0</v>
      </c>
      <c r="K24" s="330">
        <v>0</v>
      </c>
      <c r="L24" s="333">
        <v>0</v>
      </c>
      <c r="N24" s="333"/>
      <c r="O24" s="333"/>
      <c r="P24" s="333"/>
      <c r="Q24" s="333"/>
    </row>
    <row r="25" spans="1:17" ht="10.5" customHeight="1">
      <c r="A25" s="328" t="s">
        <v>149</v>
      </c>
      <c r="B25" s="329">
        <v>0</v>
      </c>
      <c r="C25" s="329">
        <v>0</v>
      </c>
      <c r="D25" s="329" t="s">
        <v>435</v>
      </c>
      <c r="E25" s="329" t="s">
        <v>435</v>
      </c>
      <c r="F25" s="329" t="s">
        <v>435</v>
      </c>
      <c r="G25" s="329">
        <v>0</v>
      </c>
      <c r="H25" s="330">
        <v>0</v>
      </c>
      <c r="I25" s="330">
        <v>0</v>
      </c>
      <c r="J25" s="330">
        <v>0</v>
      </c>
      <c r="K25" s="330">
        <v>0</v>
      </c>
      <c r="L25" s="333">
        <v>0</v>
      </c>
      <c r="N25" s="333"/>
      <c r="O25" s="333"/>
      <c r="P25" s="333"/>
      <c r="Q25" s="333"/>
    </row>
    <row r="26" spans="1:17" ht="10.5" customHeight="1">
      <c r="A26" s="328" t="s">
        <v>114</v>
      </c>
      <c r="B26" s="344">
        <v>0</v>
      </c>
      <c r="C26" s="344">
        <v>0</v>
      </c>
      <c r="D26" s="344" t="s">
        <v>435</v>
      </c>
      <c r="E26" s="344" t="s">
        <v>435</v>
      </c>
      <c r="F26" s="344" t="s">
        <v>435</v>
      </c>
      <c r="G26" s="344">
        <v>0</v>
      </c>
      <c r="H26" s="335">
        <v>0</v>
      </c>
      <c r="I26" s="335">
        <v>0</v>
      </c>
      <c r="J26" s="335">
        <v>0</v>
      </c>
      <c r="K26" s="335">
        <v>0</v>
      </c>
      <c r="L26" s="335">
        <v>0</v>
      </c>
      <c r="N26" s="333"/>
      <c r="O26" s="333"/>
      <c r="P26" s="333"/>
      <c r="Q26" s="333"/>
    </row>
    <row r="27" spans="1:17" ht="10.5" customHeight="1">
      <c r="A27" s="345" t="s">
        <v>150</v>
      </c>
      <c r="B27" s="346">
        <v>29674</v>
      </c>
      <c r="C27" s="347">
        <v>29790</v>
      </c>
      <c r="D27" s="347">
        <v>30680</v>
      </c>
      <c r="E27" s="347">
        <v>30387</v>
      </c>
      <c r="F27" s="347">
        <v>31297</v>
      </c>
      <c r="G27" s="347">
        <v>32081</v>
      </c>
      <c r="H27" s="348">
        <v>29293.615522453129</v>
      </c>
      <c r="I27" s="348">
        <v>30102.476169496709</v>
      </c>
      <c r="J27" s="349">
        <v>32055.399004121558</v>
      </c>
      <c r="K27" s="350">
        <v>33440.802512267299</v>
      </c>
      <c r="L27" s="351">
        <v>30631.914397338212</v>
      </c>
      <c r="N27" s="333"/>
      <c r="O27" s="332"/>
      <c r="P27" s="332"/>
      <c r="Q27" s="333"/>
    </row>
    <row r="28" spans="1:17" ht="10.5" customHeight="1">
      <c r="A28" s="328" t="s">
        <v>144</v>
      </c>
      <c r="B28" s="329">
        <v>17408</v>
      </c>
      <c r="C28" s="329">
        <v>16707</v>
      </c>
      <c r="D28" s="329">
        <v>16304</v>
      </c>
      <c r="E28" s="329">
        <v>17394</v>
      </c>
      <c r="F28" s="329">
        <v>17126</v>
      </c>
      <c r="G28" s="329">
        <v>18136</v>
      </c>
      <c r="H28" s="330">
        <v>17029.87770255061</v>
      </c>
      <c r="I28" s="330">
        <v>17870.819478206584</v>
      </c>
      <c r="J28" s="331">
        <v>18503.65157384261</v>
      </c>
      <c r="K28" s="331">
        <v>17698.703740064098</v>
      </c>
      <c r="L28" s="330">
        <v>16317.073155912076</v>
      </c>
      <c r="N28" s="333"/>
      <c r="O28" s="332"/>
      <c r="P28" s="332"/>
      <c r="Q28" s="333"/>
    </row>
    <row r="29" spans="1:17" ht="10.5" customHeight="1">
      <c r="A29" s="328" t="s">
        <v>151</v>
      </c>
      <c r="B29" s="329">
        <v>537</v>
      </c>
      <c r="C29" s="329">
        <v>408</v>
      </c>
      <c r="D29" s="329">
        <v>527</v>
      </c>
      <c r="E29" s="329">
        <v>675</v>
      </c>
      <c r="F29" s="329">
        <v>540</v>
      </c>
      <c r="G29" s="329">
        <v>551</v>
      </c>
      <c r="H29" s="330">
        <v>557.81400000000008</v>
      </c>
      <c r="I29" s="330">
        <v>505.30099999999999</v>
      </c>
      <c r="J29" s="330">
        <v>545.75172797805396</v>
      </c>
      <c r="K29" s="330">
        <v>560.38416424020738</v>
      </c>
      <c r="L29" s="330">
        <v>598.16165095818883</v>
      </c>
      <c r="N29" s="333"/>
      <c r="O29" s="333"/>
      <c r="P29" s="333"/>
      <c r="Q29" s="333"/>
    </row>
    <row r="30" spans="1:17" ht="10.5" customHeight="1">
      <c r="A30" s="328" t="s">
        <v>147</v>
      </c>
      <c r="B30" s="329">
        <v>5136</v>
      </c>
      <c r="C30" s="329">
        <v>4981</v>
      </c>
      <c r="D30" s="329">
        <v>6362</v>
      </c>
      <c r="E30" s="329">
        <v>5231</v>
      </c>
      <c r="F30" s="329">
        <v>6553</v>
      </c>
      <c r="G30" s="329">
        <v>5769</v>
      </c>
      <c r="H30" s="330">
        <v>4680.7694584707706</v>
      </c>
      <c r="I30" s="330">
        <v>4459.0197418678472</v>
      </c>
      <c r="J30" s="331">
        <v>4660.3413291404404</v>
      </c>
      <c r="K30" s="331">
        <v>6695.5015551946326</v>
      </c>
      <c r="L30" s="330">
        <v>5099.3465471477793</v>
      </c>
      <c r="N30" s="333"/>
      <c r="O30" s="333"/>
      <c r="P30" s="332"/>
      <c r="Q30" s="333"/>
    </row>
    <row r="31" spans="1:17" ht="10.5" customHeight="1">
      <c r="A31" s="328" t="s">
        <v>439</v>
      </c>
      <c r="B31" s="329">
        <v>1334</v>
      </c>
      <c r="C31" s="329">
        <v>1358</v>
      </c>
      <c r="D31" s="329">
        <v>1283</v>
      </c>
      <c r="E31" s="329">
        <v>1223</v>
      </c>
      <c r="F31" s="329">
        <v>1163</v>
      </c>
      <c r="G31" s="329">
        <v>1190</v>
      </c>
      <c r="H31" s="330">
        <v>1118.4720384121426</v>
      </c>
      <c r="I31" s="330">
        <v>1164.5939865789617</v>
      </c>
      <c r="J31" s="333">
        <v>1132.8524079633023</v>
      </c>
      <c r="K31" s="333">
        <v>1072.7425235078895</v>
      </c>
      <c r="L31" s="333">
        <v>1057.9655040797359</v>
      </c>
      <c r="N31" s="333"/>
      <c r="O31" s="333"/>
      <c r="P31" s="333"/>
      <c r="Q31" s="333"/>
    </row>
    <row r="32" spans="1:17" ht="10.5" customHeight="1">
      <c r="A32" s="328" t="s">
        <v>116</v>
      </c>
      <c r="B32" s="329">
        <v>948</v>
      </c>
      <c r="C32" s="329">
        <v>948</v>
      </c>
      <c r="D32" s="329">
        <v>877</v>
      </c>
      <c r="E32" s="329">
        <v>885</v>
      </c>
      <c r="F32" s="329">
        <v>502</v>
      </c>
      <c r="G32" s="329">
        <v>492</v>
      </c>
      <c r="H32" s="330">
        <v>467.53666612231899</v>
      </c>
      <c r="I32" s="330">
        <v>514.53054136496291</v>
      </c>
      <c r="J32" s="333">
        <v>496.61216070798349</v>
      </c>
      <c r="K32" s="333">
        <v>478.78538460714367</v>
      </c>
      <c r="L32" s="333">
        <v>452.04373382916361</v>
      </c>
      <c r="N32" s="333"/>
      <c r="O32" s="333"/>
      <c r="P32" s="333"/>
      <c r="Q32" s="333"/>
    </row>
    <row r="33" spans="1:17" ht="10.5" customHeight="1">
      <c r="A33" s="328" t="s">
        <v>149</v>
      </c>
      <c r="B33" s="329">
        <v>0</v>
      </c>
      <c r="C33" s="329">
        <v>0</v>
      </c>
      <c r="D33" s="329" t="s">
        <v>435</v>
      </c>
      <c r="E33" s="329" t="s">
        <v>435</v>
      </c>
      <c r="F33" s="329" t="s">
        <v>435</v>
      </c>
      <c r="G33" s="329">
        <v>0</v>
      </c>
      <c r="H33" s="330">
        <v>0</v>
      </c>
      <c r="I33" s="330">
        <v>0</v>
      </c>
      <c r="J33" s="333">
        <v>0</v>
      </c>
      <c r="K33" s="333">
        <v>0</v>
      </c>
      <c r="L33" s="333">
        <v>0</v>
      </c>
      <c r="N33" s="333"/>
      <c r="O33" s="333"/>
      <c r="P33" s="333"/>
      <c r="Q33" s="333"/>
    </row>
    <row r="34" spans="1:17" ht="10.5" customHeight="1">
      <c r="A34" s="328" t="s">
        <v>153</v>
      </c>
      <c r="B34" s="329">
        <v>2594</v>
      </c>
      <c r="C34" s="329">
        <v>3774</v>
      </c>
      <c r="D34" s="329">
        <v>3499</v>
      </c>
      <c r="E34" s="329">
        <v>3210</v>
      </c>
      <c r="F34" s="329">
        <v>3463</v>
      </c>
      <c r="G34" s="329">
        <v>3546</v>
      </c>
      <c r="H34" s="330">
        <v>3497.1021796315795</v>
      </c>
      <c r="I34" s="330">
        <v>3706.8240499999997</v>
      </c>
      <c r="J34" s="333">
        <v>4917.84</v>
      </c>
      <c r="K34" s="333">
        <v>5071.2659999999996</v>
      </c>
      <c r="L34" s="333">
        <v>5371.3050000000003</v>
      </c>
      <c r="N34" s="333"/>
      <c r="O34" s="333"/>
      <c r="P34" s="333"/>
      <c r="Q34" s="333"/>
    </row>
    <row r="35" spans="1:17" ht="10.5" customHeight="1">
      <c r="A35" s="328" t="s">
        <v>114</v>
      </c>
      <c r="B35" s="352">
        <v>1717</v>
      </c>
      <c r="C35" s="329">
        <v>1614</v>
      </c>
      <c r="D35" s="329">
        <v>1828</v>
      </c>
      <c r="E35" s="329">
        <v>1769</v>
      </c>
      <c r="F35" s="329">
        <v>1950</v>
      </c>
      <c r="G35" s="329">
        <v>2398</v>
      </c>
      <c r="H35" s="353">
        <v>1942.0434772657059</v>
      </c>
      <c r="I35" s="353">
        <v>1881.387371478356</v>
      </c>
      <c r="J35" s="332">
        <v>1798.3498044891694</v>
      </c>
      <c r="K35" s="332">
        <v>1863.4191446533296</v>
      </c>
      <c r="L35" s="333">
        <v>1736.0188054112691</v>
      </c>
      <c r="N35" s="333"/>
      <c r="O35" s="333"/>
      <c r="P35" s="333"/>
      <c r="Q35" s="333"/>
    </row>
    <row r="36" spans="1:17" s="355" customFormat="1" ht="10.5" customHeight="1">
      <c r="A36" s="323" t="s">
        <v>52</v>
      </c>
      <c r="B36" s="354">
        <v>27957</v>
      </c>
      <c r="C36" s="346">
        <v>28298</v>
      </c>
      <c r="D36" s="346">
        <v>29649</v>
      </c>
      <c r="E36" s="346">
        <v>30902</v>
      </c>
      <c r="F36" s="346">
        <v>29980</v>
      </c>
      <c r="G36" s="346">
        <v>29862</v>
      </c>
      <c r="H36" s="353">
        <v>30727.769540000001</v>
      </c>
      <c r="I36" s="353">
        <v>27674.096887604406</v>
      </c>
      <c r="J36" s="350">
        <v>27410.40361586582</v>
      </c>
      <c r="K36" s="350">
        <v>26469.290502553951</v>
      </c>
      <c r="L36" s="351">
        <v>27425.373767889629</v>
      </c>
      <c r="N36" s="351"/>
      <c r="O36" s="350"/>
      <c r="P36" s="350"/>
      <c r="Q36" s="351"/>
    </row>
    <row r="37" spans="1:17" ht="10.5" customHeight="1">
      <c r="A37" s="356" t="s">
        <v>154</v>
      </c>
      <c r="B37" s="357">
        <v>315678</v>
      </c>
      <c r="C37" s="357">
        <v>322744</v>
      </c>
      <c r="D37" s="357">
        <v>329420</v>
      </c>
      <c r="E37" s="357">
        <v>332721</v>
      </c>
      <c r="F37" s="357">
        <v>333401</v>
      </c>
      <c r="G37" s="357">
        <v>336218</v>
      </c>
      <c r="H37" s="358">
        <v>338948.75859558518</v>
      </c>
      <c r="I37" s="358">
        <v>346474.66426368686</v>
      </c>
      <c r="J37" s="359">
        <v>344297.66688198101</v>
      </c>
      <c r="K37" s="359">
        <v>341364.11946033273</v>
      </c>
      <c r="L37" s="358">
        <v>341561.45700125524</v>
      </c>
      <c r="N37" s="333"/>
      <c r="O37" s="333"/>
      <c r="P37" s="333"/>
      <c r="Q37" s="333"/>
    </row>
    <row r="38" spans="1:17" ht="10.5" customHeight="1">
      <c r="A38" s="323" t="s">
        <v>39</v>
      </c>
      <c r="B38" s="346">
        <v>107177</v>
      </c>
      <c r="C38" s="346">
        <v>110978</v>
      </c>
      <c r="D38" s="346">
        <v>114112</v>
      </c>
      <c r="E38" s="346">
        <v>111337</v>
      </c>
      <c r="F38" s="346">
        <v>112648</v>
      </c>
      <c r="G38" s="346">
        <v>113358</v>
      </c>
      <c r="H38" s="353">
        <v>115841.51833333072</v>
      </c>
      <c r="I38" s="353">
        <v>120524.0726028827</v>
      </c>
      <c r="J38" s="360">
        <v>117918.29797803715</v>
      </c>
      <c r="K38" s="360">
        <v>117007.12613076654</v>
      </c>
      <c r="L38" s="353">
        <v>113557.62327594195</v>
      </c>
      <c r="N38" s="333"/>
      <c r="O38" s="332"/>
      <c r="P38" s="333"/>
      <c r="Q38" s="333"/>
    </row>
    <row r="39" spans="1:17" ht="10.5" customHeight="1">
      <c r="A39" s="328" t="s">
        <v>155</v>
      </c>
      <c r="B39" s="329">
        <v>0</v>
      </c>
      <c r="C39" s="329">
        <v>0</v>
      </c>
      <c r="D39" s="329" t="s">
        <v>435</v>
      </c>
      <c r="E39" s="329" t="s">
        <v>435</v>
      </c>
      <c r="F39" s="329" t="s">
        <v>435</v>
      </c>
      <c r="G39" s="329">
        <v>0</v>
      </c>
      <c r="H39" s="330">
        <v>0</v>
      </c>
      <c r="I39" s="330">
        <v>0</v>
      </c>
      <c r="J39" s="330">
        <v>0</v>
      </c>
      <c r="K39" s="333">
        <v>0</v>
      </c>
      <c r="L39" s="333">
        <v>0</v>
      </c>
      <c r="N39" s="332"/>
      <c r="O39" s="332"/>
      <c r="P39" s="333"/>
      <c r="Q39" s="333"/>
    </row>
    <row r="40" spans="1:17" ht="10.5" customHeight="1">
      <c r="A40" s="328" t="s">
        <v>156</v>
      </c>
      <c r="B40" s="329">
        <v>9571</v>
      </c>
      <c r="C40" s="329">
        <v>9779</v>
      </c>
      <c r="D40" s="329">
        <v>6349</v>
      </c>
      <c r="E40" s="329">
        <v>5303</v>
      </c>
      <c r="F40" s="329">
        <v>5092</v>
      </c>
      <c r="G40" s="329">
        <v>5434</v>
      </c>
      <c r="H40" s="330">
        <v>5412.0479423420047</v>
      </c>
      <c r="I40" s="330">
        <v>5019.622590539966</v>
      </c>
      <c r="J40" s="333">
        <v>5860.2420852934556</v>
      </c>
      <c r="K40" s="333">
        <v>4923.6735106492706</v>
      </c>
      <c r="L40" s="333">
        <v>4868.0210075868335</v>
      </c>
      <c r="N40" s="332"/>
      <c r="O40" s="333"/>
      <c r="P40" s="333"/>
      <c r="Q40" s="333"/>
    </row>
    <row r="41" spans="1:17" ht="10.5" customHeight="1">
      <c r="A41" s="328" t="s">
        <v>157</v>
      </c>
      <c r="B41" s="329">
        <v>5698</v>
      </c>
      <c r="C41" s="329">
        <v>5895</v>
      </c>
      <c r="D41" s="329">
        <v>6152</v>
      </c>
      <c r="E41" s="329">
        <v>7324</v>
      </c>
      <c r="F41" s="329">
        <v>6365</v>
      </c>
      <c r="G41" s="329">
        <v>7284</v>
      </c>
      <c r="H41" s="330">
        <v>7518.0129340335834</v>
      </c>
      <c r="I41" s="330">
        <v>7693.0510171705882</v>
      </c>
      <c r="J41" s="332">
        <v>7523.8348850992461</v>
      </c>
      <c r="K41" s="332">
        <v>7330.5836262747762</v>
      </c>
      <c r="L41" s="333">
        <v>7079.4689879354692</v>
      </c>
      <c r="N41" s="333"/>
      <c r="O41" s="333"/>
      <c r="P41" s="333"/>
      <c r="Q41" s="333"/>
    </row>
    <row r="42" spans="1:17" ht="10.5" customHeight="1">
      <c r="A42" s="328" t="s">
        <v>158</v>
      </c>
      <c r="B42" s="329">
        <v>7142</v>
      </c>
      <c r="C42" s="329">
        <v>7265</v>
      </c>
      <c r="D42" s="329">
        <v>8109</v>
      </c>
      <c r="E42" s="329">
        <v>7247</v>
      </c>
      <c r="F42" s="329">
        <v>7115</v>
      </c>
      <c r="G42" s="329">
        <v>7651</v>
      </c>
      <c r="H42" s="330">
        <v>7834.5353341131186</v>
      </c>
      <c r="I42" s="330">
        <v>7977.6247512643986</v>
      </c>
      <c r="J42" s="332">
        <v>7968.7229003946713</v>
      </c>
      <c r="K42" s="332">
        <v>7859.4184101510145</v>
      </c>
      <c r="L42" s="333">
        <v>7756.3785328030781</v>
      </c>
      <c r="N42" s="333"/>
      <c r="O42" s="333"/>
      <c r="P42" s="333"/>
      <c r="Q42" s="333"/>
    </row>
    <row r="43" spans="1:17" ht="10.5" customHeight="1">
      <c r="A43" s="328" t="s">
        <v>159</v>
      </c>
      <c r="B43" s="329">
        <v>20916</v>
      </c>
      <c r="C43" s="329">
        <v>21677</v>
      </c>
      <c r="D43" s="329">
        <v>23732</v>
      </c>
      <c r="E43" s="329">
        <v>21079</v>
      </c>
      <c r="F43" s="329">
        <v>22861</v>
      </c>
      <c r="G43" s="329">
        <v>20941</v>
      </c>
      <c r="H43" s="330">
        <v>21128.320448373099</v>
      </c>
      <c r="I43" s="330">
        <v>24125.229969791355</v>
      </c>
      <c r="J43" s="332">
        <v>22391.375908980175</v>
      </c>
      <c r="K43" s="332">
        <v>22199.50560292201</v>
      </c>
      <c r="L43" s="333">
        <v>21146.720296964988</v>
      </c>
      <c r="N43" s="333"/>
      <c r="O43" s="333"/>
      <c r="P43" s="333"/>
      <c r="Q43" s="333"/>
    </row>
    <row r="44" spans="1:17" ht="10.5" customHeight="1">
      <c r="A44" s="328" t="s">
        <v>240</v>
      </c>
      <c r="B44" s="329">
        <v>8520</v>
      </c>
      <c r="C44" s="329">
        <v>8824</v>
      </c>
      <c r="D44" s="329">
        <v>9420</v>
      </c>
      <c r="E44" s="329">
        <v>8569</v>
      </c>
      <c r="F44" s="329">
        <v>8794</v>
      </c>
      <c r="G44" s="329">
        <v>8839</v>
      </c>
      <c r="H44" s="330">
        <v>8509.6392729342479</v>
      </c>
      <c r="I44" s="330">
        <v>8632.7489587273994</v>
      </c>
      <c r="J44" s="332">
        <v>8490.4845424391733</v>
      </c>
      <c r="K44" s="332">
        <v>8518.0652019653517</v>
      </c>
      <c r="L44" s="333">
        <v>8283.4328588109656</v>
      </c>
      <c r="N44" s="333"/>
      <c r="O44" s="332"/>
      <c r="P44" s="332"/>
      <c r="Q44" s="333"/>
    </row>
    <row r="45" spans="1:17" ht="10.5" customHeight="1">
      <c r="A45" s="328" t="s">
        <v>241</v>
      </c>
      <c r="B45" s="329">
        <v>5996</v>
      </c>
      <c r="C45" s="329">
        <v>6006</v>
      </c>
      <c r="D45" s="329">
        <v>6196</v>
      </c>
      <c r="E45" s="329">
        <v>5697</v>
      </c>
      <c r="F45" s="329">
        <v>5880</v>
      </c>
      <c r="G45" s="329">
        <v>6019</v>
      </c>
      <c r="H45" s="330">
        <v>6809.3358722046187</v>
      </c>
      <c r="I45" s="330">
        <v>7420.1981289612722</v>
      </c>
      <c r="J45" s="332">
        <v>7341.4828569845504</v>
      </c>
      <c r="K45" s="332">
        <v>7289.4327269801088</v>
      </c>
      <c r="L45" s="333">
        <v>6979.2264927893002</v>
      </c>
      <c r="N45" s="332"/>
      <c r="O45" s="333"/>
      <c r="P45" s="332"/>
      <c r="Q45" s="333"/>
    </row>
    <row r="46" spans="1:17" ht="10.5" customHeight="1">
      <c r="A46" s="328" t="s">
        <v>162</v>
      </c>
      <c r="B46" s="329">
        <v>5586</v>
      </c>
      <c r="C46" s="329">
        <v>5615</v>
      </c>
      <c r="D46" s="329">
        <v>6316</v>
      </c>
      <c r="E46" s="329">
        <v>5824</v>
      </c>
      <c r="F46" s="329">
        <v>5625</v>
      </c>
      <c r="G46" s="329">
        <v>5660</v>
      </c>
      <c r="H46" s="330">
        <v>5682.4651912204517</v>
      </c>
      <c r="I46" s="330">
        <v>5840.5845400835515</v>
      </c>
      <c r="J46" s="332">
        <v>5847.6023531338597</v>
      </c>
      <c r="K46" s="332">
        <v>5731.0286487550929</v>
      </c>
      <c r="L46" s="333">
        <v>5594.5087386077876</v>
      </c>
      <c r="N46" s="333"/>
      <c r="O46" s="332"/>
      <c r="P46" s="332"/>
      <c r="Q46" s="333"/>
    </row>
    <row r="47" spans="1:17" ht="10.5" customHeight="1">
      <c r="A47" s="328" t="s">
        <v>242</v>
      </c>
      <c r="B47" s="329">
        <v>11852</v>
      </c>
      <c r="C47" s="329">
        <v>12524</v>
      </c>
      <c r="D47" s="329">
        <v>11724</v>
      </c>
      <c r="E47" s="329">
        <v>11570</v>
      </c>
      <c r="F47" s="329">
        <v>12166</v>
      </c>
      <c r="G47" s="329">
        <v>11949</v>
      </c>
      <c r="H47" s="330">
        <v>12348.479856497714</v>
      </c>
      <c r="I47" s="330">
        <v>12772.900738176895</v>
      </c>
      <c r="J47" s="332">
        <v>12317.49108804199</v>
      </c>
      <c r="K47" s="332">
        <v>12283.410094590781</v>
      </c>
      <c r="L47" s="333">
        <v>12224.071094329163</v>
      </c>
      <c r="N47" s="332"/>
      <c r="O47" s="333"/>
      <c r="P47" s="332"/>
      <c r="Q47" s="333"/>
    </row>
    <row r="48" spans="1:17" ht="10.5" customHeight="1">
      <c r="A48" s="328" t="s">
        <v>243</v>
      </c>
      <c r="B48" s="329">
        <v>3666</v>
      </c>
      <c r="C48" s="329">
        <v>3751</v>
      </c>
      <c r="D48" s="329">
        <v>3599</v>
      </c>
      <c r="E48" s="329">
        <v>3303</v>
      </c>
      <c r="F48" s="329">
        <v>3463</v>
      </c>
      <c r="G48" s="329">
        <v>3443</v>
      </c>
      <c r="H48" s="330">
        <v>3407.3189197838924</v>
      </c>
      <c r="I48" s="330">
        <v>3392.9221760377268</v>
      </c>
      <c r="J48" s="333">
        <v>3381.9049531484989</v>
      </c>
      <c r="K48" s="333">
        <v>3349.4086136065312</v>
      </c>
      <c r="L48" s="333">
        <v>3183.7444043000105</v>
      </c>
      <c r="N48" s="333"/>
      <c r="O48" s="333"/>
      <c r="P48" s="332"/>
      <c r="Q48" s="333"/>
    </row>
    <row r="49" spans="1:17" ht="10.5" customHeight="1">
      <c r="A49" s="328" t="s">
        <v>244</v>
      </c>
      <c r="B49" s="329">
        <v>10684</v>
      </c>
      <c r="C49" s="329">
        <v>10989</v>
      </c>
      <c r="D49" s="329">
        <v>11416</v>
      </c>
      <c r="E49" s="329">
        <v>11511</v>
      </c>
      <c r="F49" s="329">
        <v>11988</v>
      </c>
      <c r="G49" s="329">
        <v>12750</v>
      </c>
      <c r="H49" s="330">
        <v>13670.960109294876</v>
      </c>
      <c r="I49" s="330">
        <v>13724.905195023706</v>
      </c>
      <c r="J49" s="332">
        <v>13406.161825213951</v>
      </c>
      <c r="K49" s="332">
        <v>13356.076571372963</v>
      </c>
      <c r="L49" s="333">
        <v>13219.536668303863</v>
      </c>
      <c r="N49" s="333"/>
      <c r="O49" s="333"/>
      <c r="P49" s="333"/>
      <c r="Q49" s="333"/>
    </row>
    <row r="50" spans="1:17" ht="10.5" customHeight="1">
      <c r="A50" s="328" t="s">
        <v>166</v>
      </c>
      <c r="B50" s="329">
        <v>16012</v>
      </c>
      <c r="C50" s="329">
        <v>17125</v>
      </c>
      <c r="D50" s="329">
        <v>19514</v>
      </c>
      <c r="E50" s="329">
        <v>22213</v>
      </c>
      <c r="F50" s="329">
        <v>21599</v>
      </c>
      <c r="G50" s="329">
        <v>21686</v>
      </c>
      <c r="H50" s="330">
        <v>21716.023784332941</v>
      </c>
      <c r="I50" s="330">
        <v>21995.290247903973</v>
      </c>
      <c r="J50" s="332">
        <v>21749.292017854783</v>
      </c>
      <c r="K50" s="332">
        <v>22568.014350701702</v>
      </c>
      <c r="L50" s="333">
        <v>21717.34893084181</v>
      </c>
      <c r="N50" s="333"/>
      <c r="O50" s="332"/>
      <c r="P50" s="332"/>
      <c r="Q50" s="333"/>
    </row>
    <row r="51" spans="1:17" ht="10.5" customHeight="1">
      <c r="A51" s="328" t="s">
        <v>167</v>
      </c>
      <c r="B51" s="329">
        <v>1534</v>
      </c>
      <c r="C51" s="329">
        <v>1528</v>
      </c>
      <c r="D51" s="329">
        <v>1586</v>
      </c>
      <c r="E51" s="329">
        <v>1698</v>
      </c>
      <c r="F51" s="329">
        <v>1700</v>
      </c>
      <c r="G51" s="329">
        <v>1701</v>
      </c>
      <c r="H51" s="330">
        <v>1804.3786682001769</v>
      </c>
      <c r="I51" s="330">
        <v>1928.9942892018773</v>
      </c>
      <c r="J51" s="333">
        <v>1639.702561452817</v>
      </c>
      <c r="K51" s="333">
        <v>1598.5087727969405</v>
      </c>
      <c r="L51" s="333">
        <v>1505.1652626686828</v>
      </c>
      <c r="N51" s="332"/>
      <c r="O51" s="332"/>
      <c r="P51" s="332"/>
      <c r="Q51" s="333"/>
    </row>
    <row r="52" spans="1:17" s="355" customFormat="1" ht="10.5" customHeight="1">
      <c r="A52" s="323" t="s">
        <v>245</v>
      </c>
      <c r="B52" s="346">
        <v>8511</v>
      </c>
      <c r="C52" s="346">
        <v>8579</v>
      </c>
      <c r="D52" s="346">
        <v>8623</v>
      </c>
      <c r="E52" s="346">
        <v>8828</v>
      </c>
      <c r="F52" s="346">
        <v>8454</v>
      </c>
      <c r="G52" s="346">
        <v>8212</v>
      </c>
      <c r="H52" s="353">
        <v>8462.8548305909935</v>
      </c>
      <c r="I52" s="353">
        <v>8816.0524606569907</v>
      </c>
      <c r="J52" s="350">
        <v>8232.2698681467773</v>
      </c>
      <c r="K52" s="350">
        <v>8100.2794197444309</v>
      </c>
      <c r="L52" s="351">
        <v>8434.2653645828595</v>
      </c>
      <c r="N52" s="350"/>
      <c r="O52" s="351"/>
      <c r="P52" s="351"/>
      <c r="Q52" s="351"/>
    </row>
    <row r="53" spans="1:17" ht="10.5" customHeight="1">
      <c r="A53" s="328" t="s">
        <v>169</v>
      </c>
      <c r="B53" s="329">
        <v>0</v>
      </c>
      <c r="C53" s="329">
        <v>0</v>
      </c>
      <c r="D53" s="329" t="s">
        <v>435</v>
      </c>
      <c r="E53" s="329" t="s">
        <v>435</v>
      </c>
      <c r="F53" s="329" t="s">
        <v>435</v>
      </c>
      <c r="G53" s="329">
        <v>0</v>
      </c>
      <c r="H53" s="330">
        <v>0</v>
      </c>
      <c r="I53" s="330">
        <v>0</v>
      </c>
      <c r="J53" s="333">
        <v>0</v>
      </c>
      <c r="K53" s="333">
        <v>0</v>
      </c>
      <c r="L53" s="333">
        <v>0</v>
      </c>
      <c r="N53" s="333"/>
      <c r="O53" s="332"/>
      <c r="P53" s="332"/>
      <c r="Q53" s="333"/>
    </row>
    <row r="54" spans="1:17" ht="10.5" customHeight="1">
      <c r="A54" s="328" t="s">
        <v>440</v>
      </c>
      <c r="B54" s="329">
        <v>2700</v>
      </c>
      <c r="C54" s="329">
        <v>2700</v>
      </c>
      <c r="D54" s="352">
        <v>2700</v>
      </c>
      <c r="E54" s="352">
        <v>2700</v>
      </c>
      <c r="F54" s="352">
        <v>2700</v>
      </c>
      <c r="G54" s="352">
        <v>2700</v>
      </c>
      <c r="H54" s="333">
        <v>2750</v>
      </c>
      <c r="I54" s="333">
        <v>2800</v>
      </c>
      <c r="J54" s="333">
        <v>2900</v>
      </c>
      <c r="K54" s="333">
        <v>2900</v>
      </c>
      <c r="L54" s="333">
        <v>2900</v>
      </c>
      <c r="N54" s="332"/>
      <c r="O54" s="333"/>
      <c r="P54" s="333"/>
      <c r="Q54" s="333"/>
    </row>
    <row r="55" spans="1:17" ht="10.5" customHeight="1">
      <c r="A55" s="328" t="s">
        <v>23</v>
      </c>
      <c r="B55" s="329">
        <v>0</v>
      </c>
      <c r="C55" s="329">
        <v>0</v>
      </c>
      <c r="D55" s="329" t="s">
        <v>435</v>
      </c>
      <c r="E55" s="329" t="s">
        <v>435</v>
      </c>
      <c r="F55" s="329" t="s">
        <v>435</v>
      </c>
      <c r="G55" s="329">
        <v>0</v>
      </c>
      <c r="H55" s="330">
        <v>0</v>
      </c>
      <c r="I55" s="330">
        <v>0</v>
      </c>
      <c r="J55" s="330"/>
      <c r="K55" s="330"/>
      <c r="L55" s="330"/>
      <c r="N55" s="333"/>
      <c r="O55" s="333"/>
      <c r="P55" s="333"/>
      <c r="Q55" s="333"/>
    </row>
    <row r="56" spans="1:17" ht="10.5" customHeight="1">
      <c r="A56" s="328" t="s">
        <v>170</v>
      </c>
      <c r="B56" s="329">
        <v>0</v>
      </c>
      <c r="C56" s="329">
        <v>0</v>
      </c>
      <c r="D56" s="329" t="s">
        <v>435</v>
      </c>
      <c r="E56" s="329" t="s">
        <v>435</v>
      </c>
      <c r="F56" s="329" t="s">
        <v>435</v>
      </c>
      <c r="G56" s="329">
        <v>0</v>
      </c>
      <c r="H56" s="330">
        <v>0</v>
      </c>
      <c r="I56" s="330">
        <v>0</v>
      </c>
      <c r="J56" s="330">
        <v>0</v>
      </c>
      <c r="K56" s="330">
        <v>0</v>
      </c>
      <c r="L56" s="330">
        <v>0</v>
      </c>
      <c r="N56" s="333"/>
      <c r="O56" s="333"/>
      <c r="P56" s="333"/>
      <c r="Q56" s="333"/>
    </row>
    <row r="57" spans="1:17" ht="10.5" customHeight="1">
      <c r="A57" s="328" t="s">
        <v>171</v>
      </c>
      <c r="B57" s="329">
        <v>0</v>
      </c>
      <c r="C57" s="329">
        <v>0</v>
      </c>
      <c r="D57" s="329" t="s">
        <v>435</v>
      </c>
      <c r="E57" s="329" t="s">
        <v>435</v>
      </c>
      <c r="F57" s="329" t="s">
        <v>435</v>
      </c>
      <c r="G57" s="329">
        <v>0</v>
      </c>
      <c r="H57" s="330">
        <v>0</v>
      </c>
      <c r="I57" s="330">
        <v>0</v>
      </c>
      <c r="J57" s="330">
        <v>0</v>
      </c>
      <c r="K57" s="330">
        <v>0</v>
      </c>
      <c r="L57" s="330">
        <v>0</v>
      </c>
      <c r="N57" s="333"/>
      <c r="O57" s="333"/>
      <c r="P57" s="333"/>
      <c r="Q57" s="333"/>
    </row>
    <row r="58" spans="1:17" ht="10.5" customHeight="1">
      <c r="A58" s="323" t="s">
        <v>114</v>
      </c>
      <c r="B58" s="346">
        <v>199990</v>
      </c>
      <c r="C58" s="346">
        <v>203187</v>
      </c>
      <c r="D58" s="346">
        <v>206685</v>
      </c>
      <c r="E58" s="346">
        <v>212557</v>
      </c>
      <c r="F58" s="346">
        <v>212299</v>
      </c>
      <c r="G58" s="346">
        <v>214648</v>
      </c>
      <c r="H58" s="353">
        <v>214644.38543166345</v>
      </c>
      <c r="I58" s="353">
        <v>217134.53920014724</v>
      </c>
      <c r="J58" s="360">
        <v>218147.09903579712</v>
      </c>
      <c r="K58" s="350">
        <v>216256.71390982179</v>
      </c>
      <c r="L58" s="351">
        <v>219569.56836073045</v>
      </c>
      <c r="N58" s="333"/>
      <c r="O58" s="333"/>
      <c r="P58" s="333"/>
      <c r="Q58" s="333"/>
    </row>
    <row r="59" spans="1:17" ht="10.5" customHeight="1">
      <c r="A59" s="328" t="s">
        <v>38</v>
      </c>
      <c r="B59" s="329">
        <v>109410</v>
      </c>
      <c r="C59" s="329">
        <v>110308</v>
      </c>
      <c r="D59" s="329">
        <v>111842</v>
      </c>
      <c r="E59" s="329">
        <v>115337</v>
      </c>
      <c r="F59" s="329">
        <v>114534</v>
      </c>
      <c r="G59" s="329">
        <v>115761</v>
      </c>
      <c r="H59" s="330">
        <v>115526.46921370001</v>
      </c>
      <c r="I59" s="330">
        <v>116811.13800000001</v>
      </c>
      <c r="J59" s="333">
        <v>116449.34407919725</v>
      </c>
      <c r="K59" s="332">
        <v>115050.58481504503</v>
      </c>
      <c r="L59" s="333">
        <v>117840.56376318811</v>
      </c>
      <c r="N59" s="333"/>
      <c r="O59" s="332"/>
      <c r="P59" s="333"/>
      <c r="Q59" s="333"/>
    </row>
    <row r="60" spans="1:17" ht="10.5" customHeight="1">
      <c r="A60" s="328" t="s">
        <v>172</v>
      </c>
      <c r="B60" s="329">
        <v>21577</v>
      </c>
      <c r="C60" s="329">
        <v>21951</v>
      </c>
      <c r="D60" s="329">
        <v>20913</v>
      </c>
      <c r="E60" s="329">
        <v>21105</v>
      </c>
      <c r="F60" s="329">
        <v>20657</v>
      </c>
      <c r="G60" s="329">
        <v>20623</v>
      </c>
      <c r="H60" s="330">
        <v>20708.475621763446</v>
      </c>
      <c r="I60" s="330">
        <v>20877.873200147227</v>
      </c>
      <c r="J60" s="332">
        <v>22192.227093003883</v>
      </c>
      <c r="K60" s="332">
        <v>22346.706525398607</v>
      </c>
      <c r="L60" s="333">
        <v>22108.109904346249</v>
      </c>
      <c r="N60" s="332"/>
      <c r="O60" s="333"/>
      <c r="P60" s="332"/>
      <c r="Q60" s="333"/>
    </row>
    <row r="61" spans="1:17" ht="10.5" customHeight="1">
      <c r="A61" s="328" t="s">
        <v>47</v>
      </c>
      <c r="B61" s="329">
        <v>64952</v>
      </c>
      <c r="C61" s="329">
        <v>66748</v>
      </c>
      <c r="D61" s="329">
        <v>69571</v>
      </c>
      <c r="E61" s="329">
        <v>72014</v>
      </c>
      <c r="F61" s="329">
        <v>72963</v>
      </c>
      <c r="G61" s="329">
        <v>74238</v>
      </c>
      <c r="H61" s="330">
        <v>74215.490578199999</v>
      </c>
      <c r="I61" s="330">
        <v>75293.784999999989</v>
      </c>
      <c r="J61" s="333">
        <v>75375.651138594418</v>
      </c>
      <c r="K61" s="332">
        <v>74734.564003202337</v>
      </c>
      <c r="L61" s="333">
        <v>75554.036767056037</v>
      </c>
      <c r="N61" s="333"/>
      <c r="O61" s="332"/>
      <c r="P61" s="333"/>
      <c r="Q61" s="333"/>
    </row>
    <row r="62" spans="1:17" ht="10.5" customHeight="1">
      <c r="A62" s="328" t="s">
        <v>173</v>
      </c>
      <c r="B62" s="329">
        <v>4051</v>
      </c>
      <c r="C62" s="329">
        <v>4180</v>
      </c>
      <c r="D62" s="329">
        <v>4358</v>
      </c>
      <c r="E62" s="329">
        <v>4100</v>
      </c>
      <c r="F62" s="329">
        <v>4145</v>
      </c>
      <c r="G62" s="329">
        <v>4025</v>
      </c>
      <c r="H62" s="330">
        <v>4193.9500180000005</v>
      </c>
      <c r="I62" s="330">
        <v>4151.7429999999995</v>
      </c>
      <c r="J62" s="333">
        <v>4129.8767250015444</v>
      </c>
      <c r="K62" s="332">
        <v>4124.8585661758043</v>
      </c>
      <c r="L62" s="333">
        <v>4066.8579261400328</v>
      </c>
      <c r="N62" s="332"/>
      <c r="O62" s="333"/>
      <c r="P62" s="333"/>
      <c r="Q62" s="333"/>
    </row>
    <row r="63" spans="1:17" ht="10.5" customHeight="1">
      <c r="A63" s="328" t="s">
        <v>174</v>
      </c>
      <c r="B63" s="361">
        <v>0</v>
      </c>
      <c r="C63" s="361">
        <v>0</v>
      </c>
      <c r="D63" s="361" t="s">
        <v>435</v>
      </c>
      <c r="E63" s="361" t="s">
        <v>435</v>
      </c>
      <c r="F63" s="361" t="s">
        <v>435</v>
      </c>
      <c r="G63" s="361">
        <v>0</v>
      </c>
      <c r="H63" s="351">
        <v>0</v>
      </c>
      <c r="I63" s="351">
        <v>0</v>
      </c>
      <c r="J63" s="351">
        <v>0</v>
      </c>
      <c r="K63" s="330">
        <v>0</v>
      </c>
      <c r="L63" s="330">
        <v>0</v>
      </c>
      <c r="N63" s="333"/>
      <c r="O63" s="333"/>
      <c r="P63" s="333"/>
      <c r="Q63" s="333"/>
    </row>
    <row r="64" spans="1:17" ht="10.5" customHeight="1" thickBot="1">
      <c r="A64" s="362" t="s">
        <v>175</v>
      </c>
      <c r="B64" s="363">
        <v>0</v>
      </c>
      <c r="C64" s="363">
        <v>0</v>
      </c>
      <c r="D64" s="363">
        <v>0</v>
      </c>
      <c r="E64" s="363">
        <v>0</v>
      </c>
      <c r="F64" s="363">
        <v>0</v>
      </c>
      <c r="G64" s="363">
        <v>0</v>
      </c>
      <c r="H64" s="364">
        <v>0</v>
      </c>
      <c r="I64" s="364">
        <v>0</v>
      </c>
      <c r="J64" s="364">
        <v>0</v>
      </c>
      <c r="K64" s="364">
        <v>0</v>
      </c>
      <c r="L64" s="364"/>
      <c r="N64" s="333"/>
      <c r="O64" s="333"/>
      <c r="P64" s="333"/>
      <c r="Q64" s="333"/>
    </row>
    <row r="65" spans="1:17" ht="24.75" customHeight="1" thickTop="1">
      <c r="A65" s="365"/>
      <c r="B65" s="366"/>
      <c r="C65" s="361"/>
      <c r="D65" s="361"/>
      <c r="E65" s="314"/>
      <c r="F65" s="314"/>
      <c r="J65" s="314"/>
      <c r="N65" s="333"/>
      <c r="O65" s="333"/>
      <c r="P65" s="333"/>
      <c r="Q65" s="333"/>
    </row>
    <row r="66" spans="1:17" s="310" customFormat="1" ht="27.75" customHeight="1">
      <c r="A66" s="304" t="s">
        <v>441</v>
      </c>
      <c r="B66" s="306"/>
      <c r="C66" s="306"/>
      <c r="D66" s="306"/>
      <c r="E66" s="306"/>
      <c r="F66" s="306"/>
      <c r="G66" s="306"/>
      <c r="H66" s="306"/>
      <c r="I66" s="306"/>
      <c r="J66" s="314"/>
      <c r="N66" s="333"/>
      <c r="O66" s="333"/>
      <c r="P66" s="333"/>
      <c r="Q66" s="333"/>
    </row>
    <row r="67" spans="1:17" ht="18" customHeight="1">
      <c r="A67" s="311" t="s">
        <v>5</v>
      </c>
      <c r="B67" s="367"/>
      <c r="C67" s="314"/>
      <c r="D67" s="314"/>
      <c r="E67" s="314"/>
      <c r="F67" s="314"/>
      <c r="J67" s="314"/>
      <c r="N67" s="333"/>
      <c r="O67" s="333"/>
      <c r="P67" s="333"/>
      <c r="Q67" s="333"/>
    </row>
    <row r="68" spans="1:17" ht="14" thickBot="1">
      <c r="A68" s="368"/>
      <c r="B68" s="367"/>
      <c r="C68" s="367"/>
      <c r="D68" s="367"/>
      <c r="E68" s="366"/>
      <c r="F68" s="369"/>
      <c r="G68" s="369"/>
      <c r="I68" s="318"/>
      <c r="K68" s="318"/>
      <c r="L68" s="318" t="s">
        <v>373</v>
      </c>
      <c r="N68" s="333"/>
      <c r="O68" s="333"/>
      <c r="P68" s="333"/>
      <c r="Q68" s="333"/>
    </row>
    <row r="69" spans="1:17" ht="14" thickTop="1">
      <c r="A69" s="319"/>
      <c r="B69" s="370">
        <v>1998</v>
      </c>
      <c r="C69" s="370">
        <v>1999</v>
      </c>
      <c r="D69" s="370">
        <v>2000</v>
      </c>
      <c r="E69" s="370">
        <v>2001</v>
      </c>
      <c r="F69" s="370">
        <v>2002</v>
      </c>
      <c r="G69" s="370">
        <v>2003</v>
      </c>
      <c r="H69" s="370">
        <v>2004</v>
      </c>
      <c r="I69" s="370">
        <v>2005</v>
      </c>
      <c r="J69" s="370">
        <v>2006</v>
      </c>
      <c r="K69" s="370">
        <v>2007</v>
      </c>
      <c r="L69" s="370">
        <v>2008</v>
      </c>
      <c r="N69" s="333"/>
      <c r="O69" s="333"/>
      <c r="P69" s="333"/>
      <c r="Q69" s="333"/>
    </row>
    <row r="70" spans="1:17" ht="11" customHeight="1">
      <c r="A70" s="323" t="s">
        <v>442</v>
      </c>
      <c r="B70" s="371"/>
      <c r="C70" s="371"/>
      <c r="D70" s="371"/>
      <c r="E70" s="371"/>
      <c r="F70" s="371"/>
      <c r="G70" s="371"/>
      <c r="H70" s="371"/>
      <c r="I70" s="371"/>
      <c r="J70" s="371"/>
      <c r="N70" s="333"/>
      <c r="O70" s="333"/>
      <c r="P70" s="333"/>
      <c r="Q70" s="333"/>
    </row>
    <row r="71" spans="1:17" ht="11" customHeight="1">
      <c r="A71" s="372" t="s">
        <v>443</v>
      </c>
      <c r="B71" s="354">
        <v>361078</v>
      </c>
      <c r="C71" s="354">
        <v>365250</v>
      </c>
      <c r="D71" s="354">
        <v>374374</v>
      </c>
      <c r="E71" s="354">
        <v>382356</v>
      </c>
      <c r="F71" s="354">
        <v>384594</v>
      </c>
      <c r="G71" s="354">
        <v>395475.21458089259</v>
      </c>
      <c r="H71" s="373">
        <v>391218.68770954566</v>
      </c>
      <c r="I71" s="373">
        <v>395382.84676819755</v>
      </c>
      <c r="J71" s="374">
        <v>393439.74485443806</v>
      </c>
      <c r="K71" s="374">
        <v>393184.3387592379</v>
      </c>
      <c r="L71" s="373">
        <v>385560.22494830529</v>
      </c>
      <c r="N71" s="333"/>
      <c r="O71" s="333"/>
      <c r="P71" s="333"/>
      <c r="Q71" s="333"/>
    </row>
    <row r="72" spans="1:17" ht="11" customHeight="1">
      <c r="A72" s="323" t="s">
        <v>132</v>
      </c>
      <c r="B72" s="329"/>
      <c r="C72" s="329"/>
      <c r="D72" s="329"/>
      <c r="E72" s="329"/>
      <c r="F72" s="329"/>
      <c r="G72" s="329"/>
      <c r="H72" s="330"/>
      <c r="I72" s="330"/>
      <c r="J72" s="330"/>
      <c r="N72" s="333"/>
      <c r="O72" s="333"/>
      <c r="P72" s="333"/>
      <c r="Q72" s="333"/>
    </row>
    <row r="73" spans="1:17" ht="11" customHeight="1">
      <c r="A73" s="323" t="s">
        <v>444</v>
      </c>
      <c r="B73" s="346">
        <v>103723</v>
      </c>
      <c r="C73" s="346">
        <v>99564</v>
      </c>
      <c r="D73" s="346">
        <v>89394</v>
      </c>
      <c r="E73" s="346">
        <v>93307</v>
      </c>
      <c r="F73" s="346">
        <v>91776</v>
      </c>
      <c r="G73" s="346">
        <v>91253.964908959999</v>
      </c>
      <c r="H73" s="353">
        <v>83906.905642214726</v>
      </c>
      <c r="I73" s="353">
        <v>85444.00284311999</v>
      </c>
      <c r="J73" s="351">
        <v>79143.956190527242</v>
      </c>
      <c r="K73" s="350">
        <v>70740.758491935005</v>
      </c>
      <c r="L73" s="351">
        <v>62066.923510424007</v>
      </c>
      <c r="N73" s="333"/>
      <c r="O73" s="332"/>
      <c r="P73" s="332"/>
      <c r="Q73" s="333"/>
    </row>
    <row r="74" spans="1:17" ht="11" customHeight="1">
      <c r="A74" s="328" t="s">
        <v>445</v>
      </c>
      <c r="B74" s="329">
        <v>99486</v>
      </c>
      <c r="C74" s="329">
        <v>95133</v>
      </c>
      <c r="D74" s="329">
        <v>85063</v>
      </c>
      <c r="E74" s="329">
        <v>90093</v>
      </c>
      <c r="F74" s="329">
        <v>87848</v>
      </c>
      <c r="G74" s="329">
        <v>88686.265908960006</v>
      </c>
      <c r="H74" s="330">
        <v>79999.105642214723</v>
      </c>
      <c r="I74" s="330">
        <v>81618.102843119996</v>
      </c>
      <c r="J74" s="333">
        <v>75450.656932527243</v>
      </c>
      <c r="K74" s="333">
        <v>63028.342696935004</v>
      </c>
      <c r="L74" s="333">
        <v>52485.808334757006</v>
      </c>
      <c r="N74" s="333"/>
      <c r="O74" s="333"/>
      <c r="P74" s="333"/>
      <c r="Q74" s="333"/>
    </row>
    <row r="75" spans="1:17" ht="11" customHeight="1">
      <c r="A75" s="328" t="s">
        <v>446</v>
      </c>
      <c r="B75" s="329">
        <v>4237</v>
      </c>
      <c r="C75" s="329">
        <v>4431</v>
      </c>
      <c r="D75" s="329">
        <v>4331</v>
      </c>
      <c r="E75" s="329">
        <v>3215</v>
      </c>
      <c r="F75" s="329">
        <v>3927</v>
      </c>
      <c r="G75" s="329">
        <v>2523.4169999999999</v>
      </c>
      <c r="H75" s="330">
        <v>3772.9229999999998</v>
      </c>
      <c r="I75" s="330">
        <v>3636.5909999999999</v>
      </c>
      <c r="J75" s="333">
        <v>3481.4458</v>
      </c>
      <c r="K75" s="333">
        <v>3906.0243</v>
      </c>
      <c r="L75" s="333">
        <v>3970.6443829999994</v>
      </c>
      <c r="N75" s="333"/>
      <c r="O75" s="333"/>
      <c r="P75" s="332"/>
      <c r="Q75" s="333"/>
    </row>
    <row r="76" spans="1:17" ht="11" customHeight="1">
      <c r="A76" s="328" t="s">
        <v>447</v>
      </c>
      <c r="B76" s="329" t="s">
        <v>264</v>
      </c>
      <c r="C76" s="329" t="s">
        <v>264</v>
      </c>
      <c r="D76" s="329" t="s">
        <v>264</v>
      </c>
      <c r="E76" s="329" t="s">
        <v>264</v>
      </c>
      <c r="F76" s="329" t="s">
        <v>448</v>
      </c>
      <c r="G76" s="329">
        <v>44.281999999999996</v>
      </c>
      <c r="H76" s="330">
        <v>134.87700000000001</v>
      </c>
      <c r="I76" s="330">
        <v>189.309</v>
      </c>
      <c r="J76" s="333">
        <v>211.85345800000002</v>
      </c>
      <c r="K76" s="333">
        <v>237.55471</v>
      </c>
      <c r="L76" s="333">
        <v>253.16842419999998</v>
      </c>
      <c r="N76" s="333"/>
      <c r="O76" s="333"/>
      <c r="P76" s="333"/>
      <c r="Q76" s="333"/>
    </row>
    <row r="77" spans="1:17" ht="11" customHeight="1">
      <c r="A77" s="328" t="s">
        <v>449</v>
      </c>
      <c r="B77" s="329">
        <v>0</v>
      </c>
      <c r="C77" s="329">
        <v>0</v>
      </c>
      <c r="D77" s="329">
        <v>0</v>
      </c>
      <c r="E77" s="329">
        <v>0</v>
      </c>
      <c r="F77" s="329">
        <v>0</v>
      </c>
      <c r="G77" s="329">
        <v>0</v>
      </c>
      <c r="H77" s="330">
        <v>0</v>
      </c>
      <c r="I77" s="330">
        <v>0</v>
      </c>
      <c r="J77" s="333">
        <v>0</v>
      </c>
      <c r="K77" s="332">
        <v>3568.836785</v>
      </c>
      <c r="L77" s="333">
        <v>5357.3023684669988</v>
      </c>
      <c r="N77" s="333"/>
      <c r="O77" s="333"/>
      <c r="P77" s="333"/>
      <c r="Q77" s="333"/>
    </row>
    <row r="78" spans="1:17" ht="11" customHeight="1">
      <c r="A78" s="345" t="s">
        <v>450</v>
      </c>
      <c r="B78" s="347">
        <v>1757</v>
      </c>
      <c r="C78" s="347">
        <v>1756</v>
      </c>
      <c r="D78" s="347">
        <v>1701</v>
      </c>
      <c r="E78" s="347">
        <v>1805</v>
      </c>
      <c r="F78" s="347">
        <v>2119</v>
      </c>
      <c r="G78" s="347">
        <v>1948.26424288</v>
      </c>
      <c r="H78" s="348">
        <v>2875.3148679999999</v>
      </c>
      <c r="I78" s="348">
        <v>4007.6876100000009</v>
      </c>
      <c r="J78" s="348">
        <v>5135.6080887905991</v>
      </c>
      <c r="K78" s="349">
        <v>2663.8500299999996</v>
      </c>
      <c r="L78" s="348">
        <v>2700.9290995199999</v>
      </c>
      <c r="N78" s="333"/>
      <c r="O78" s="333"/>
      <c r="P78" s="333"/>
      <c r="Q78" s="333"/>
    </row>
    <row r="79" spans="1:17" ht="11" customHeight="1">
      <c r="A79" s="328" t="s">
        <v>445</v>
      </c>
      <c r="B79" s="329">
        <v>0</v>
      </c>
      <c r="C79" s="329">
        <v>0</v>
      </c>
      <c r="D79" s="329">
        <v>0</v>
      </c>
      <c r="E79" s="329">
        <v>0</v>
      </c>
      <c r="F79" s="329">
        <v>0</v>
      </c>
      <c r="G79" s="329">
        <v>0</v>
      </c>
      <c r="H79" s="330">
        <v>0</v>
      </c>
      <c r="I79" s="330">
        <v>0</v>
      </c>
      <c r="J79" s="330">
        <v>0</v>
      </c>
      <c r="K79" s="330">
        <v>0</v>
      </c>
      <c r="L79" s="330">
        <v>0</v>
      </c>
      <c r="N79" s="333"/>
      <c r="O79" s="333"/>
      <c r="P79" s="333"/>
      <c r="Q79" s="333"/>
    </row>
    <row r="80" spans="1:17" ht="11" customHeight="1">
      <c r="A80" s="328" t="s">
        <v>451</v>
      </c>
      <c r="B80" s="329">
        <v>674</v>
      </c>
      <c r="C80" s="329">
        <v>698</v>
      </c>
      <c r="D80" s="329">
        <v>540</v>
      </c>
      <c r="E80" s="329">
        <v>630</v>
      </c>
      <c r="F80" s="329">
        <v>657</v>
      </c>
      <c r="G80" s="329">
        <v>561.26700000000005</v>
      </c>
      <c r="H80" s="330">
        <v>788.37699999999995</v>
      </c>
      <c r="I80" s="330">
        <v>841.1</v>
      </c>
      <c r="J80" s="330">
        <v>634.10599999999999</v>
      </c>
      <c r="K80" s="330">
        <v>647.96900000000005</v>
      </c>
      <c r="L80" s="330">
        <v>629.29</v>
      </c>
      <c r="N80" s="333"/>
      <c r="O80" s="333"/>
      <c r="P80" s="333"/>
      <c r="Q80" s="333"/>
    </row>
    <row r="81" spans="1:17" ht="11" customHeight="1">
      <c r="A81" s="328" t="s">
        <v>447</v>
      </c>
      <c r="B81" s="329">
        <v>206</v>
      </c>
      <c r="C81" s="329">
        <v>207</v>
      </c>
      <c r="D81" s="329">
        <v>214</v>
      </c>
      <c r="E81" s="329">
        <v>210</v>
      </c>
      <c r="F81" s="329" t="s">
        <v>452</v>
      </c>
      <c r="G81" s="329">
        <v>98.703000000000003</v>
      </c>
      <c r="H81" s="330">
        <v>147.82300000000001</v>
      </c>
      <c r="I81" s="330">
        <v>254.49100000000001</v>
      </c>
      <c r="J81" s="330">
        <v>265.74948839059988</v>
      </c>
      <c r="K81" s="330">
        <v>296.84633000000002</v>
      </c>
      <c r="L81" s="330">
        <v>314.6890995199999</v>
      </c>
      <c r="N81" s="333"/>
      <c r="O81" s="333"/>
      <c r="P81" s="333"/>
      <c r="Q81" s="333"/>
    </row>
    <row r="82" spans="1:17" ht="11" customHeight="1">
      <c r="A82" s="328" t="s">
        <v>453</v>
      </c>
      <c r="B82" s="329">
        <v>877</v>
      </c>
      <c r="C82" s="329">
        <v>851</v>
      </c>
      <c r="D82" s="329">
        <v>947</v>
      </c>
      <c r="E82" s="329">
        <v>965</v>
      </c>
      <c r="F82" s="329">
        <v>1259</v>
      </c>
      <c r="G82" s="329">
        <v>1288.29424288</v>
      </c>
      <c r="H82" s="330">
        <v>1939.1148680000001</v>
      </c>
      <c r="I82" s="330">
        <v>2912.0966100000005</v>
      </c>
      <c r="J82" s="330">
        <v>4235.7526003999992</v>
      </c>
      <c r="K82" s="331">
        <v>1719.0346999999992</v>
      </c>
      <c r="L82" s="330">
        <v>1756.95</v>
      </c>
      <c r="N82" s="333"/>
      <c r="O82" s="333"/>
      <c r="P82" s="333"/>
      <c r="Q82" s="333"/>
    </row>
    <row r="83" spans="1:17" ht="11" customHeight="1">
      <c r="A83" s="345" t="s">
        <v>454</v>
      </c>
      <c r="B83" s="347"/>
      <c r="C83" s="347"/>
      <c r="D83" s="347"/>
      <c r="E83" s="347"/>
      <c r="F83" s="347"/>
      <c r="G83" s="347"/>
      <c r="H83" s="348"/>
      <c r="I83" s="348"/>
      <c r="J83" s="348"/>
      <c r="K83" s="375"/>
      <c r="L83" s="375"/>
      <c r="N83" s="333"/>
      <c r="O83" s="333"/>
      <c r="P83" s="333"/>
      <c r="Q83" s="333"/>
    </row>
    <row r="84" spans="1:17" ht="11" customHeight="1">
      <c r="A84" s="323" t="s">
        <v>444</v>
      </c>
      <c r="B84" s="346">
        <v>228417</v>
      </c>
      <c r="C84" s="346">
        <v>234142</v>
      </c>
      <c r="D84" s="346">
        <v>249695</v>
      </c>
      <c r="E84" s="346">
        <v>257328</v>
      </c>
      <c r="F84" s="346">
        <v>259566</v>
      </c>
      <c r="G84" s="346">
        <v>268612.48844193254</v>
      </c>
      <c r="H84" s="353">
        <v>271757.74328143988</v>
      </c>
      <c r="I84" s="353">
        <v>273838.37128507759</v>
      </c>
      <c r="J84" s="360">
        <v>278235.50677552022</v>
      </c>
      <c r="K84" s="360">
        <v>286810.01516630291</v>
      </c>
      <c r="L84" s="353">
        <v>289128.37003453728</v>
      </c>
      <c r="N84" s="333"/>
      <c r="O84" s="333"/>
      <c r="P84" s="333"/>
      <c r="Q84" s="333"/>
    </row>
    <row r="85" spans="1:17" ht="11" customHeight="1">
      <c r="A85" s="328" t="s">
        <v>455</v>
      </c>
      <c r="B85" s="329">
        <v>118595</v>
      </c>
      <c r="C85" s="329">
        <v>102074</v>
      </c>
      <c r="D85" s="329">
        <v>117025</v>
      </c>
      <c r="E85" s="329">
        <v>127128</v>
      </c>
      <c r="F85" s="329">
        <v>120958</v>
      </c>
      <c r="G85" s="329">
        <v>134023.27733377001</v>
      </c>
      <c r="H85" s="330">
        <v>127826.56739997381</v>
      </c>
      <c r="I85" s="330">
        <v>130894.12502656282</v>
      </c>
      <c r="J85" s="331">
        <v>145311.14019007739</v>
      </c>
      <c r="K85" s="331">
        <v>132675.3202097828</v>
      </c>
      <c r="L85" s="330">
        <v>121251.34408201941</v>
      </c>
      <c r="N85" s="333"/>
      <c r="O85" s="333"/>
      <c r="P85" s="333"/>
      <c r="Q85" s="333"/>
    </row>
    <row r="86" spans="1:17" ht="11" customHeight="1">
      <c r="A86" s="328" t="s">
        <v>456</v>
      </c>
      <c r="B86" s="329">
        <v>3442</v>
      </c>
      <c r="C86" s="329">
        <v>2943</v>
      </c>
      <c r="D86" s="329">
        <v>2415</v>
      </c>
      <c r="E86" s="329">
        <v>2472</v>
      </c>
      <c r="F86" s="329">
        <v>2011</v>
      </c>
      <c r="G86" s="329">
        <v>2197.1121243455473</v>
      </c>
      <c r="H86" s="330">
        <v>1882.7795449292664</v>
      </c>
      <c r="I86" s="330">
        <v>2715.9101354587806</v>
      </c>
      <c r="J86" s="331">
        <v>3358.643967753716</v>
      </c>
      <c r="K86" s="331">
        <v>2400.7626921524643</v>
      </c>
      <c r="L86" s="330">
        <v>3666.9736194967227</v>
      </c>
      <c r="N86" s="333"/>
      <c r="O86" s="333"/>
      <c r="P86" s="333"/>
      <c r="Q86" s="333"/>
    </row>
    <row r="87" spans="1:17" ht="11" customHeight="1">
      <c r="A87" s="328" t="s">
        <v>457</v>
      </c>
      <c r="B87" s="329">
        <v>105804</v>
      </c>
      <c r="C87" s="329">
        <v>128365</v>
      </c>
      <c r="D87" s="329">
        <v>129558</v>
      </c>
      <c r="E87" s="329">
        <v>126999</v>
      </c>
      <c r="F87" s="329">
        <v>135741</v>
      </c>
      <c r="G87" s="329">
        <v>131237.87312454908</v>
      </c>
      <c r="H87" s="330">
        <v>140576.96700778682</v>
      </c>
      <c r="I87" s="330">
        <v>137482.74212305597</v>
      </c>
      <c r="J87" s="330">
        <v>126637.23964240288</v>
      </c>
      <c r="K87" s="330">
        <v>149345.94597440778</v>
      </c>
      <c r="L87" s="330">
        <v>161578.75647814601</v>
      </c>
      <c r="N87" s="333"/>
      <c r="O87" s="333"/>
      <c r="P87" s="333"/>
      <c r="Q87" s="333"/>
    </row>
    <row r="88" spans="1:17" ht="11" customHeight="1">
      <c r="A88" s="328" t="s">
        <v>458</v>
      </c>
      <c r="B88" s="329">
        <v>576</v>
      </c>
      <c r="C88" s="329">
        <v>760</v>
      </c>
      <c r="D88" s="329">
        <v>698</v>
      </c>
      <c r="E88" s="329">
        <v>729</v>
      </c>
      <c r="F88" s="329">
        <v>856</v>
      </c>
      <c r="G88" s="329">
        <v>1154.2258592679364</v>
      </c>
      <c r="H88" s="330">
        <v>1471.4293287500002</v>
      </c>
      <c r="I88" s="330">
        <v>2745.5940000000005</v>
      </c>
      <c r="J88" s="331">
        <v>2928.4829752862515</v>
      </c>
      <c r="K88" s="331">
        <v>2387.9862899598402</v>
      </c>
      <c r="L88" s="330">
        <v>2631.2958548751403</v>
      </c>
      <c r="N88" s="333"/>
      <c r="O88" s="333"/>
      <c r="P88" s="333"/>
      <c r="Q88" s="333"/>
    </row>
    <row r="89" spans="1:17" ht="11" customHeight="1">
      <c r="A89" s="328" t="s">
        <v>459</v>
      </c>
      <c r="B89" s="329">
        <v>0</v>
      </c>
      <c r="C89" s="329">
        <v>0</v>
      </c>
      <c r="D89" s="329">
        <v>0</v>
      </c>
      <c r="E89" s="329">
        <v>0</v>
      </c>
      <c r="F89" s="329">
        <v>0</v>
      </c>
      <c r="G89" s="329">
        <v>0</v>
      </c>
      <c r="H89" s="330">
        <v>0</v>
      </c>
      <c r="I89" s="330">
        <v>0</v>
      </c>
      <c r="J89" s="330">
        <v>0</v>
      </c>
      <c r="K89" s="330">
        <v>0</v>
      </c>
      <c r="L89" s="330">
        <v>0</v>
      </c>
      <c r="N89" s="333"/>
      <c r="O89" s="333"/>
      <c r="P89" s="333"/>
      <c r="Q89" s="333"/>
    </row>
    <row r="90" spans="1:17" ht="11" customHeight="1">
      <c r="A90" s="345" t="s">
        <v>450</v>
      </c>
      <c r="B90" s="347">
        <v>27181</v>
      </c>
      <c r="C90" s="347">
        <v>29788</v>
      </c>
      <c r="D90" s="347">
        <v>33584</v>
      </c>
      <c r="E90" s="347">
        <v>29915</v>
      </c>
      <c r="F90" s="347">
        <v>31133</v>
      </c>
      <c r="G90" s="347">
        <v>33660.496987120001</v>
      </c>
      <c r="H90" s="348">
        <v>32678.723917891028</v>
      </c>
      <c r="I90" s="348">
        <v>32092.785029999995</v>
      </c>
      <c r="J90" s="349">
        <v>30924.673799600012</v>
      </c>
      <c r="K90" s="349">
        <v>32969.715071000006</v>
      </c>
      <c r="L90" s="348">
        <v>31664.002303824</v>
      </c>
      <c r="N90" s="333"/>
      <c r="O90" s="333"/>
      <c r="P90" s="333"/>
      <c r="Q90" s="333"/>
    </row>
    <row r="91" spans="1:17" ht="11" customHeight="1">
      <c r="A91" s="328" t="s">
        <v>455</v>
      </c>
      <c r="B91" s="329">
        <v>4376</v>
      </c>
      <c r="C91" s="329">
        <v>4106</v>
      </c>
      <c r="D91" s="329">
        <v>2925</v>
      </c>
      <c r="E91" s="329">
        <v>4333</v>
      </c>
      <c r="F91" s="329">
        <v>3321</v>
      </c>
      <c r="G91" s="329">
        <v>4281.7669999999998</v>
      </c>
      <c r="H91" s="330">
        <v>3961.076</v>
      </c>
      <c r="I91" s="330">
        <v>3947.0029999999997</v>
      </c>
      <c r="J91" s="331">
        <v>3902.5950000000003</v>
      </c>
      <c r="K91" s="331">
        <v>3869.7619999999997</v>
      </c>
      <c r="L91" s="330">
        <v>4063.2869000000001</v>
      </c>
      <c r="N91" s="333"/>
      <c r="O91" s="333"/>
      <c r="P91" s="333"/>
      <c r="Q91" s="333"/>
    </row>
    <row r="92" spans="1:17" ht="11" customHeight="1">
      <c r="A92" s="328" t="s">
        <v>456</v>
      </c>
      <c r="B92" s="329">
        <v>3913</v>
      </c>
      <c r="C92" s="329">
        <v>3606</v>
      </c>
      <c r="D92" s="329">
        <v>4109</v>
      </c>
      <c r="E92" s="329">
        <v>2781</v>
      </c>
      <c r="F92" s="329">
        <v>2788</v>
      </c>
      <c r="G92" s="329">
        <v>2397.319676267377</v>
      </c>
      <c r="H92" s="330">
        <v>2761.3800951661628</v>
      </c>
      <c r="I92" s="330">
        <v>2416.9940900000001</v>
      </c>
      <c r="J92" s="331">
        <v>2450.3803648934645</v>
      </c>
      <c r="K92" s="331">
        <v>2331.1226537924636</v>
      </c>
      <c r="L92" s="330">
        <v>2434.0878562624562</v>
      </c>
      <c r="N92" s="333"/>
      <c r="O92" s="333"/>
      <c r="P92" s="333"/>
      <c r="Q92" s="333"/>
    </row>
    <row r="93" spans="1:17" ht="11" customHeight="1">
      <c r="A93" s="328" t="s">
        <v>457</v>
      </c>
      <c r="B93" s="329">
        <v>11994</v>
      </c>
      <c r="C93" s="329">
        <v>14537</v>
      </c>
      <c r="D93" s="329">
        <v>18519</v>
      </c>
      <c r="E93" s="329">
        <v>14906</v>
      </c>
      <c r="F93" s="329">
        <v>16536</v>
      </c>
      <c r="G93" s="329">
        <v>17643.475185891035</v>
      </c>
      <c r="H93" s="330">
        <v>16487.340785891032</v>
      </c>
      <c r="I93" s="330">
        <v>15159.249</v>
      </c>
      <c r="J93" s="331">
        <v>14190.624374695259</v>
      </c>
      <c r="K93" s="331">
        <v>16437.823011263517</v>
      </c>
      <c r="L93" s="330">
        <v>15170.196937211573</v>
      </c>
      <c r="N93" s="333"/>
      <c r="O93" s="333"/>
      <c r="P93" s="333"/>
      <c r="Q93" s="333"/>
    </row>
    <row r="94" spans="1:17" ht="11" customHeight="1">
      <c r="A94" s="328" t="s">
        <v>458</v>
      </c>
      <c r="B94" s="329">
        <v>2661</v>
      </c>
      <c r="C94" s="329">
        <v>3227</v>
      </c>
      <c r="D94" s="329">
        <v>3630</v>
      </c>
      <c r="E94" s="329">
        <v>4318</v>
      </c>
      <c r="F94" s="329">
        <v>4769</v>
      </c>
      <c r="G94" s="329">
        <v>5537.4619871200011</v>
      </c>
      <c r="H94" s="330">
        <v>6407.0661319999981</v>
      </c>
      <c r="I94" s="330">
        <v>6893.6605899999959</v>
      </c>
      <c r="J94" s="331">
        <v>7009.668099600005</v>
      </c>
      <c r="K94" s="331">
        <v>7588.9023000000025</v>
      </c>
      <c r="L94" s="330">
        <v>7703.5211838240002</v>
      </c>
      <c r="N94" s="333"/>
      <c r="O94" s="333"/>
      <c r="P94" s="333"/>
      <c r="Q94" s="333"/>
    </row>
    <row r="95" spans="1:17" ht="11" customHeight="1" thickBot="1">
      <c r="A95" s="328" t="s">
        <v>459</v>
      </c>
      <c r="B95" s="329">
        <v>4237</v>
      </c>
      <c r="C95" s="329">
        <v>4312</v>
      </c>
      <c r="D95" s="329">
        <v>4401</v>
      </c>
      <c r="E95" s="329">
        <v>3577</v>
      </c>
      <c r="F95" s="329">
        <v>3719</v>
      </c>
      <c r="G95" s="329">
        <v>3800.4731378415877</v>
      </c>
      <c r="H95" s="330">
        <v>3061.8609048338367</v>
      </c>
      <c r="I95" s="330">
        <v>3675.8783499999995</v>
      </c>
      <c r="J95" s="331">
        <v>3371.4059604112795</v>
      </c>
      <c r="K95" s="331">
        <v>2742.1051059440215</v>
      </c>
      <c r="L95" s="330">
        <v>2292.9094265259737</v>
      </c>
      <c r="N95" s="333"/>
      <c r="O95" s="333"/>
      <c r="P95" s="333"/>
      <c r="Q95" s="333"/>
    </row>
    <row r="96" spans="1:17" ht="11" customHeight="1" thickTop="1" thickBot="1">
      <c r="A96" s="376"/>
      <c r="B96" s="377"/>
      <c r="C96" s="377"/>
      <c r="D96" s="377"/>
      <c r="E96" s="377"/>
      <c r="F96" s="377"/>
      <c r="G96" s="377"/>
      <c r="H96" s="378"/>
      <c r="I96" s="378"/>
      <c r="J96" s="378"/>
      <c r="K96" s="379"/>
      <c r="L96" s="379"/>
      <c r="N96" s="333"/>
      <c r="O96" s="333"/>
      <c r="P96" s="333"/>
      <c r="Q96" s="333"/>
    </row>
    <row r="97" spans="1:17" s="340" customFormat="1" ht="11" customHeight="1" thickTop="1">
      <c r="A97" s="380" t="s">
        <v>460</v>
      </c>
      <c r="B97" s="381"/>
      <c r="C97" s="381"/>
      <c r="D97" s="381"/>
      <c r="E97" s="381"/>
      <c r="F97" s="381"/>
      <c r="G97" s="381"/>
      <c r="H97" s="382"/>
      <c r="I97" s="382"/>
      <c r="J97" s="382"/>
      <c r="N97" s="333"/>
      <c r="O97" s="333"/>
      <c r="P97" s="333"/>
      <c r="Q97" s="333"/>
    </row>
    <row r="98" spans="1:17" ht="11" customHeight="1">
      <c r="A98" s="328" t="s">
        <v>0</v>
      </c>
      <c r="B98" s="329">
        <v>99486</v>
      </c>
      <c r="C98" s="329">
        <v>95133</v>
      </c>
      <c r="D98" s="329">
        <v>85063</v>
      </c>
      <c r="E98" s="329">
        <v>90093</v>
      </c>
      <c r="F98" s="329">
        <v>87848</v>
      </c>
      <c r="G98" s="329">
        <v>88686.265908960006</v>
      </c>
      <c r="H98" s="330">
        <v>79999.105642214723</v>
      </c>
      <c r="I98" s="330">
        <v>81618.102843119996</v>
      </c>
      <c r="J98" s="330">
        <v>75450.656932527199</v>
      </c>
      <c r="K98" s="330">
        <v>63028.342696935004</v>
      </c>
      <c r="L98" s="330">
        <v>52485.808334757006</v>
      </c>
      <c r="N98" s="333"/>
      <c r="O98" s="333"/>
      <c r="P98" s="333"/>
      <c r="Q98" s="333"/>
    </row>
    <row r="99" spans="1:17" ht="11" customHeight="1">
      <c r="A99" s="328" t="s">
        <v>19</v>
      </c>
      <c r="B99" s="329">
        <v>5117</v>
      </c>
      <c r="C99" s="329">
        <v>5336</v>
      </c>
      <c r="D99" s="329">
        <v>5085</v>
      </c>
      <c r="E99" s="329">
        <v>4055</v>
      </c>
      <c r="F99" s="329">
        <v>4788</v>
      </c>
      <c r="G99" s="329">
        <v>3227.6690000000003</v>
      </c>
      <c r="H99" s="330">
        <v>4844</v>
      </c>
      <c r="I99" s="330">
        <v>4921.491</v>
      </c>
      <c r="J99" s="330">
        <v>4593.1547463905999</v>
      </c>
      <c r="K99" s="330">
        <v>5088.3943400000007</v>
      </c>
      <c r="L99" s="330">
        <v>5167.7919067199991</v>
      </c>
      <c r="N99" s="333"/>
      <c r="O99" s="333"/>
      <c r="P99" s="333"/>
      <c r="Q99" s="333"/>
    </row>
    <row r="100" spans="1:17" ht="11" customHeight="1">
      <c r="A100" s="328" t="s">
        <v>461</v>
      </c>
      <c r="B100" s="329">
        <v>877</v>
      </c>
      <c r="C100" s="329">
        <v>851</v>
      </c>
      <c r="D100" s="329">
        <v>947</v>
      </c>
      <c r="E100" s="329">
        <v>965</v>
      </c>
      <c r="F100" s="329">
        <v>1259</v>
      </c>
      <c r="G100" s="329">
        <v>1288.29424288</v>
      </c>
      <c r="H100" s="330">
        <v>1939.1148680000001</v>
      </c>
      <c r="I100" s="330">
        <v>2912.0966100000005</v>
      </c>
      <c r="J100" s="330">
        <v>4235.7526003999992</v>
      </c>
      <c r="K100" s="331">
        <v>5287.8714849999997</v>
      </c>
      <c r="L100" s="330">
        <v>7114.2523684669986</v>
      </c>
      <c r="N100" s="333"/>
      <c r="O100" s="333"/>
      <c r="P100" s="333"/>
      <c r="Q100" s="333"/>
    </row>
    <row r="101" spans="1:17" ht="11" customHeight="1">
      <c r="A101" s="328" t="s">
        <v>126</v>
      </c>
      <c r="B101" s="329">
        <v>122971</v>
      </c>
      <c r="C101" s="329">
        <v>106180</v>
      </c>
      <c r="D101" s="329">
        <v>119950</v>
      </c>
      <c r="E101" s="329">
        <v>131461</v>
      </c>
      <c r="F101" s="329">
        <v>124279</v>
      </c>
      <c r="G101" s="329">
        <v>138305.04433377</v>
      </c>
      <c r="H101" s="330">
        <v>131787.64339997381</v>
      </c>
      <c r="I101" s="330">
        <v>134841.12802656283</v>
      </c>
      <c r="J101" s="331">
        <v>149213.73519007739</v>
      </c>
      <c r="K101" s="330">
        <v>136545.08220978279</v>
      </c>
      <c r="L101" s="330">
        <v>125314.63098201941</v>
      </c>
      <c r="N101" s="333"/>
      <c r="O101" s="333"/>
      <c r="P101" s="333"/>
      <c r="Q101" s="333"/>
    </row>
    <row r="102" spans="1:17" ht="11" customHeight="1">
      <c r="A102" s="328" t="s">
        <v>187</v>
      </c>
      <c r="B102" s="329">
        <v>7355</v>
      </c>
      <c r="C102" s="329">
        <v>6549</v>
      </c>
      <c r="D102" s="329">
        <v>6524</v>
      </c>
      <c r="E102" s="329">
        <v>5253</v>
      </c>
      <c r="F102" s="329">
        <v>4799</v>
      </c>
      <c r="G102" s="329">
        <v>4594.4318006129242</v>
      </c>
      <c r="H102" s="330">
        <v>4644.1596400954295</v>
      </c>
      <c r="I102" s="330">
        <v>5132.9042254587803</v>
      </c>
      <c r="J102" s="331">
        <v>5809.0243326471809</v>
      </c>
      <c r="K102" s="331">
        <v>4731.8853459449274</v>
      </c>
      <c r="L102" s="330">
        <v>6101.0614757591793</v>
      </c>
      <c r="N102" s="333"/>
      <c r="O102" s="333"/>
      <c r="P102" s="333"/>
      <c r="Q102" s="333"/>
    </row>
    <row r="103" spans="1:17" ht="11" customHeight="1">
      <c r="A103" s="328" t="s">
        <v>14</v>
      </c>
      <c r="B103" s="329">
        <v>117798</v>
      </c>
      <c r="C103" s="329">
        <v>142902</v>
      </c>
      <c r="D103" s="329">
        <v>148077</v>
      </c>
      <c r="E103" s="329">
        <v>141905</v>
      </c>
      <c r="F103" s="329">
        <v>152277</v>
      </c>
      <c r="G103" s="329">
        <v>148881.34831044011</v>
      </c>
      <c r="H103" s="330">
        <v>157064.30779367784</v>
      </c>
      <c r="I103" s="330">
        <v>152641.99112305598</v>
      </c>
      <c r="J103" s="331">
        <v>140827.86401709815</v>
      </c>
      <c r="K103" s="331">
        <v>165783.76898567128</v>
      </c>
      <c r="L103" s="330">
        <v>176748.9534153576</v>
      </c>
      <c r="N103" s="333"/>
      <c r="O103" s="333"/>
      <c r="P103" s="333"/>
      <c r="Q103" s="333"/>
    </row>
    <row r="104" spans="1:17" ht="11" customHeight="1">
      <c r="A104" s="328" t="s">
        <v>462</v>
      </c>
      <c r="B104" s="329">
        <v>3237</v>
      </c>
      <c r="C104" s="329">
        <v>3987</v>
      </c>
      <c r="D104" s="329">
        <v>4328</v>
      </c>
      <c r="E104" s="329">
        <v>5048</v>
      </c>
      <c r="F104" s="329">
        <v>5625</v>
      </c>
      <c r="G104" s="329">
        <v>6691.6878463879375</v>
      </c>
      <c r="H104" s="330">
        <v>7878.4954607499985</v>
      </c>
      <c r="I104" s="330">
        <v>9639.2545899999968</v>
      </c>
      <c r="J104" s="331">
        <v>9938.1510748862565</v>
      </c>
      <c r="K104" s="331">
        <v>9976.8885899598426</v>
      </c>
      <c r="L104" s="330">
        <v>10334.817038699141</v>
      </c>
      <c r="N104" s="333"/>
      <c r="O104" s="333"/>
      <c r="P104" s="333"/>
      <c r="Q104" s="333"/>
    </row>
    <row r="105" spans="1:17" ht="11" customHeight="1">
      <c r="A105" s="328" t="s">
        <v>114</v>
      </c>
      <c r="B105" s="329">
        <v>4237</v>
      </c>
      <c r="C105" s="329">
        <v>4312</v>
      </c>
      <c r="D105" s="329">
        <v>4401</v>
      </c>
      <c r="E105" s="329">
        <v>3577</v>
      </c>
      <c r="F105" s="329">
        <v>3719</v>
      </c>
      <c r="G105" s="329">
        <v>3800.4731378415877</v>
      </c>
      <c r="H105" s="330">
        <v>3061.8609048338367</v>
      </c>
      <c r="I105" s="330">
        <v>3675.8783499999995</v>
      </c>
      <c r="J105" s="331">
        <v>3371.4059604112795</v>
      </c>
      <c r="K105" s="331">
        <v>2742.1051059440215</v>
      </c>
      <c r="L105" s="330">
        <v>2292.9094265259737</v>
      </c>
      <c r="N105" s="333"/>
      <c r="O105" s="333"/>
      <c r="P105" s="333"/>
      <c r="Q105" s="333"/>
    </row>
    <row r="106" spans="1:17" s="340" customFormat="1" ht="11.25" customHeight="1" thickBot="1">
      <c r="A106" s="383" t="s">
        <v>463</v>
      </c>
      <c r="B106" s="384">
        <v>361078</v>
      </c>
      <c r="C106" s="384">
        <v>365250</v>
      </c>
      <c r="D106" s="384">
        <v>374375</v>
      </c>
      <c r="E106" s="384">
        <v>382356</v>
      </c>
      <c r="F106" s="384">
        <v>384594</v>
      </c>
      <c r="G106" s="384">
        <v>395475.21458089253</v>
      </c>
      <c r="H106" s="385">
        <v>391218.68770954566</v>
      </c>
      <c r="I106" s="385">
        <v>395382.8467681976</v>
      </c>
      <c r="J106" s="386">
        <v>393439.74485443818</v>
      </c>
      <c r="K106" s="386">
        <v>393184.33875923784</v>
      </c>
      <c r="L106" s="385">
        <v>385560.22494830535</v>
      </c>
      <c r="N106" s="333"/>
      <c r="O106" s="333"/>
      <c r="P106" s="333"/>
      <c r="Q106" s="333"/>
    </row>
    <row r="107" spans="1:17" ht="6" customHeight="1" thickTop="1">
      <c r="A107" s="387"/>
      <c r="B107" s="334"/>
      <c r="C107" s="334"/>
      <c r="D107" s="334"/>
      <c r="E107" s="334"/>
      <c r="N107" s="333"/>
      <c r="O107" s="333"/>
      <c r="P107" s="333"/>
      <c r="Q107" s="333"/>
    </row>
    <row r="108" spans="1:17" s="306" customFormat="1" ht="10.5" customHeight="1">
      <c r="A108" s="388" t="s">
        <v>464</v>
      </c>
      <c r="B108" s="328"/>
      <c r="C108" s="328"/>
      <c r="E108" s="389"/>
      <c r="G108" s="389"/>
      <c r="N108" s="333"/>
      <c r="O108" s="333"/>
      <c r="P108" s="333"/>
      <c r="Q108" s="333"/>
    </row>
    <row r="109" spans="1:17" s="306" customFormat="1" ht="10.5" customHeight="1">
      <c r="A109" s="388" t="s">
        <v>465</v>
      </c>
      <c r="B109" s="328"/>
      <c r="C109" s="328"/>
      <c r="E109" s="328"/>
      <c r="G109" s="328"/>
    </row>
    <row r="110" spans="1:17" s="310" customFormat="1" ht="10.5" customHeight="1">
      <c r="A110" s="388" t="s">
        <v>466</v>
      </c>
      <c r="B110" s="390"/>
      <c r="C110" s="390"/>
      <c r="E110" s="390"/>
      <c r="G110" s="390"/>
    </row>
    <row r="111" spans="1:17" s="306" customFormat="1" ht="10.5" customHeight="1">
      <c r="A111" s="388" t="s">
        <v>467</v>
      </c>
      <c r="B111" s="328"/>
      <c r="C111" s="328"/>
      <c r="D111" s="328"/>
      <c r="E111" s="328"/>
      <c r="F111" s="328"/>
      <c r="G111" s="328"/>
    </row>
    <row r="112" spans="1:17" s="306" customFormat="1" ht="10.5" customHeight="1">
      <c r="A112" s="388" t="s">
        <v>468</v>
      </c>
      <c r="B112" s="328"/>
      <c r="C112" s="328"/>
      <c r="D112" s="328"/>
      <c r="E112" s="328"/>
      <c r="F112" s="328"/>
      <c r="G112" s="328"/>
    </row>
    <row r="113" spans="1:7" s="306" customFormat="1" ht="10.5" customHeight="1">
      <c r="A113" s="388" t="s">
        <v>469</v>
      </c>
      <c r="B113" s="328"/>
      <c r="C113" s="328"/>
      <c r="D113" s="328"/>
      <c r="E113" s="328"/>
      <c r="F113" s="328"/>
      <c r="G113" s="328"/>
    </row>
    <row r="114" spans="1:7" s="306" customFormat="1" ht="10.5" customHeight="1">
      <c r="A114" s="388" t="s">
        <v>470</v>
      </c>
      <c r="B114" s="328"/>
      <c r="C114" s="328"/>
      <c r="D114" s="328"/>
      <c r="E114" s="328"/>
      <c r="F114" s="328"/>
      <c r="G114" s="328"/>
    </row>
    <row r="115" spans="1:7" s="306" customFormat="1" ht="10.5" customHeight="1">
      <c r="A115" s="388" t="s">
        <v>471</v>
      </c>
      <c r="B115" s="328"/>
      <c r="C115" s="328"/>
      <c r="D115" s="328"/>
      <c r="E115" s="328"/>
      <c r="F115" s="328"/>
      <c r="G115" s="328"/>
    </row>
    <row r="116" spans="1:7" s="310" customFormat="1" ht="10.5" customHeight="1">
      <c r="A116" s="388" t="s">
        <v>472</v>
      </c>
      <c r="B116" s="390"/>
      <c r="C116" s="391"/>
      <c r="D116" s="391"/>
      <c r="E116" s="390"/>
      <c r="F116" s="390"/>
      <c r="G116" s="390"/>
    </row>
    <row r="117" spans="1:7" s="310" customFormat="1" ht="10.5" customHeight="1">
      <c r="A117" s="388" t="s">
        <v>473</v>
      </c>
      <c r="B117" s="390"/>
      <c r="C117" s="390"/>
      <c r="D117" s="390"/>
      <c r="E117" s="390"/>
      <c r="F117" s="390"/>
      <c r="G117" s="390"/>
    </row>
    <row r="118" spans="1:7">
      <c r="A118" s="388" t="s">
        <v>474</v>
      </c>
    </row>
    <row r="119" spans="1:7">
      <c r="A119" s="388" t="s">
        <v>475</v>
      </c>
    </row>
  </sheetData>
  <pageMargins left="0.6692913385826772" right="0.6692913385826772" top="0.51181102362204722" bottom="0.51181102362204722" header="0.27559055118110237" footer="0.27559055118110237"/>
  <pageSetup paperSize="9" scale="47" orientation="portrait"/>
  <headerFooter alignWithMargins="0">
    <oddFooter>&amp;C&amp;P</oddFooter>
  </headerFooter>
  <rowBreaks count="1" manualBreakCount="1">
    <brk id="65" max="11" man="1"/>
  </rowBreaks>
  <colBreaks count="1" manualBreakCount="1">
    <brk id="8" max="119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 enableFormatConditionsCalculation="0">
    <pageSetUpPr fitToPage="1"/>
  </sheetPr>
  <dimension ref="A1:AK305"/>
  <sheetViews>
    <sheetView workbookViewId="0"/>
  </sheetViews>
  <sheetFormatPr baseColWidth="10" defaultColWidth="8.83203125" defaultRowHeight="13" x14ac:dyDescent="0"/>
  <cols>
    <col min="1" max="1" width="23.6640625" style="334" customWidth="1"/>
    <col min="2" max="2" width="7.6640625" style="313" customWidth="1"/>
    <col min="3" max="3" width="7" style="313" customWidth="1"/>
    <col min="4" max="4" width="8.5" style="313" customWidth="1"/>
    <col min="5" max="7" width="6.83203125" style="313" customWidth="1"/>
    <col min="8" max="8" width="8.1640625" style="313" customWidth="1"/>
    <col min="9" max="9" width="1" style="313" customWidth="1"/>
    <col min="10" max="10" width="7.1640625" style="313" customWidth="1"/>
    <col min="11" max="12" width="7.33203125" style="313" customWidth="1"/>
    <col min="13" max="13" width="8.6640625" style="313" customWidth="1"/>
    <col min="14" max="14" width="7.33203125" style="313" customWidth="1"/>
    <col min="15" max="15" width="8.6640625" style="313" customWidth="1"/>
    <col min="16" max="17" width="7.1640625" style="313" customWidth="1"/>
    <col min="18" max="18" width="7.5" style="313" customWidth="1"/>
    <col min="19" max="19" width="7.1640625" style="313" customWidth="1"/>
    <col min="20" max="20" width="8.83203125" style="313" customWidth="1"/>
    <col min="21" max="21" width="9.5" style="313" customWidth="1"/>
    <col min="22" max="22" width="5.6640625" style="313" customWidth="1"/>
    <col min="23" max="23" width="7.1640625" style="313" customWidth="1"/>
    <col min="24" max="24" width="5.6640625" style="313" customWidth="1"/>
    <col min="25" max="25" width="9.5" style="313" customWidth="1"/>
    <col min="26" max="26" width="9.6640625" style="313" customWidth="1"/>
    <col min="27" max="256" width="8.83203125" style="313"/>
    <col min="257" max="257" width="13" style="313" customWidth="1"/>
    <col min="258" max="258" width="7.6640625" style="313" customWidth="1"/>
    <col min="259" max="259" width="7" style="313" customWidth="1"/>
    <col min="260" max="260" width="8.5" style="313" customWidth="1"/>
    <col min="261" max="263" width="6.83203125" style="313" customWidth="1"/>
    <col min="264" max="264" width="8.1640625" style="313" customWidth="1"/>
    <col min="265" max="265" width="1" style="313" customWidth="1"/>
    <col min="266" max="266" width="7.1640625" style="313" customWidth="1"/>
    <col min="267" max="268" width="7.33203125" style="313" customWidth="1"/>
    <col min="269" max="269" width="8.6640625" style="313" customWidth="1"/>
    <col min="270" max="270" width="7.33203125" style="313" customWidth="1"/>
    <col min="271" max="271" width="8.6640625" style="313" customWidth="1"/>
    <col min="272" max="273" width="7.1640625" style="313" customWidth="1"/>
    <col min="274" max="274" width="7.5" style="313" customWidth="1"/>
    <col min="275" max="275" width="7.1640625" style="313" customWidth="1"/>
    <col min="276" max="276" width="8.83203125" style="313" customWidth="1"/>
    <col min="277" max="277" width="9.5" style="313" customWidth="1"/>
    <col min="278" max="278" width="5.6640625" style="313" customWidth="1"/>
    <col min="279" max="279" width="7.1640625" style="313" customWidth="1"/>
    <col min="280" max="280" width="5.6640625" style="313" customWidth="1"/>
    <col min="281" max="281" width="9.5" style="313" customWidth="1"/>
    <col min="282" max="282" width="9.6640625" style="313" customWidth="1"/>
    <col min="283" max="512" width="8.83203125" style="313"/>
    <col min="513" max="513" width="13" style="313" customWidth="1"/>
    <col min="514" max="514" width="7.6640625" style="313" customWidth="1"/>
    <col min="515" max="515" width="7" style="313" customWidth="1"/>
    <col min="516" max="516" width="8.5" style="313" customWidth="1"/>
    <col min="517" max="519" width="6.83203125" style="313" customWidth="1"/>
    <col min="520" max="520" width="8.1640625" style="313" customWidth="1"/>
    <col min="521" max="521" width="1" style="313" customWidth="1"/>
    <col min="522" max="522" width="7.1640625" style="313" customWidth="1"/>
    <col min="523" max="524" width="7.33203125" style="313" customWidth="1"/>
    <col min="525" max="525" width="8.6640625" style="313" customWidth="1"/>
    <col min="526" max="526" width="7.33203125" style="313" customWidth="1"/>
    <col min="527" max="527" width="8.6640625" style="313" customWidth="1"/>
    <col min="528" max="529" width="7.1640625" style="313" customWidth="1"/>
    <col min="530" max="530" width="7.5" style="313" customWidth="1"/>
    <col min="531" max="531" width="7.1640625" style="313" customWidth="1"/>
    <col min="532" max="532" width="8.83203125" style="313" customWidth="1"/>
    <col min="533" max="533" width="9.5" style="313" customWidth="1"/>
    <col min="534" max="534" width="5.6640625" style="313" customWidth="1"/>
    <col min="535" max="535" width="7.1640625" style="313" customWidth="1"/>
    <col min="536" max="536" width="5.6640625" style="313" customWidth="1"/>
    <col min="537" max="537" width="9.5" style="313" customWidth="1"/>
    <col min="538" max="538" width="9.6640625" style="313" customWidth="1"/>
    <col min="539" max="768" width="8.83203125" style="313"/>
    <col min="769" max="769" width="13" style="313" customWidth="1"/>
    <col min="770" max="770" width="7.6640625" style="313" customWidth="1"/>
    <col min="771" max="771" width="7" style="313" customWidth="1"/>
    <col min="772" max="772" width="8.5" style="313" customWidth="1"/>
    <col min="773" max="775" width="6.83203125" style="313" customWidth="1"/>
    <col min="776" max="776" width="8.1640625" style="313" customWidth="1"/>
    <col min="777" max="777" width="1" style="313" customWidth="1"/>
    <col min="778" max="778" width="7.1640625" style="313" customWidth="1"/>
    <col min="779" max="780" width="7.33203125" style="313" customWidth="1"/>
    <col min="781" max="781" width="8.6640625" style="313" customWidth="1"/>
    <col min="782" max="782" width="7.33203125" style="313" customWidth="1"/>
    <col min="783" max="783" width="8.6640625" style="313" customWidth="1"/>
    <col min="784" max="785" width="7.1640625" style="313" customWidth="1"/>
    <col min="786" max="786" width="7.5" style="313" customWidth="1"/>
    <col min="787" max="787" width="7.1640625" style="313" customWidth="1"/>
    <col min="788" max="788" width="8.83203125" style="313" customWidth="1"/>
    <col min="789" max="789" width="9.5" style="313" customWidth="1"/>
    <col min="790" max="790" width="5.6640625" style="313" customWidth="1"/>
    <col min="791" max="791" width="7.1640625" style="313" customWidth="1"/>
    <col min="792" max="792" width="5.6640625" style="313" customWidth="1"/>
    <col min="793" max="793" width="9.5" style="313" customWidth="1"/>
    <col min="794" max="794" width="9.6640625" style="313" customWidth="1"/>
    <col min="795" max="1024" width="8.83203125" style="313"/>
    <col min="1025" max="1025" width="13" style="313" customWidth="1"/>
    <col min="1026" max="1026" width="7.6640625" style="313" customWidth="1"/>
    <col min="1027" max="1027" width="7" style="313" customWidth="1"/>
    <col min="1028" max="1028" width="8.5" style="313" customWidth="1"/>
    <col min="1029" max="1031" width="6.83203125" style="313" customWidth="1"/>
    <col min="1032" max="1032" width="8.1640625" style="313" customWidth="1"/>
    <col min="1033" max="1033" width="1" style="313" customWidth="1"/>
    <col min="1034" max="1034" width="7.1640625" style="313" customWidth="1"/>
    <col min="1035" max="1036" width="7.33203125" style="313" customWidth="1"/>
    <col min="1037" max="1037" width="8.6640625" style="313" customWidth="1"/>
    <col min="1038" max="1038" width="7.33203125" style="313" customWidth="1"/>
    <col min="1039" max="1039" width="8.6640625" style="313" customWidth="1"/>
    <col min="1040" max="1041" width="7.1640625" style="313" customWidth="1"/>
    <col min="1042" max="1042" width="7.5" style="313" customWidth="1"/>
    <col min="1043" max="1043" width="7.1640625" style="313" customWidth="1"/>
    <col min="1044" max="1044" width="8.83203125" style="313" customWidth="1"/>
    <col min="1045" max="1045" width="9.5" style="313" customWidth="1"/>
    <col min="1046" max="1046" width="5.6640625" style="313" customWidth="1"/>
    <col min="1047" max="1047" width="7.1640625" style="313" customWidth="1"/>
    <col min="1048" max="1048" width="5.6640625" style="313" customWidth="1"/>
    <col min="1049" max="1049" width="9.5" style="313" customWidth="1"/>
    <col min="1050" max="1050" width="9.6640625" style="313" customWidth="1"/>
    <col min="1051" max="1280" width="8.83203125" style="313"/>
    <col min="1281" max="1281" width="13" style="313" customWidth="1"/>
    <col min="1282" max="1282" width="7.6640625" style="313" customWidth="1"/>
    <col min="1283" max="1283" width="7" style="313" customWidth="1"/>
    <col min="1284" max="1284" width="8.5" style="313" customWidth="1"/>
    <col min="1285" max="1287" width="6.83203125" style="313" customWidth="1"/>
    <col min="1288" max="1288" width="8.1640625" style="313" customWidth="1"/>
    <col min="1289" max="1289" width="1" style="313" customWidth="1"/>
    <col min="1290" max="1290" width="7.1640625" style="313" customWidth="1"/>
    <col min="1291" max="1292" width="7.33203125" style="313" customWidth="1"/>
    <col min="1293" max="1293" width="8.6640625" style="313" customWidth="1"/>
    <col min="1294" max="1294" width="7.33203125" style="313" customWidth="1"/>
    <col min="1295" max="1295" width="8.6640625" style="313" customWidth="1"/>
    <col min="1296" max="1297" width="7.1640625" style="313" customWidth="1"/>
    <col min="1298" max="1298" width="7.5" style="313" customWidth="1"/>
    <col min="1299" max="1299" width="7.1640625" style="313" customWidth="1"/>
    <col min="1300" max="1300" width="8.83203125" style="313" customWidth="1"/>
    <col min="1301" max="1301" width="9.5" style="313" customWidth="1"/>
    <col min="1302" max="1302" width="5.6640625" style="313" customWidth="1"/>
    <col min="1303" max="1303" width="7.1640625" style="313" customWidth="1"/>
    <col min="1304" max="1304" width="5.6640625" style="313" customWidth="1"/>
    <col min="1305" max="1305" width="9.5" style="313" customWidth="1"/>
    <col min="1306" max="1306" width="9.6640625" style="313" customWidth="1"/>
    <col min="1307" max="1536" width="8.83203125" style="313"/>
    <col min="1537" max="1537" width="13" style="313" customWidth="1"/>
    <col min="1538" max="1538" width="7.6640625" style="313" customWidth="1"/>
    <col min="1539" max="1539" width="7" style="313" customWidth="1"/>
    <col min="1540" max="1540" width="8.5" style="313" customWidth="1"/>
    <col min="1541" max="1543" width="6.83203125" style="313" customWidth="1"/>
    <col min="1544" max="1544" width="8.1640625" style="313" customWidth="1"/>
    <col min="1545" max="1545" width="1" style="313" customWidth="1"/>
    <col min="1546" max="1546" width="7.1640625" style="313" customWidth="1"/>
    <col min="1547" max="1548" width="7.33203125" style="313" customWidth="1"/>
    <col min="1549" max="1549" width="8.6640625" style="313" customWidth="1"/>
    <col min="1550" max="1550" width="7.33203125" style="313" customWidth="1"/>
    <col min="1551" max="1551" width="8.6640625" style="313" customWidth="1"/>
    <col min="1552" max="1553" width="7.1640625" style="313" customWidth="1"/>
    <col min="1554" max="1554" width="7.5" style="313" customWidth="1"/>
    <col min="1555" max="1555" width="7.1640625" style="313" customWidth="1"/>
    <col min="1556" max="1556" width="8.83203125" style="313" customWidth="1"/>
    <col min="1557" max="1557" width="9.5" style="313" customWidth="1"/>
    <col min="1558" max="1558" width="5.6640625" style="313" customWidth="1"/>
    <col min="1559" max="1559" width="7.1640625" style="313" customWidth="1"/>
    <col min="1560" max="1560" width="5.6640625" style="313" customWidth="1"/>
    <col min="1561" max="1561" width="9.5" style="313" customWidth="1"/>
    <col min="1562" max="1562" width="9.6640625" style="313" customWidth="1"/>
    <col min="1563" max="1792" width="8.83203125" style="313"/>
    <col min="1793" max="1793" width="13" style="313" customWidth="1"/>
    <col min="1794" max="1794" width="7.6640625" style="313" customWidth="1"/>
    <col min="1795" max="1795" width="7" style="313" customWidth="1"/>
    <col min="1796" max="1796" width="8.5" style="313" customWidth="1"/>
    <col min="1797" max="1799" width="6.83203125" style="313" customWidth="1"/>
    <col min="1800" max="1800" width="8.1640625" style="313" customWidth="1"/>
    <col min="1801" max="1801" width="1" style="313" customWidth="1"/>
    <col min="1802" max="1802" width="7.1640625" style="313" customWidth="1"/>
    <col min="1803" max="1804" width="7.33203125" style="313" customWidth="1"/>
    <col min="1805" max="1805" width="8.6640625" style="313" customWidth="1"/>
    <col min="1806" max="1806" width="7.33203125" style="313" customWidth="1"/>
    <col min="1807" max="1807" width="8.6640625" style="313" customWidth="1"/>
    <col min="1808" max="1809" width="7.1640625" style="313" customWidth="1"/>
    <col min="1810" max="1810" width="7.5" style="313" customWidth="1"/>
    <col min="1811" max="1811" width="7.1640625" style="313" customWidth="1"/>
    <col min="1812" max="1812" width="8.83203125" style="313" customWidth="1"/>
    <col min="1813" max="1813" width="9.5" style="313" customWidth="1"/>
    <col min="1814" max="1814" width="5.6640625" style="313" customWidth="1"/>
    <col min="1815" max="1815" width="7.1640625" style="313" customWidth="1"/>
    <col min="1816" max="1816" width="5.6640625" style="313" customWidth="1"/>
    <col min="1817" max="1817" width="9.5" style="313" customWidth="1"/>
    <col min="1818" max="1818" width="9.6640625" style="313" customWidth="1"/>
    <col min="1819" max="2048" width="8.83203125" style="313"/>
    <col min="2049" max="2049" width="13" style="313" customWidth="1"/>
    <col min="2050" max="2050" width="7.6640625" style="313" customWidth="1"/>
    <col min="2051" max="2051" width="7" style="313" customWidth="1"/>
    <col min="2052" max="2052" width="8.5" style="313" customWidth="1"/>
    <col min="2053" max="2055" width="6.83203125" style="313" customWidth="1"/>
    <col min="2056" max="2056" width="8.1640625" style="313" customWidth="1"/>
    <col min="2057" max="2057" width="1" style="313" customWidth="1"/>
    <col min="2058" max="2058" width="7.1640625" style="313" customWidth="1"/>
    <col min="2059" max="2060" width="7.33203125" style="313" customWidth="1"/>
    <col min="2061" max="2061" width="8.6640625" style="313" customWidth="1"/>
    <col min="2062" max="2062" width="7.33203125" style="313" customWidth="1"/>
    <col min="2063" max="2063" width="8.6640625" style="313" customWidth="1"/>
    <col min="2064" max="2065" width="7.1640625" style="313" customWidth="1"/>
    <col min="2066" max="2066" width="7.5" style="313" customWidth="1"/>
    <col min="2067" max="2067" width="7.1640625" style="313" customWidth="1"/>
    <col min="2068" max="2068" width="8.83203125" style="313" customWidth="1"/>
    <col min="2069" max="2069" width="9.5" style="313" customWidth="1"/>
    <col min="2070" max="2070" width="5.6640625" style="313" customWidth="1"/>
    <col min="2071" max="2071" width="7.1640625" style="313" customWidth="1"/>
    <col min="2072" max="2072" width="5.6640625" style="313" customWidth="1"/>
    <col min="2073" max="2073" width="9.5" style="313" customWidth="1"/>
    <col min="2074" max="2074" width="9.6640625" style="313" customWidth="1"/>
    <col min="2075" max="2304" width="8.83203125" style="313"/>
    <col min="2305" max="2305" width="13" style="313" customWidth="1"/>
    <col min="2306" max="2306" width="7.6640625" style="313" customWidth="1"/>
    <col min="2307" max="2307" width="7" style="313" customWidth="1"/>
    <col min="2308" max="2308" width="8.5" style="313" customWidth="1"/>
    <col min="2309" max="2311" width="6.83203125" style="313" customWidth="1"/>
    <col min="2312" max="2312" width="8.1640625" style="313" customWidth="1"/>
    <col min="2313" max="2313" width="1" style="313" customWidth="1"/>
    <col min="2314" max="2314" width="7.1640625" style="313" customWidth="1"/>
    <col min="2315" max="2316" width="7.33203125" style="313" customWidth="1"/>
    <col min="2317" max="2317" width="8.6640625" style="313" customWidth="1"/>
    <col min="2318" max="2318" width="7.33203125" style="313" customWidth="1"/>
    <col min="2319" max="2319" width="8.6640625" style="313" customWidth="1"/>
    <col min="2320" max="2321" width="7.1640625" style="313" customWidth="1"/>
    <col min="2322" max="2322" width="7.5" style="313" customWidth="1"/>
    <col min="2323" max="2323" width="7.1640625" style="313" customWidth="1"/>
    <col min="2324" max="2324" width="8.83203125" style="313" customWidth="1"/>
    <col min="2325" max="2325" width="9.5" style="313" customWidth="1"/>
    <col min="2326" max="2326" width="5.6640625" style="313" customWidth="1"/>
    <col min="2327" max="2327" width="7.1640625" style="313" customWidth="1"/>
    <col min="2328" max="2328" width="5.6640625" style="313" customWidth="1"/>
    <col min="2329" max="2329" width="9.5" style="313" customWidth="1"/>
    <col min="2330" max="2330" width="9.6640625" style="313" customWidth="1"/>
    <col min="2331" max="2560" width="8.83203125" style="313"/>
    <col min="2561" max="2561" width="13" style="313" customWidth="1"/>
    <col min="2562" max="2562" width="7.6640625" style="313" customWidth="1"/>
    <col min="2563" max="2563" width="7" style="313" customWidth="1"/>
    <col min="2564" max="2564" width="8.5" style="313" customWidth="1"/>
    <col min="2565" max="2567" width="6.83203125" style="313" customWidth="1"/>
    <col min="2568" max="2568" width="8.1640625" style="313" customWidth="1"/>
    <col min="2569" max="2569" width="1" style="313" customWidth="1"/>
    <col min="2570" max="2570" width="7.1640625" style="313" customWidth="1"/>
    <col min="2571" max="2572" width="7.33203125" style="313" customWidth="1"/>
    <col min="2573" max="2573" width="8.6640625" style="313" customWidth="1"/>
    <col min="2574" max="2574" width="7.33203125" style="313" customWidth="1"/>
    <col min="2575" max="2575" width="8.6640625" style="313" customWidth="1"/>
    <col min="2576" max="2577" width="7.1640625" style="313" customWidth="1"/>
    <col min="2578" max="2578" width="7.5" style="313" customWidth="1"/>
    <col min="2579" max="2579" width="7.1640625" style="313" customWidth="1"/>
    <col min="2580" max="2580" width="8.83203125" style="313" customWidth="1"/>
    <col min="2581" max="2581" width="9.5" style="313" customWidth="1"/>
    <col min="2582" max="2582" width="5.6640625" style="313" customWidth="1"/>
    <col min="2583" max="2583" width="7.1640625" style="313" customWidth="1"/>
    <col min="2584" max="2584" width="5.6640625" style="313" customWidth="1"/>
    <col min="2585" max="2585" width="9.5" style="313" customWidth="1"/>
    <col min="2586" max="2586" width="9.6640625" style="313" customWidth="1"/>
    <col min="2587" max="2816" width="8.83203125" style="313"/>
    <col min="2817" max="2817" width="13" style="313" customWidth="1"/>
    <col min="2818" max="2818" width="7.6640625" style="313" customWidth="1"/>
    <col min="2819" max="2819" width="7" style="313" customWidth="1"/>
    <col min="2820" max="2820" width="8.5" style="313" customWidth="1"/>
    <col min="2821" max="2823" width="6.83203125" style="313" customWidth="1"/>
    <col min="2824" max="2824" width="8.1640625" style="313" customWidth="1"/>
    <col min="2825" max="2825" width="1" style="313" customWidth="1"/>
    <col min="2826" max="2826" width="7.1640625" style="313" customWidth="1"/>
    <col min="2827" max="2828" width="7.33203125" style="313" customWidth="1"/>
    <col min="2829" max="2829" width="8.6640625" style="313" customWidth="1"/>
    <col min="2830" max="2830" width="7.33203125" style="313" customWidth="1"/>
    <col min="2831" max="2831" width="8.6640625" style="313" customWidth="1"/>
    <col min="2832" max="2833" width="7.1640625" style="313" customWidth="1"/>
    <col min="2834" max="2834" width="7.5" style="313" customWidth="1"/>
    <col min="2835" max="2835" width="7.1640625" style="313" customWidth="1"/>
    <col min="2836" max="2836" width="8.83203125" style="313" customWidth="1"/>
    <col min="2837" max="2837" width="9.5" style="313" customWidth="1"/>
    <col min="2838" max="2838" width="5.6640625" style="313" customWidth="1"/>
    <col min="2839" max="2839" width="7.1640625" style="313" customWidth="1"/>
    <col min="2840" max="2840" width="5.6640625" style="313" customWidth="1"/>
    <col min="2841" max="2841" width="9.5" style="313" customWidth="1"/>
    <col min="2842" max="2842" width="9.6640625" style="313" customWidth="1"/>
    <col min="2843" max="3072" width="8.83203125" style="313"/>
    <col min="3073" max="3073" width="13" style="313" customWidth="1"/>
    <col min="3074" max="3074" width="7.6640625" style="313" customWidth="1"/>
    <col min="3075" max="3075" width="7" style="313" customWidth="1"/>
    <col min="3076" max="3076" width="8.5" style="313" customWidth="1"/>
    <col min="3077" max="3079" width="6.83203125" style="313" customWidth="1"/>
    <col min="3080" max="3080" width="8.1640625" style="313" customWidth="1"/>
    <col min="3081" max="3081" width="1" style="313" customWidth="1"/>
    <col min="3082" max="3082" width="7.1640625" style="313" customWidth="1"/>
    <col min="3083" max="3084" width="7.33203125" style="313" customWidth="1"/>
    <col min="3085" max="3085" width="8.6640625" style="313" customWidth="1"/>
    <col min="3086" max="3086" width="7.33203125" style="313" customWidth="1"/>
    <col min="3087" max="3087" width="8.6640625" style="313" customWidth="1"/>
    <col min="3088" max="3089" width="7.1640625" style="313" customWidth="1"/>
    <col min="3090" max="3090" width="7.5" style="313" customWidth="1"/>
    <col min="3091" max="3091" width="7.1640625" style="313" customWidth="1"/>
    <col min="3092" max="3092" width="8.83203125" style="313" customWidth="1"/>
    <col min="3093" max="3093" width="9.5" style="313" customWidth="1"/>
    <col min="3094" max="3094" width="5.6640625" style="313" customWidth="1"/>
    <col min="3095" max="3095" width="7.1640625" style="313" customWidth="1"/>
    <col min="3096" max="3096" width="5.6640625" style="313" customWidth="1"/>
    <col min="3097" max="3097" width="9.5" style="313" customWidth="1"/>
    <col min="3098" max="3098" width="9.6640625" style="313" customWidth="1"/>
    <col min="3099" max="3328" width="8.83203125" style="313"/>
    <col min="3329" max="3329" width="13" style="313" customWidth="1"/>
    <col min="3330" max="3330" width="7.6640625" style="313" customWidth="1"/>
    <col min="3331" max="3331" width="7" style="313" customWidth="1"/>
    <col min="3332" max="3332" width="8.5" style="313" customWidth="1"/>
    <col min="3333" max="3335" width="6.83203125" style="313" customWidth="1"/>
    <col min="3336" max="3336" width="8.1640625" style="313" customWidth="1"/>
    <col min="3337" max="3337" width="1" style="313" customWidth="1"/>
    <col min="3338" max="3338" width="7.1640625" style="313" customWidth="1"/>
    <col min="3339" max="3340" width="7.33203125" style="313" customWidth="1"/>
    <col min="3341" max="3341" width="8.6640625" style="313" customWidth="1"/>
    <col min="3342" max="3342" width="7.33203125" style="313" customWidth="1"/>
    <col min="3343" max="3343" width="8.6640625" style="313" customWidth="1"/>
    <col min="3344" max="3345" width="7.1640625" style="313" customWidth="1"/>
    <col min="3346" max="3346" width="7.5" style="313" customWidth="1"/>
    <col min="3347" max="3347" width="7.1640625" style="313" customWidth="1"/>
    <col min="3348" max="3348" width="8.83203125" style="313" customWidth="1"/>
    <col min="3349" max="3349" width="9.5" style="313" customWidth="1"/>
    <col min="3350" max="3350" width="5.6640625" style="313" customWidth="1"/>
    <col min="3351" max="3351" width="7.1640625" style="313" customWidth="1"/>
    <col min="3352" max="3352" width="5.6640625" style="313" customWidth="1"/>
    <col min="3353" max="3353" width="9.5" style="313" customWidth="1"/>
    <col min="3354" max="3354" width="9.6640625" style="313" customWidth="1"/>
    <col min="3355" max="3584" width="8.83203125" style="313"/>
    <col min="3585" max="3585" width="13" style="313" customWidth="1"/>
    <col min="3586" max="3586" width="7.6640625" style="313" customWidth="1"/>
    <col min="3587" max="3587" width="7" style="313" customWidth="1"/>
    <col min="3588" max="3588" width="8.5" style="313" customWidth="1"/>
    <col min="3589" max="3591" width="6.83203125" style="313" customWidth="1"/>
    <col min="3592" max="3592" width="8.1640625" style="313" customWidth="1"/>
    <col min="3593" max="3593" width="1" style="313" customWidth="1"/>
    <col min="3594" max="3594" width="7.1640625" style="313" customWidth="1"/>
    <col min="3595" max="3596" width="7.33203125" style="313" customWidth="1"/>
    <col min="3597" max="3597" width="8.6640625" style="313" customWidth="1"/>
    <col min="3598" max="3598" width="7.33203125" style="313" customWidth="1"/>
    <col min="3599" max="3599" width="8.6640625" style="313" customWidth="1"/>
    <col min="3600" max="3601" width="7.1640625" style="313" customWidth="1"/>
    <col min="3602" max="3602" width="7.5" style="313" customWidth="1"/>
    <col min="3603" max="3603" width="7.1640625" style="313" customWidth="1"/>
    <col min="3604" max="3604" width="8.83203125" style="313" customWidth="1"/>
    <col min="3605" max="3605" width="9.5" style="313" customWidth="1"/>
    <col min="3606" max="3606" width="5.6640625" style="313" customWidth="1"/>
    <col min="3607" max="3607" width="7.1640625" style="313" customWidth="1"/>
    <col min="3608" max="3608" width="5.6640625" style="313" customWidth="1"/>
    <col min="3609" max="3609" width="9.5" style="313" customWidth="1"/>
    <col min="3610" max="3610" width="9.6640625" style="313" customWidth="1"/>
    <col min="3611" max="3840" width="8.83203125" style="313"/>
    <col min="3841" max="3841" width="13" style="313" customWidth="1"/>
    <col min="3842" max="3842" width="7.6640625" style="313" customWidth="1"/>
    <col min="3843" max="3843" width="7" style="313" customWidth="1"/>
    <col min="3844" max="3844" width="8.5" style="313" customWidth="1"/>
    <col min="3845" max="3847" width="6.83203125" style="313" customWidth="1"/>
    <col min="3848" max="3848" width="8.1640625" style="313" customWidth="1"/>
    <col min="3849" max="3849" width="1" style="313" customWidth="1"/>
    <col min="3850" max="3850" width="7.1640625" style="313" customWidth="1"/>
    <col min="3851" max="3852" width="7.33203125" style="313" customWidth="1"/>
    <col min="3853" max="3853" width="8.6640625" style="313" customWidth="1"/>
    <col min="3854" max="3854" width="7.33203125" style="313" customWidth="1"/>
    <col min="3855" max="3855" width="8.6640625" style="313" customWidth="1"/>
    <col min="3856" max="3857" width="7.1640625" style="313" customWidth="1"/>
    <col min="3858" max="3858" width="7.5" style="313" customWidth="1"/>
    <col min="3859" max="3859" width="7.1640625" style="313" customWidth="1"/>
    <col min="3860" max="3860" width="8.83203125" style="313" customWidth="1"/>
    <col min="3861" max="3861" width="9.5" style="313" customWidth="1"/>
    <col min="3862" max="3862" width="5.6640625" style="313" customWidth="1"/>
    <col min="3863" max="3863" width="7.1640625" style="313" customWidth="1"/>
    <col min="3864" max="3864" width="5.6640625" style="313" customWidth="1"/>
    <col min="3865" max="3865" width="9.5" style="313" customWidth="1"/>
    <col min="3866" max="3866" width="9.6640625" style="313" customWidth="1"/>
    <col min="3867" max="4096" width="8.83203125" style="313"/>
    <col min="4097" max="4097" width="13" style="313" customWidth="1"/>
    <col min="4098" max="4098" width="7.6640625" style="313" customWidth="1"/>
    <col min="4099" max="4099" width="7" style="313" customWidth="1"/>
    <col min="4100" max="4100" width="8.5" style="313" customWidth="1"/>
    <col min="4101" max="4103" width="6.83203125" style="313" customWidth="1"/>
    <col min="4104" max="4104" width="8.1640625" style="313" customWidth="1"/>
    <col min="4105" max="4105" width="1" style="313" customWidth="1"/>
    <col min="4106" max="4106" width="7.1640625" style="313" customWidth="1"/>
    <col min="4107" max="4108" width="7.33203125" style="313" customWidth="1"/>
    <col min="4109" max="4109" width="8.6640625" style="313" customWidth="1"/>
    <col min="4110" max="4110" width="7.33203125" style="313" customWidth="1"/>
    <col min="4111" max="4111" width="8.6640625" style="313" customWidth="1"/>
    <col min="4112" max="4113" width="7.1640625" style="313" customWidth="1"/>
    <col min="4114" max="4114" width="7.5" style="313" customWidth="1"/>
    <col min="4115" max="4115" width="7.1640625" style="313" customWidth="1"/>
    <col min="4116" max="4116" width="8.83203125" style="313" customWidth="1"/>
    <col min="4117" max="4117" width="9.5" style="313" customWidth="1"/>
    <col min="4118" max="4118" width="5.6640625" style="313" customWidth="1"/>
    <col min="4119" max="4119" width="7.1640625" style="313" customWidth="1"/>
    <col min="4120" max="4120" width="5.6640625" style="313" customWidth="1"/>
    <col min="4121" max="4121" width="9.5" style="313" customWidth="1"/>
    <col min="4122" max="4122" width="9.6640625" style="313" customWidth="1"/>
    <col min="4123" max="4352" width="8.83203125" style="313"/>
    <col min="4353" max="4353" width="13" style="313" customWidth="1"/>
    <col min="4354" max="4354" width="7.6640625" style="313" customWidth="1"/>
    <col min="4355" max="4355" width="7" style="313" customWidth="1"/>
    <col min="4356" max="4356" width="8.5" style="313" customWidth="1"/>
    <col min="4357" max="4359" width="6.83203125" style="313" customWidth="1"/>
    <col min="4360" max="4360" width="8.1640625" style="313" customWidth="1"/>
    <col min="4361" max="4361" width="1" style="313" customWidth="1"/>
    <col min="4362" max="4362" width="7.1640625" style="313" customWidth="1"/>
    <col min="4363" max="4364" width="7.33203125" style="313" customWidth="1"/>
    <col min="4365" max="4365" width="8.6640625" style="313" customWidth="1"/>
    <col min="4366" max="4366" width="7.33203125" style="313" customWidth="1"/>
    <col min="4367" max="4367" width="8.6640625" style="313" customWidth="1"/>
    <col min="4368" max="4369" width="7.1640625" style="313" customWidth="1"/>
    <col min="4370" max="4370" width="7.5" style="313" customWidth="1"/>
    <col min="4371" max="4371" width="7.1640625" style="313" customWidth="1"/>
    <col min="4372" max="4372" width="8.83203125" style="313" customWidth="1"/>
    <col min="4373" max="4373" width="9.5" style="313" customWidth="1"/>
    <col min="4374" max="4374" width="5.6640625" style="313" customWidth="1"/>
    <col min="4375" max="4375" width="7.1640625" style="313" customWidth="1"/>
    <col min="4376" max="4376" width="5.6640625" style="313" customWidth="1"/>
    <col min="4377" max="4377" width="9.5" style="313" customWidth="1"/>
    <col min="4378" max="4378" width="9.6640625" style="313" customWidth="1"/>
    <col min="4379" max="4608" width="8.83203125" style="313"/>
    <col min="4609" max="4609" width="13" style="313" customWidth="1"/>
    <col min="4610" max="4610" width="7.6640625" style="313" customWidth="1"/>
    <col min="4611" max="4611" width="7" style="313" customWidth="1"/>
    <col min="4612" max="4612" width="8.5" style="313" customWidth="1"/>
    <col min="4613" max="4615" width="6.83203125" style="313" customWidth="1"/>
    <col min="4616" max="4616" width="8.1640625" style="313" customWidth="1"/>
    <col min="4617" max="4617" width="1" style="313" customWidth="1"/>
    <col min="4618" max="4618" width="7.1640625" style="313" customWidth="1"/>
    <col min="4619" max="4620" width="7.33203125" style="313" customWidth="1"/>
    <col min="4621" max="4621" width="8.6640625" style="313" customWidth="1"/>
    <col min="4622" max="4622" width="7.33203125" style="313" customWidth="1"/>
    <col min="4623" max="4623" width="8.6640625" style="313" customWidth="1"/>
    <col min="4624" max="4625" width="7.1640625" style="313" customWidth="1"/>
    <col min="4626" max="4626" width="7.5" style="313" customWidth="1"/>
    <col min="4627" max="4627" width="7.1640625" style="313" customWidth="1"/>
    <col min="4628" max="4628" width="8.83203125" style="313" customWidth="1"/>
    <col min="4629" max="4629" width="9.5" style="313" customWidth="1"/>
    <col min="4630" max="4630" width="5.6640625" style="313" customWidth="1"/>
    <col min="4631" max="4631" width="7.1640625" style="313" customWidth="1"/>
    <col min="4632" max="4632" width="5.6640625" style="313" customWidth="1"/>
    <col min="4633" max="4633" width="9.5" style="313" customWidth="1"/>
    <col min="4634" max="4634" width="9.6640625" style="313" customWidth="1"/>
    <col min="4635" max="4864" width="8.83203125" style="313"/>
    <col min="4865" max="4865" width="13" style="313" customWidth="1"/>
    <col min="4866" max="4866" width="7.6640625" style="313" customWidth="1"/>
    <col min="4867" max="4867" width="7" style="313" customWidth="1"/>
    <col min="4868" max="4868" width="8.5" style="313" customWidth="1"/>
    <col min="4869" max="4871" width="6.83203125" style="313" customWidth="1"/>
    <col min="4872" max="4872" width="8.1640625" style="313" customWidth="1"/>
    <col min="4873" max="4873" width="1" style="313" customWidth="1"/>
    <col min="4874" max="4874" width="7.1640625" style="313" customWidth="1"/>
    <col min="4875" max="4876" width="7.33203125" style="313" customWidth="1"/>
    <col min="4877" max="4877" width="8.6640625" style="313" customWidth="1"/>
    <col min="4878" max="4878" width="7.33203125" style="313" customWidth="1"/>
    <col min="4879" max="4879" width="8.6640625" style="313" customWidth="1"/>
    <col min="4880" max="4881" width="7.1640625" style="313" customWidth="1"/>
    <col min="4882" max="4882" width="7.5" style="313" customWidth="1"/>
    <col min="4883" max="4883" width="7.1640625" style="313" customWidth="1"/>
    <col min="4884" max="4884" width="8.83203125" style="313" customWidth="1"/>
    <col min="4885" max="4885" width="9.5" style="313" customWidth="1"/>
    <col min="4886" max="4886" width="5.6640625" style="313" customWidth="1"/>
    <col min="4887" max="4887" width="7.1640625" style="313" customWidth="1"/>
    <col min="4888" max="4888" width="5.6640625" style="313" customWidth="1"/>
    <col min="4889" max="4889" width="9.5" style="313" customWidth="1"/>
    <col min="4890" max="4890" width="9.6640625" style="313" customWidth="1"/>
    <col min="4891" max="5120" width="8.83203125" style="313"/>
    <col min="5121" max="5121" width="13" style="313" customWidth="1"/>
    <col min="5122" max="5122" width="7.6640625" style="313" customWidth="1"/>
    <col min="5123" max="5123" width="7" style="313" customWidth="1"/>
    <col min="5124" max="5124" width="8.5" style="313" customWidth="1"/>
    <col min="5125" max="5127" width="6.83203125" style="313" customWidth="1"/>
    <col min="5128" max="5128" width="8.1640625" style="313" customWidth="1"/>
    <col min="5129" max="5129" width="1" style="313" customWidth="1"/>
    <col min="5130" max="5130" width="7.1640625" style="313" customWidth="1"/>
    <col min="5131" max="5132" width="7.33203125" style="313" customWidth="1"/>
    <col min="5133" max="5133" width="8.6640625" style="313" customWidth="1"/>
    <col min="5134" max="5134" width="7.33203125" style="313" customWidth="1"/>
    <col min="5135" max="5135" width="8.6640625" style="313" customWidth="1"/>
    <col min="5136" max="5137" width="7.1640625" style="313" customWidth="1"/>
    <col min="5138" max="5138" width="7.5" style="313" customWidth="1"/>
    <col min="5139" max="5139" width="7.1640625" style="313" customWidth="1"/>
    <col min="5140" max="5140" width="8.83203125" style="313" customWidth="1"/>
    <col min="5141" max="5141" width="9.5" style="313" customWidth="1"/>
    <col min="5142" max="5142" width="5.6640625" style="313" customWidth="1"/>
    <col min="5143" max="5143" width="7.1640625" style="313" customWidth="1"/>
    <col min="5144" max="5144" width="5.6640625" style="313" customWidth="1"/>
    <col min="5145" max="5145" width="9.5" style="313" customWidth="1"/>
    <col min="5146" max="5146" width="9.6640625" style="313" customWidth="1"/>
    <col min="5147" max="5376" width="8.83203125" style="313"/>
    <col min="5377" max="5377" width="13" style="313" customWidth="1"/>
    <col min="5378" max="5378" width="7.6640625" style="313" customWidth="1"/>
    <col min="5379" max="5379" width="7" style="313" customWidth="1"/>
    <col min="5380" max="5380" width="8.5" style="313" customWidth="1"/>
    <col min="5381" max="5383" width="6.83203125" style="313" customWidth="1"/>
    <col min="5384" max="5384" width="8.1640625" style="313" customWidth="1"/>
    <col min="5385" max="5385" width="1" style="313" customWidth="1"/>
    <col min="5386" max="5386" width="7.1640625" style="313" customWidth="1"/>
    <col min="5387" max="5388" width="7.33203125" style="313" customWidth="1"/>
    <col min="5389" max="5389" width="8.6640625" style="313" customWidth="1"/>
    <col min="5390" max="5390" width="7.33203125" style="313" customWidth="1"/>
    <col min="5391" max="5391" width="8.6640625" style="313" customWidth="1"/>
    <col min="5392" max="5393" width="7.1640625" style="313" customWidth="1"/>
    <col min="5394" max="5394" width="7.5" style="313" customWidth="1"/>
    <col min="5395" max="5395" width="7.1640625" style="313" customWidth="1"/>
    <col min="5396" max="5396" width="8.83203125" style="313" customWidth="1"/>
    <col min="5397" max="5397" width="9.5" style="313" customWidth="1"/>
    <col min="5398" max="5398" width="5.6640625" style="313" customWidth="1"/>
    <col min="5399" max="5399" width="7.1640625" style="313" customWidth="1"/>
    <col min="5400" max="5400" width="5.6640625" style="313" customWidth="1"/>
    <col min="5401" max="5401" width="9.5" style="313" customWidth="1"/>
    <col min="5402" max="5402" width="9.6640625" style="313" customWidth="1"/>
    <col min="5403" max="5632" width="8.83203125" style="313"/>
    <col min="5633" max="5633" width="13" style="313" customWidth="1"/>
    <col min="5634" max="5634" width="7.6640625" style="313" customWidth="1"/>
    <col min="5635" max="5635" width="7" style="313" customWidth="1"/>
    <col min="5636" max="5636" width="8.5" style="313" customWidth="1"/>
    <col min="5637" max="5639" width="6.83203125" style="313" customWidth="1"/>
    <col min="5640" max="5640" width="8.1640625" style="313" customWidth="1"/>
    <col min="5641" max="5641" width="1" style="313" customWidth="1"/>
    <col min="5642" max="5642" width="7.1640625" style="313" customWidth="1"/>
    <col min="5643" max="5644" width="7.33203125" style="313" customWidth="1"/>
    <col min="5645" max="5645" width="8.6640625" style="313" customWidth="1"/>
    <col min="5646" max="5646" width="7.33203125" style="313" customWidth="1"/>
    <col min="5647" max="5647" width="8.6640625" style="313" customWidth="1"/>
    <col min="5648" max="5649" width="7.1640625" style="313" customWidth="1"/>
    <col min="5650" max="5650" width="7.5" style="313" customWidth="1"/>
    <col min="5651" max="5651" width="7.1640625" style="313" customWidth="1"/>
    <col min="5652" max="5652" width="8.83203125" style="313" customWidth="1"/>
    <col min="5653" max="5653" width="9.5" style="313" customWidth="1"/>
    <col min="5654" max="5654" width="5.6640625" style="313" customWidth="1"/>
    <col min="5655" max="5655" width="7.1640625" style="313" customWidth="1"/>
    <col min="5656" max="5656" width="5.6640625" style="313" customWidth="1"/>
    <col min="5657" max="5657" width="9.5" style="313" customWidth="1"/>
    <col min="5658" max="5658" width="9.6640625" style="313" customWidth="1"/>
    <col min="5659" max="5888" width="8.83203125" style="313"/>
    <col min="5889" max="5889" width="13" style="313" customWidth="1"/>
    <col min="5890" max="5890" width="7.6640625" style="313" customWidth="1"/>
    <col min="5891" max="5891" width="7" style="313" customWidth="1"/>
    <col min="5892" max="5892" width="8.5" style="313" customWidth="1"/>
    <col min="5893" max="5895" width="6.83203125" style="313" customWidth="1"/>
    <col min="5896" max="5896" width="8.1640625" style="313" customWidth="1"/>
    <col min="5897" max="5897" width="1" style="313" customWidth="1"/>
    <col min="5898" max="5898" width="7.1640625" style="313" customWidth="1"/>
    <col min="5899" max="5900" width="7.33203125" style="313" customWidth="1"/>
    <col min="5901" max="5901" width="8.6640625" style="313" customWidth="1"/>
    <col min="5902" max="5902" width="7.33203125" style="313" customWidth="1"/>
    <col min="5903" max="5903" width="8.6640625" style="313" customWidth="1"/>
    <col min="5904" max="5905" width="7.1640625" style="313" customWidth="1"/>
    <col min="5906" max="5906" width="7.5" style="313" customWidth="1"/>
    <col min="5907" max="5907" width="7.1640625" style="313" customWidth="1"/>
    <col min="5908" max="5908" width="8.83203125" style="313" customWidth="1"/>
    <col min="5909" max="5909" width="9.5" style="313" customWidth="1"/>
    <col min="5910" max="5910" width="5.6640625" style="313" customWidth="1"/>
    <col min="5911" max="5911" width="7.1640625" style="313" customWidth="1"/>
    <col min="5912" max="5912" width="5.6640625" style="313" customWidth="1"/>
    <col min="5913" max="5913" width="9.5" style="313" customWidth="1"/>
    <col min="5914" max="5914" width="9.6640625" style="313" customWidth="1"/>
    <col min="5915" max="6144" width="8.83203125" style="313"/>
    <col min="6145" max="6145" width="13" style="313" customWidth="1"/>
    <col min="6146" max="6146" width="7.6640625" style="313" customWidth="1"/>
    <col min="6147" max="6147" width="7" style="313" customWidth="1"/>
    <col min="6148" max="6148" width="8.5" style="313" customWidth="1"/>
    <col min="6149" max="6151" width="6.83203125" style="313" customWidth="1"/>
    <col min="6152" max="6152" width="8.1640625" style="313" customWidth="1"/>
    <col min="6153" max="6153" width="1" style="313" customWidth="1"/>
    <col min="6154" max="6154" width="7.1640625" style="313" customWidth="1"/>
    <col min="6155" max="6156" width="7.33203125" style="313" customWidth="1"/>
    <col min="6157" max="6157" width="8.6640625" style="313" customWidth="1"/>
    <col min="6158" max="6158" width="7.33203125" style="313" customWidth="1"/>
    <col min="6159" max="6159" width="8.6640625" style="313" customWidth="1"/>
    <col min="6160" max="6161" width="7.1640625" style="313" customWidth="1"/>
    <col min="6162" max="6162" width="7.5" style="313" customWidth="1"/>
    <col min="6163" max="6163" width="7.1640625" style="313" customWidth="1"/>
    <col min="6164" max="6164" width="8.83203125" style="313" customWidth="1"/>
    <col min="6165" max="6165" width="9.5" style="313" customWidth="1"/>
    <col min="6166" max="6166" width="5.6640625" style="313" customWidth="1"/>
    <col min="6167" max="6167" width="7.1640625" style="313" customWidth="1"/>
    <col min="6168" max="6168" width="5.6640625" style="313" customWidth="1"/>
    <col min="6169" max="6169" width="9.5" style="313" customWidth="1"/>
    <col min="6170" max="6170" width="9.6640625" style="313" customWidth="1"/>
    <col min="6171" max="6400" width="8.83203125" style="313"/>
    <col min="6401" max="6401" width="13" style="313" customWidth="1"/>
    <col min="6402" max="6402" width="7.6640625" style="313" customWidth="1"/>
    <col min="6403" max="6403" width="7" style="313" customWidth="1"/>
    <col min="6404" max="6404" width="8.5" style="313" customWidth="1"/>
    <col min="6405" max="6407" width="6.83203125" style="313" customWidth="1"/>
    <col min="6408" max="6408" width="8.1640625" style="313" customWidth="1"/>
    <col min="6409" max="6409" width="1" style="313" customWidth="1"/>
    <col min="6410" max="6410" width="7.1640625" style="313" customWidth="1"/>
    <col min="6411" max="6412" width="7.33203125" style="313" customWidth="1"/>
    <col min="6413" max="6413" width="8.6640625" style="313" customWidth="1"/>
    <col min="6414" max="6414" width="7.33203125" style="313" customWidth="1"/>
    <col min="6415" max="6415" width="8.6640625" style="313" customWidth="1"/>
    <col min="6416" max="6417" width="7.1640625" style="313" customWidth="1"/>
    <col min="6418" max="6418" width="7.5" style="313" customWidth="1"/>
    <col min="6419" max="6419" width="7.1640625" style="313" customWidth="1"/>
    <col min="6420" max="6420" width="8.83203125" style="313" customWidth="1"/>
    <col min="6421" max="6421" width="9.5" style="313" customWidth="1"/>
    <col min="6422" max="6422" width="5.6640625" style="313" customWidth="1"/>
    <col min="6423" max="6423" width="7.1640625" style="313" customWidth="1"/>
    <col min="6424" max="6424" width="5.6640625" style="313" customWidth="1"/>
    <col min="6425" max="6425" width="9.5" style="313" customWidth="1"/>
    <col min="6426" max="6426" width="9.6640625" style="313" customWidth="1"/>
    <col min="6427" max="6656" width="8.83203125" style="313"/>
    <col min="6657" max="6657" width="13" style="313" customWidth="1"/>
    <col min="6658" max="6658" width="7.6640625" style="313" customWidth="1"/>
    <col min="6659" max="6659" width="7" style="313" customWidth="1"/>
    <col min="6660" max="6660" width="8.5" style="313" customWidth="1"/>
    <col min="6661" max="6663" width="6.83203125" style="313" customWidth="1"/>
    <col min="6664" max="6664" width="8.1640625" style="313" customWidth="1"/>
    <col min="6665" max="6665" width="1" style="313" customWidth="1"/>
    <col min="6666" max="6666" width="7.1640625" style="313" customWidth="1"/>
    <col min="6667" max="6668" width="7.33203125" style="313" customWidth="1"/>
    <col min="6669" max="6669" width="8.6640625" style="313" customWidth="1"/>
    <col min="6670" max="6670" width="7.33203125" style="313" customWidth="1"/>
    <col min="6671" max="6671" width="8.6640625" style="313" customWidth="1"/>
    <col min="6672" max="6673" width="7.1640625" style="313" customWidth="1"/>
    <col min="6674" max="6674" width="7.5" style="313" customWidth="1"/>
    <col min="6675" max="6675" width="7.1640625" style="313" customWidth="1"/>
    <col min="6676" max="6676" width="8.83203125" style="313" customWidth="1"/>
    <col min="6677" max="6677" width="9.5" style="313" customWidth="1"/>
    <col min="6678" max="6678" width="5.6640625" style="313" customWidth="1"/>
    <col min="6679" max="6679" width="7.1640625" style="313" customWidth="1"/>
    <col min="6680" max="6680" width="5.6640625" style="313" customWidth="1"/>
    <col min="6681" max="6681" width="9.5" style="313" customWidth="1"/>
    <col min="6682" max="6682" width="9.6640625" style="313" customWidth="1"/>
    <col min="6683" max="6912" width="8.83203125" style="313"/>
    <col min="6913" max="6913" width="13" style="313" customWidth="1"/>
    <col min="6914" max="6914" width="7.6640625" style="313" customWidth="1"/>
    <col min="6915" max="6915" width="7" style="313" customWidth="1"/>
    <col min="6916" max="6916" width="8.5" style="313" customWidth="1"/>
    <col min="6917" max="6919" width="6.83203125" style="313" customWidth="1"/>
    <col min="6920" max="6920" width="8.1640625" style="313" customWidth="1"/>
    <col min="6921" max="6921" width="1" style="313" customWidth="1"/>
    <col min="6922" max="6922" width="7.1640625" style="313" customWidth="1"/>
    <col min="6923" max="6924" width="7.33203125" style="313" customWidth="1"/>
    <col min="6925" max="6925" width="8.6640625" style="313" customWidth="1"/>
    <col min="6926" max="6926" width="7.33203125" style="313" customWidth="1"/>
    <col min="6927" max="6927" width="8.6640625" style="313" customWidth="1"/>
    <col min="6928" max="6929" width="7.1640625" style="313" customWidth="1"/>
    <col min="6930" max="6930" width="7.5" style="313" customWidth="1"/>
    <col min="6931" max="6931" width="7.1640625" style="313" customWidth="1"/>
    <col min="6932" max="6932" width="8.83203125" style="313" customWidth="1"/>
    <col min="6933" max="6933" width="9.5" style="313" customWidth="1"/>
    <col min="6934" max="6934" width="5.6640625" style="313" customWidth="1"/>
    <col min="6935" max="6935" width="7.1640625" style="313" customWidth="1"/>
    <col min="6936" max="6936" width="5.6640625" style="313" customWidth="1"/>
    <col min="6937" max="6937" width="9.5" style="313" customWidth="1"/>
    <col min="6938" max="6938" width="9.6640625" style="313" customWidth="1"/>
    <col min="6939" max="7168" width="8.83203125" style="313"/>
    <col min="7169" max="7169" width="13" style="313" customWidth="1"/>
    <col min="7170" max="7170" width="7.6640625" style="313" customWidth="1"/>
    <col min="7171" max="7171" width="7" style="313" customWidth="1"/>
    <col min="7172" max="7172" width="8.5" style="313" customWidth="1"/>
    <col min="7173" max="7175" width="6.83203125" style="313" customWidth="1"/>
    <col min="7176" max="7176" width="8.1640625" style="313" customWidth="1"/>
    <col min="7177" max="7177" width="1" style="313" customWidth="1"/>
    <col min="7178" max="7178" width="7.1640625" style="313" customWidth="1"/>
    <col min="7179" max="7180" width="7.33203125" style="313" customWidth="1"/>
    <col min="7181" max="7181" width="8.6640625" style="313" customWidth="1"/>
    <col min="7182" max="7182" width="7.33203125" style="313" customWidth="1"/>
    <col min="7183" max="7183" width="8.6640625" style="313" customWidth="1"/>
    <col min="7184" max="7185" width="7.1640625" style="313" customWidth="1"/>
    <col min="7186" max="7186" width="7.5" style="313" customWidth="1"/>
    <col min="7187" max="7187" width="7.1640625" style="313" customWidth="1"/>
    <col min="7188" max="7188" width="8.83203125" style="313" customWidth="1"/>
    <col min="7189" max="7189" width="9.5" style="313" customWidth="1"/>
    <col min="7190" max="7190" width="5.6640625" style="313" customWidth="1"/>
    <col min="7191" max="7191" width="7.1640625" style="313" customWidth="1"/>
    <col min="7192" max="7192" width="5.6640625" style="313" customWidth="1"/>
    <col min="7193" max="7193" width="9.5" style="313" customWidth="1"/>
    <col min="7194" max="7194" width="9.6640625" style="313" customWidth="1"/>
    <col min="7195" max="7424" width="8.83203125" style="313"/>
    <col min="7425" max="7425" width="13" style="313" customWidth="1"/>
    <col min="7426" max="7426" width="7.6640625" style="313" customWidth="1"/>
    <col min="7427" max="7427" width="7" style="313" customWidth="1"/>
    <col min="7428" max="7428" width="8.5" style="313" customWidth="1"/>
    <col min="7429" max="7431" width="6.83203125" style="313" customWidth="1"/>
    <col min="7432" max="7432" width="8.1640625" style="313" customWidth="1"/>
    <col min="7433" max="7433" width="1" style="313" customWidth="1"/>
    <col min="7434" max="7434" width="7.1640625" style="313" customWidth="1"/>
    <col min="7435" max="7436" width="7.33203125" style="313" customWidth="1"/>
    <col min="7437" max="7437" width="8.6640625" style="313" customWidth="1"/>
    <col min="7438" max="7438" width="7.33203125" style="313" customWidth="1"/>
    <col min="7439" max="7439" width="8.6640625" style="313" customWidth="1"/>
    <col min="7440" max="7441" width="7.1640625" style="313" customWidth="1"/>
    <col min="7442" max="7442" width="7.5" style="313" customWidth="1"/>
    <col min="7443" max="7443" width="7.1640625" style="313" customWidth="1"/>
    <col min="7444" max="7444" width="8.83203125" style="313" customWidth="1"/>
    <col min="7445" max="7445" width="9.5" style="313" customWidth="1"/>
    <col min="7446" max="7446" width="5.6640625" style="313" customWidth="1"/>
    <col min="7447" max="7447" width="7.1640625" style="313" customWidth="1"/>
    <col min="7448" max="7448" width="5.6640625" style="313" customWidth="1"/>
    <col min="7449" max="7449" width="9.5" style="313" customWidth="1"/>
    <col min="7450" max="7450" width="9.6640625" style="313" customWidth="1"/>
    <col min="7451" max="7680" width="8.83203125" style="313"/>
    <col min="7681" max="7681" width="13" style="313" customWidth="1"/>
    <col min="7682" max="7682" width="7.6640625" style="313" customWidth="1"/>
    <col min="7683" max="7683" width="7" style="313" customWidth="1"/>
    <col min="7684" max="7684" width="8.5" style="313" customWidth="1"/>
    <col min="7685" max="7687" width="6.83203125" style="313" customWidth="1"/>
    <col min="7688" max="7688" width="8.1640625" style="313" customWidth="1"/>
    <col min="7689" max="7689" width="1" style="313" customWidth="1"/>
    <col min="7690" max="7690" width="7.1640625" style="313" customWidth="1"/>
    <col min="7691" max="7692" width="7.33203125" style="313" customWidth="1"/>
    <col min="7693" max="7693" width="8.6640625" style="313" customWidth="1"/>
    <col min="7694" max="7694" width="7.33203125" style="313" customWidth="1"/>
    <col min="7695" max="7695" width="8.6640625" style="313" customWidth="1"/>
    <col min="7696" max="7697" width="7.1640625" style="313" customWidth="1"/>
    <col min="7698" max="7698" width="7.5" style="313" customWidth="1"/>
    <col min="7699" max="7699" width="7.1640625" style="313" customWidth="1"/>
    <col min="7700" max="7700" width="8.83203125" style="313" customWidth="1"/>
    <col min="7701" max="7701" width="9.5" style="313" customWidth="1"/>
    <col min="7702" max="7702" width="5.6640625" style="313" customWidth="1"/>
    <col min="7703" max="7703" width="7.1640625" style="313" customWidth="1"/>
    <col min="7704" max="7704" width="5.6640625" style="313" customWidth="1"/>
    <col min="7705" max="7705" width="9.5" style="313" customWidth="1"/>
    <col min="7706" max="7706" width="9.6640625" style="313" customWidth="1"/>
    <col min="7707" max="7936" width="8.83203125" style="313"/>
    <col min="7937" max="7937" width="13" style="313" customWidth="1"/>
    <col min="7938" max="7938" width="7.6640625" style="313" customWidth="1"/>
    <col min="7939" max="7939" width="7" style="313" customWidth="1"/>
    <col min="7940" max="7940" width="8.5" style="313" customWidth="1"/>
    <col min="7941" max="7943" width="6.83203125" style="313" customWidth="1"/>
    <col min="7944" max="7944" width="8.1640625" style="313" customWidth="1"/>
    <col min="7945" max="7945" width="1" style="313" customWidth="1"/>
    <col min="7946" max="7946" width="7.1640625" style="313" customWidth="1"/>
    <col min="7947" max="7948" width="7.33203125" style="313" customWidth="1"/>
    <col min="7949" max="7949" width="8.6640625" style="313" customWidth="1"/>
    <col min="7950" max="7950" width="7.33203125" style="313" customWidth="1"/>
    <col min="7951" max="7951" width="8.6640625" style="313" customWidth="1"/>
    <col min="7952" max="7953" width="7.1640625" style="313" customWidth="1"/>
    <col min="7954" max="7954" width="7.5" style="313" customWidth="1"/>
    <col min="7955" max="7955" width="7.1640625" style="313" customWidth="1"/>
    <col min="7956" max="7956" width="8.83203125" style="313" customWidth="1"/>
    <col min="7957" max="7957" width="9.5" style="313" customWidth="1"/>
    <col min="7958" max="7958" width="5.6640625" style="313" customWidth="1"/>
    <col min="7959" max="7959" width="7.1640625" style="313" customWidth="1"/>
    <col min="7960" max="7960" width="5.6640625" style="313" customWidth="1"/>
    <col min="7961" max="7961" width="9.5" style="313" customWidth="1"/>
    <col min="7962" max="7962" width="9.6640625" style="313" customWidth="1"/>
    <col min="7963" max="8192" width="8.83203125" style="313"/>
    <col min="8193" max="8193" width="13" style="313" customWidth="1"/>
    <col min="8194" max="8194" width="7.6640625" style="313" customWidth="1"/>
    <col min="8195" max="8195" width="7" style="313" customWidth="1"/>
    <col min="8196" max="8196" width="8.5" style="313" customWidth="1"/>
    <col min="8197" max="8199" width="6.83203125" style="313" customWidth="1"/>
    <col min="8200" max="8200" width="8.1640625" style="313" customWidth="1"/>
    <col min="8201" max="8201" width="1" style="313" customWidth="1"/>
    <col min="8202" max="8202" width="7.1640625" style="313" customWidth="1"/>
    <col min="8203" max="8204" width="7.33203125" style="313" customWidth="1"/>
    <col min="8205" max="8205" width="8.6640625" style="313" customWidth="1"/>
    <col min="8206" max="8206" width="7.33203125" style="313" customWidth="1"/>
    <col min="8207" max="8207" width="8.6640625" style="313" customWidth="1"/>
    <col min="8208" max="8209" width="7.1640625" style="313" customWidth="1"/>
    <col min="8210" max="8210" width="7.5" style="313" customWidth="1"/>
    <col min="8211" max="8211" width="7.1640625" style="313" customWidth="1"/>
    <col min="8212" max="8212" width="8.83203125" style="313" customWidth="1"/>
    <col min="8213" max="8213" width="9.5" style="313" customWidth="1"/>
    <col min="8214" max="8214" width="5.6640625" style="313" customWidth="1"/>
    <col min="8215" max="8215" width="7.1640625" style="313" customWidth="1"/>
    <col min="8216" max="8216" width="5.6640625" style="313" customWidth="1"/>
    <col min="8217" max="8217" width="9.5" style="313" customWidth="1"/>
    <col min="8218" max="8218" width="9.6640625" style="313" customWidth="1"/>
    <col min="8219" max="8448" width="8.83203125" style="313"/>
    <col min="8449" max="8449" width="13" style="313" customWidth="1"/>
    <col min="8450" max="8450" width="7.6640625" style="313" customWidth="1"/>
    <col min="8451" max="8451" width="7" style="313" customWidth="1"/>
    <col min="8452" max="8452" width="8.5" style="313" customWidth="1"/>
    <col min="8453" max="8455" width="6.83203125" style="313" customWidth="1"/>
    <col min="8456" max="8456" width="8.1640625" style="313" customWidth="1"/>
    <col min="8457" max="8457" width="1" style="313" customWidth="1"/>
    <col min="8458" max="8458" width="7.1640625" style="313" customWidth="1"/>
    <col min="8459" max="8460" width="7.33203125" style="313" customWidth="1"/>
    <col min="8461" max="8461" width="8.6640625" style="313" customWidth="1"/>
    <col min="8462" max="8462" width="7.33203125" style="313" customWidth="1"/>
    <col min="8463" max="8463" width="8.6640625" style="313" customWidth="1"/>
    <col min="8464" max="8465" width="7.1640625" style="313" customWidth="1"/>
    <col min="8466" max="8466" width="7.5" style="313" customWidth="1"/>
    <col min="8467" max="8467" width="7.1640625" style="313" customWidth="1"/>
    <col min="8468" max="8468" width="8.83203125" style="313" customWidth="1"/>
    <col min="8469" max="8469" width="9.5" style="313" customWidth="1"/>
    <col min="8470" max="8470" width="5.6640625" style="313" customWidth="1"/>
    <col min="8471" max="8471" width="7.1640625" style="313" customWidth="1"/>
    <col min="8472" max="8472" width="5.6640625" style="313" customWidth="1"/>
    <col min="8473" max="8473" width="9.5" style="313" customWidth="1"/>
    <col min="8474" max="8474" width="9.6640625" style="313" customWidth="1"/>
    <col min="8475" max="8704" width="8.83203125" style="313"/>
    <col min="8705" max="8705" width="13" style="313" customWidth="1"/>
    <col min="8706" max="8706" width="7.6640625" style="313" customWidth="1"/>
    <col min="8707" max="8707" width="7" style="313" customWidth="1"/>
    <col min="8708" max="8708" width="8.5" style="313" customWidth="1"/>
    <col min="8709" max="8711" width="6.83203125" style="313" customWidth="1"/>
    <col min="8712" max="8712" width="8.1640625" style="313" customWidth="1"/>
    <col min="8713" max="8713" width="1" style="313" customWidth="1"/>
    <col min="8714" max="8714" width="7.1640625" style="313" customWidth="1"/>
    <col min="8715" max="8716" width="7.33203125" style="313" customWidth="1"/>
    <col min="8717" max="8717" width="8.6640625" style="313" customWidth="1"/>
    <col min="8718" max="8718" width="7.33203125" style="313" customWidth="1"/>
    <col min="8719" max="8719" width="8.6640625" style="313" customWidth="1"/>
    <col min="8720" max="8721" width="7.1640625" style="313" customWidth="1"/>
    <col min="8722" max="8722" width="7.5" style="313" customWidth="1"/>
    <col min="8723" max="8723" width="7.1640625" style="313" customWidth="1"/>
    <col min="8724" max="8724" width="8.83203125" style="313" customWidth="1"/>
    <col min="8725" max="8725" width="9.5" style="313" customWidth="1"/>
    <col min="8726" max="8726" width="5.6640625" style="313" customWidth="1"/>
    <col min="8727" max="8727" width="7.1640625" style="313" customWidth="1"/>
    <col min="8728" max="8728" width="5.6640625" style="313" customWidth="1"/>
    <col min="8729" max="8729" width="9.5" style="313" customWidth="1"/>
    <col min="8730" max="8730" width="9.6640625" style="313" customWidth="1"/>
    <col min="8731" max="8960" width="8.83203125" style="313"/>
    <col min="8961" max="8961" width="13" style="313" customWidth="1"/>
    <col min="8962" max="8962" width="7.6640625" style="313" customWidth="1"/>
    <col min="8963" max="8963" width="7" style="313" customWidth="1"/>
    <col min="8964" max="8964" width="8.5" style="313" customWidth="1"/>
    <col min="8965" max="8967" width="6.83203125" style="313" customWidth="1"/>
    <col min="8968" max="8968" width="8.1640625" style="313" customWidth="1"/>
    <col min="8969" max="8969" width="1" style="313" customWidth="1"/>
    <col min="8970" max="8970" width="7.1640625" style="313" customWidth="1"/>
    <col min="8971" max="8972" width="7.33203125" style="313" customWidth="1"/>
    <col min="8973" max="8973" width="8.6640625" style="313" customWidth="1"/>
    <col min="8974" max="8974" width="7.33203125" style="313" customWidth="1"/>
    <col min="8975" max="8975" width="8.6640625" style="313" customWidth="1"/>
    <col min="8976" max="8977" width="7.1640625" style="313" customWidth="1"/>
    <col min="8978" max="8978" width="7.5" style="313" customWidth="1"/>
    <col min="8979" max="8979" width="7.1640625" style="313" customWidth="1"/>
    <col min="8980" max="8980" width="8.83203125" style="313" customWidth="1"/>
    <col min="8981" max="8981" width="9.5" style="313" customWidth="1"/>
    <col min="8982" max="8982" width="5.6640625" style="313" customWidth="1"/>
    <col min="8983" max="8983" width="7.1640625" style="313" customWidth="1"/>
    <col min="8984" max="8984" width="5.6640625" style="313" customWidth="1"/>
    <col min="8985" max="8985" width="9.5" style="313" customWidth="1"/>
    <col min="8986" max="8986" width="9.6640625" style="313" customWidth="1"/>
    <col min="8987" max="9216" width="8.83203125" style="313"/>
    <col min="9217" max="9217" width="13" style="313" customWidth="1"/>
    <col min="9218" max="9218" width="7.6640625" style="313" customWidth="1"/>
    <col min="9219" max="9219" width="7" style="313" customWidth="1"/>
    <col min="9220" max="9220" width="8.5" style="313" customWidth="1"/>
    <col min="9221" max="9223" width="6.83203125" style="313" customWidth="1"/>
    <col min="9224" max="9224" width="8.1640625" style="313" customWidth="1"/>
    <col min="9225" max="9225" width="1" style="313" customWidth="1"/>
    <col min="9226" max="9226" width="7.1640625" style="313" customWidth="1"/>
    <col min="9227" max="9228" width="7.33203125" style="313" customWidth="1"/>
    <col min="9229" max="9229" width="8.6640625" style="313" customWidth="1"/>
    <col min="9230" max="9230" width="7.33203125" style="313" customWidth="1"/>
    <col min="9231" max="9231" width="8.6640625" style="313" customWidth="1"/>
    <col min="9232" max="9233" width="7.1640625" style="313" customWidth="1"/>
    <col min="9234" max="9234" width="7.5" style="313" customWidth="1"/>
    <col min="9235" max="9235" width="7.1640625" style="313" customWidth="1"/>
    <col min="9236" max="9236" width="8.83203125" style="313" customWidth="1"/>
    <col min="9237" max="9237" width="9.5" style="313" customWidth="1"/>
    <col min="9238" max="9238" width="5.6640625" style="313" customWidth="1"/>
    <col min="9239" max="9239" width="7.1640625" style="313" customWidth="1"/>
    <col min="9240" max="9240" width="5.6640625" style="313" customWidth="1"/>
    <col min="9241" max="9241" width="9.5" style="313" customWidth="1"/>
    <col min="9242" max="9242" width="9.6640625" style="313" customWidth="1"/>
    <col min="9243" max="9472" width="8.83203125" style="313"/>
    <col min="9473" max="9473" width="13" style="313" customWidth="1"/>
    <col min="9474" max="9474" width="7.6640625" style="313" customWidth="1"/>
    <col min="9475" max="9475" width="7" style="313" customWidth="1"/>
    <col min="9476" max="9476" width="8.5" style="313" customWidth="1"/>
    <col min="9477" max="9479" width="6.83203125" style="313" customWidth="1"/>
    <col min="9480" max="9480" width="8.1640625" style="313" customWidth="1"/>
    <col min="9481" max="9481" width="1" style="313" customWidth="1"/>
    <col min="9482" max="9482" width="7.1640625" style="313" customWidth="1"/>
    <col min="9483" max="9484" width="7.33203125" style="313" customWidth="1"/>
    <col min="9485" max="9485" width="8.6640625" style="313" customWidth="1"/>
    <col min="9486" max="9486" width="7.33203125" style="313" customWidth="1"/>
    <col min="9487" max="9487" width="8.6640625" style="313" customWidth="1"/>
    <col min="9488" max="9489" width="7.1640625" style="313" customWidth="1"/>
    <col min="9490" max="9490" width="7.5" style="313" customWidth="1"/>
    <col min="9491" max="9491" width="7.1640625" style="313" customWidth="1"/>
    <col min="9492" max="9492" width="8.83203125" style="313" customWidth="1"/>
    <col min="9493" max="9493" width="9.5" style="313" customWidth="1"/>
    <col min="9494" max="9494" width="5.6640625" style="313" customWidth="1"/>
    <col min="9495" max="9495" width="7.1640625" style="313" customWidth="1"/>
    <col min="9496" max="9496" width="5.6640625" style="313" customWidth="1"/>
    <col min="9497" max="9497" width="9.5" style="313" customWidth="1"/>
    <col min="9498" max="9498" width="9.6640625" style="313" customWidth="1"/>
    <col min="9499" max="9728" width="8.83203125" style="313"/>
    <col min="9729" max="9729" width="13" style="313" customWidth="1"/>
    <col min="9730" max="9730" width="7.6640625" style="313" customWidth="1"/>
    <col min="9731" max="9731" width="7" style="313" customWidth="1"/>
    <col min="9732" max="9732" width="8.5" style="313" customWidth="1"/>
    <col min="9733" max="9735" width="6.83203125" style="313" customWidth="1"/>
    <col min="9736" max="9736" width="8.1640625" style="313" customWidth="1"/>
    <col min="9737" max="9737" width="1" style="313" customWidth="1"/>
    <col min="9738" max="9738" width="7.1640625" style="313" customWidth="1"/>
    <col min="9739" max="9740" width="7.33203125" style="313" customWidth="1"/>
    <col min="9741" max="9741" width="8.6640625" style="313" customWidth="1"/>
    <col min="9742" max="9742" width="7.33203125" style="313" customWidth="1"/>
    <col min="9743" max="9743" width="8.6640625" style="313" customWidth="1"/>
    <col min="9744" max="9745" width="7.1640625" style="313" customWidth="1"/>
    <col min="9746" max="9746" width="7.5" style="313" customWidth="1"/>
    <col min="9747" max="9747" width="7.1640625" style="313" customWidth="1"/>
    <col min="9748" max="9748" width="8.83203125" style="313" customWidth="1"/>
    <col min="9749" max="9749" width="9.5" style="313" customWidth="1"/>
    <col min="9750" max="9750" width="5.6640625" style="313" customWidth="1"/>
    <col min="9751" max="9751" width="7.1640625" style="313" customWidth="1"/>
    <col min="9752" max="9752" width="5.6640625" style="313" customWidth="1"/>
    <col min="9753" max="9753" width="9.5" style="313" customWidth="1"/>
    <col min="9754" max="9754" width="9.6640625" style="313" customWidth="1"/>
    <col min="9755" max="9984" width="8.83203125" style="313"/>
    <col min="9985" max="9985" width="13" style="313" customWidth="1"/>
    <col min="9986" max="9986" width="7.6640625" style="313" customWidth="1"/>
    <col min="9987" max="9987" width="7" style="313" customWidth="1"/>
    <col min="9988" max="9988" width="8.5" style="313" customWidth="1"/>
    <col min="9989" max="9991" width="6.83203125" style="313" customWidth="1"/>
    <col min="9992" max="9992" width="8.1640625" style="313" customWidth="1"/>
    <col min="9993" max="9993" width="1" style="313" customWidth="1"/>
    <col min="9994" max="9994" width="7.1640625" style="313" customWidth="1"/>
    <col min="9995" max="9996" width="7.33203125" style="313" customWidth="1"/>
    <col min="9997" max="9997" width="8.6640625" style="313" customWidth="1"/>
    <col min="9998" max="9998" width="7.33203125" style="313" customWidth="1"/>
    <col min="9999" max="9999" width="8.6640625" style="313" customWidth="1"/>
    <col min="10000" max="10001" width="7.1640625" style="313" customWidth="1"/>
    <col min="10002" max="10002" width="7.5" style="313" customWidth="1"/>
    <col min="10003" max="10003" width="7.1640625" style="313" customWidth="1"/>
    <col min="10004" max="10004" width="8.83203125" style="313" customWidth="1"/>
    <col min="10005" max="10005" width="9.5" style="313" customWidth="1"/>
    <col min="10006" max="10006" width="5.6640625" style="313" customWidth="1"/>
    <col min="10007" max="10007" width="7.1640625" style="313" customWidth="1"/>
    <col min="10008" max="10008" width="5.6640625" style="313" customWidth="1"/>
    <col min="10009" max="10009" width="9.5" style="313" customWidth="1"/>
    <col min="10010" max="10010" width="9.6640625" style="313" customWidth="1"/>
    <col min="10011" max="10240" width="8.83203125" style="313"/>
    <col min="10241" max="10241" width="13" style="313" customWidth="1"/>
    <col min="10242" max="10242" width="7.6640625" style="313" customWidth="1"/>
    <col min="10243" max="10243" width="7" style="313" customWidth="1"/>
    <col min="10244" max="10244" width="8.5" style="313" customWidth="1"/>
    <col min="10245" max="10247" width="6.83203125" style="313" customWidth="1"/>
    <col min="10248" max="10248" width="8.1640625" style="313" customWidth="1"/>
    <col min="10249" max="10249" width="1" style="313" customWidth="1"/>
    <col min="10250" max="10250" width="7.1640625" style="313" customWidth="1"/>
    <col min="10251" max="10252" width="7.33203125" style="313" customWidth="1"/>
    <col min="10253" max="10253" width="8.6640625" style="313" customWidth="1"/>
    <col min="10254" max="10254" width="7.33203125" style="313" customWidth="1"/>
    <col min="10255" max="10255" width="8.6640625" style="313" customWidth="1"/>
    <col min="10256" max="10257" width="7.1640625" style="313" customWidth="1"/>
    <col min="10258" max="10258" width="7.5" style="313" customWidth="1"/>
    <col min="10259" max="10259" width="7.1640625" style="313" customWidth="1"/>
    <col min="10260" max="10260" width="8.83203125" style="313" customWidth="1"/>
    <col min="10261" max="10261" width="9.5" style="313" customWidth="1"/>
    <col min="10262" max="10262" width="5.6640625" style="313" customWidth="1"/>
    <col min="10263" max="10263" width="7.1640625" style="313" customWidth="1"/>
    <col min="10264" max="10264" width="5.6640625" style="313" customWidth="1"/>
    <col min="10265" max="10265" width="9.5" style="313" customWidth="1"/>
    <col min="10266" max="10266" width="9.6640625" style="313" customWidth="1"/>
    <col min="10267" max="10496" width="8.83203125" style="313"/>
    <col min="10497" max="10497" width="13" style="313" customWidth="1"/>
    <col min="10498" max="10498" width="7.6640625" style="313" customWidth="1"/>
    <col min="10499" max="10499" width="7" style="313" customWidth="1"/>
    <col min="10500" max="10500" width="8.5" style="313" customWidth="1"/>
    <col min="10501" max="10503" width="6.83203125" style="313" customWidth="1"/>
    <col min="10504" max="10504" width="8.1640625" style="313" customWidth="1"/>
    <col min="10505" max="10505" width="1" style="313" customWidth="1"/>
    <col min="10506" max="10506" width="7.1640625" style="313" customWidth="1"/>
    <col min="10507" max="10508" width="7.33203125" style="313" customWidth="1"/>
    <col min="10509" max="10509" width="8.6640625" style="313" customWidth="1"/>
    <col min="10510" max="10510" width="7.33203125" style="313" customWidth="1"/>
    <col min="10511" max="10511" width="8.6640625" style="313" customWidth="1"/>
    <col min="10512" max="10513" width="7.1640625" style="313" customWidth="1"/>
    <col min="10514" max="10514" width="7.5" style="313" customWidth="1"/>
    <col min="10515" max="10515" width="7.1640625" style="313" customWidth="1"/>
    <col min="10516" max="10516" width="8.83203125" style="313" customWidth="1"/>
    <col min="10517" max="10517" width="9.5" style="313" customWidth="1"/>
    <col min="10518" max="10518" width="5.6640625" style="313" customWidth="1"/>
    <col min="10519" max="10519" width="7.1640625" style="313" customWidth="1"/>
    <col min="10520" max="10520" width="5.6640625" style="313" customWidth="1"/>
    <col min="10521" max="10521" width="9.5" style="313" customWidth="1"/>
    <col min="10522" max="10522" width="9.6640625" style="313" customWidth="1"/>
    <col min="10523" max="10752" width="8.83203125" style="313"/>
    <col min="10753" max="10753" width="13" style="313" customWidth="1"/>
    <col min="10754" max="10754" width="7.6640625" style="313" customWidth="1"/>
    <col min="10755" max="10755" width="7" style="313" customWidth="1"/>
    <col min="10756" max="10756" width="8.5" style="313" customWidth="1"/>
    <col min="10757" max="10759" width="6.83203125" style="313" customWidth="1"/>
    <col min="10760" max="10760" width="8.1640625" style="313" customWidth="1"/>
    <col min="10761" max="10761" width="1" style="313" customWidth="1"/>
    <col min="10762" max="10762" width="7.1640625" style="313" customWidth="1"/>
    <col min="10763" max="10764" width="7.33203125" style="313" customWidth="1"/>
    <col min="10765" max="10765" width="8.6640625" style="313" customWidth="1"/>
    <col min="10766" max="10766" width="7.33203125" style="313" customWidth="1"/>
    <col min="10767" max="10767" width="8.6640625" style="313" customWidth="1"/>
    <col min="10768" max="10769" width="7.1640625" style="313" customWidth="1"/>
    <col min="10770" max="10770" width="7.5" style="313" customWidth="1"/>
    <col min="10771" max="10771" width="7.1640625" style="313" customWidth="1"/>
    <col min="10772" max="10772" width="8.83203125" style="313" customWidth="1"/>
    <col min="10773" max="10773" width="9.5" style="313" customWidth="1"/>
    <col min="10774" max="10774" width="5.6640625" style="313" customWidth="1"/>
    <col min="10775" max="10775" width="7.1640625" style="313" customWidth="1"/>
    <col min="10776" max="10776" width="5.6640625" style="313" customWidth="1"/>
    <col min="10777" max="10777" width="9.5" style="313" customWidth="1"/>
    <col min="10778" max="10778" width="9.6640625" style="313" customWidth="1"/>
    <col min="10779" max="11008" width="8.83203125" style="313"/>
    <col min="11009" max="11009" width="13" style="313" customWidth="1"/>
    <col min="11010" max="11010" width="7.6640625" style="313" customWidth="1"/>
    <col min="11011" max="11011" width="7" style="313" customWidth="1"/>
    <col min="11012" max="11012" width="8.5" style="313" customWidth="1"/>
    <col min="11013" max="11015" width="6.83203125" style="313" customWidth="1"/>
    <col min="11016" max="11016" width="8.1640625" style="313" customWidth="1"/>
    <col min="11017" max="11017" width="1" style="313" customWidth="1"/>
    <col min="11018" max="11018" width="7.1640625" style="313" customWidth="1"/>
    <col min="11019" max="11020" width="7.33203125" style="313" customWidth="1"/>
    <col min="11021" max="11021" width="8.6640625" style="313" customWidth="1"/>
    <col min="11022" max="11022" width="7.33203125" style="313" customWidth="1"/>
    <col min="11023" max="11023" width="8.6640625" style="313" customWidth="1"/>
    <col min="11024" max="11025" width="7.1640625" style="313" customWidth="1"/>
    <col min="11026" max="11026" width="7.5" style="313" customWidth="1"/>
    <col min="11027" max="11027" width="7.1640625" style="313" customWidth="1"/>
    <col min="11028" max="11028" width="8.83203125" style="313" customWidth="1"/>
    <col min="11029" max="11029" width="9.5" style="313" customWidth="1"/>
    <col min="11030" max="11030" width="5.6640625" style="313" customWidth="1"/>
    <col min="11031" max="11031" width="7.1640625" style="313" customWidth="1"/>
    <col min="11032" max="11032" width="5.6640625" style="313" customWidth="1"/>
    <col min="11033" max="11033" width="9.5" style="313" customWidth="1"/>
    <col min="11034" max="11034" width="9.6640625" style="313" customWidth="1"/>
    <col min="11035" max="11264" width="8.83203125" style="313"/>
    <col min="11265" max="11265" width="13" style="313" customWidth="1"/>
    <col min="11266" max="11266" width="7.6640625" style="313" customWidth="1"/>
    <col min="11267" max="11267" width="7" style="313" customWidth="1"/>
    <col min="11268" max="11268" width="8.5" style="313" customWidth="1"/>
    <col min="11269" max="11271" width="6.83203125" style="313" customWidth="1"/>
    <col min="11272" max="11272" width="8.1640625" style="313" customWidth="1"/>
    <col min="11273" max="11273" width="1" style="313" customWidth="1"/>
    <col min="11274" max="11274" width="7.1640625" style="313" customWidth="1"/>
    <col min="11275" max="11276" width="7.33203125" style="313" customWidth="1"/>
    <col min="11277" max="11277" width="8.6640625" style="313" customWidth="1"/>
    <col min="11278" max="11278" width="7.33203125" style="313" customWidth="1"/>
    <col min="11279" max="11279" width="8.6640625" style="313" customWidth="1"/>
    <col min="11280" max="11281" width="7.1640625" style="313" customWidth="1"/>
    <col min="11282" max="11282" width="7.5" style="313" customWidth="1"/>
    <col min="11283" max="11283" width="7.1640625" style="313" customWidth="1"/>
    <col min="11284" max="11284" width="8.83203125" style="313" customWidth="1"/>
    <col min="11285" max="11285" width="9.5" style="313" customWidth="1"/>
    <col min="11286" max="11286" width="5.6640625" style="313" customWidth="1"/>
    <col min="11287" max="11287" width="7.1640625" style="313" customWidth="1"/>
    <col min="11288" max="11288" width="5.6640625" style="313" customWidth="1"/>
    <col min="11289" max="11289" width="9.5" style="313" customWidth="1"/>
    <col min="11290" max="11290" width="9.6640625" style="313" customWidth="1"/>
    <col min="11291" max="11520" width="8.83203125" style="313"/>
    <col min="11521" max="11521" width="13" style="313" customWidth="1"/>
    <col min="11522" max="11522" width="7.6640625" style="313" customWidth="1"/>
    <col min="11523" max="11523" width="7" style="313" customWidth="1"/>
    <col min="11524" max="11524" width="8.5" style="313" customWidth="1"/>
    <col min="11525" max="11527" width="6.83203125" style="313" customWidth="1"/>
    <col min="11528" max="11528" width="8.1640625" style="313" customWidth="1"/>
    <col min="11529" max="11529" width="1" style="313" customWidth="1"/>
    <col min="11530" max="11530" width="7.1640625" style="313" customWidth="1"/>
    <col min="11531" max="11532" width="7.33203125" style="313" customWidth="1"/>
    <col min="11533" max="11533" width="8.6640625" style="313" customWidth="1"/>
    <col min="11534" max="11534" width="7.33203125" style="313" customWidth="1"/>
    <col min="11535" max="11535" width="8.6640625" style="313" customWidth="1"/>
    <col min="11536" max="11537" width="7.1640625" style="313" customWidth="1"/>
    <col min="11538" max="11538" width="7.5" style="313" customWidth="1"/>
    <col min="11539" max="11539" width="7.1640625" style="313" customWidth="1"/>
    <col min="11540" max="11540" width="8.83203125" style="313" customWidth="1"/>
    <col min="11541" max="11541" width="9.5" style="313" customWidth="1"/>
    <col min="11542" max="11542" width="5.6640625" style="313" customWidth="1"/>
    <col min="11543" max="11543" width="7.1640625" style="313" customWidth="1"/>
    <col min="11544" max="11544" width="5.6640625" style="313" customWidth="1"/>
    <col min="11545" max="11545" width="9.5" style="313" customWidth="1"/>
    <col min="11546" max="11546" width="9.6640625" style="313" customWidth="1"/>
    <col min="11547" max="11776" width="8.83203125" style="313"/>
    <col min="11777" max="11777" width="13" style="313" customWidth="1"/>
    <col min="11778" max="11778" width="7.6640625" style="313" customWidth="1"/>
    <col min="11779" max="11779" width="7" style="313" customWidth="1"/>
    <col min="11780" max="11780" width="8.5" style="313" customWidth="1"/>
    <col min="11781" max="11783" width="6.83203125" style="313" customWidth="1"/>
    <col min="11784" max="11784" width="8.1640625" style="313" customWidth="1"/>
    <col min="11785" max="11785" width="1" style="313" customWidth="1"/>
    <col min="11786" max="11786" width="7.1640625" style="313" customWidth="1"/>
    <col min="11787" max="11788" width="7.33203125" style="313" customWidth="1"/>
    <col min="11789" max="11789" width="8.6640625" style="313" customWidth="1"/>
    <col min="11790" max="11790" width="7.33203125" style="313" customWidth="1"/>
    <col min="11791" max="11791" width="8.6640625" style="313" customWidth="1"/>
    <col min="11792" max="11793" width="7.1640625" style="313" customWidth="1"/>
    <col min="11794" max="11794" width="7.5" style="313" customWidth="1"/>
    <col min="11795" max="11795" width="7.1640625" style="313" customWidth="1"/>
    <col min="11796" max="11796" width="8.83203125" style="313" customWidth="1"/>
    <col min="11797" max="11797" width="9.5" style="313" customWidth="1"/>
    <col min="11798" max="11798" width="5.6640625" style="313" customWidth="1"/>
    <col min="11799" max="11799" width="7.1640625" style="313" customWidth="1"/>
    <col min="11800" max="11800" width="5.6640625" style="313" customWidth="1"/>
    <col min="11801" max="11801" width="9.5" style="313" customWidth="1"/>
    <col min="11802" max="11802" width="9.6640625" style="313" customWidth="1"/>
    <col min="11803" max="12032" width="8.83203125" style="313"/>
    <col min="12033" max="12033" width="13" style="313" customWidth="1"/>
    <col min="12034" max="12034" width="7.6640625" style="313" customWidth="1"/>
    <col min="12035" max="12035" width="7" style="313" customWidth="1"/>
    <col min="12036" max="12036" width="8.5" style="313" customWidth="1"/>
    <col min="12037" max="12039" width="6.83203125" style="313" customWidth="1"/>
    <col min="12040" max="12040" width="8.1640625" style="313" customWidth="1"/>
    <col min="12041" max="12041" width="1" style="313" customWidth="1"/>
    <col min="12042" max="12042" width="7.1640625" style="313" customWidth="1"/>
    <col min="12043" max="12044" width="7.33203125" style="313" customWidth="1"/>
    <col min="12045" max="12045" width="8.6640625" style="313" customWidth="1"/>
    <col min="12046" max="12046" width="7.33203125" style="313" customWidth="1"/>
    <col min="12047" max="12047" width="8.6640625" style="313" customWidth="1"/>
    <col min="12048" max="12049" width="7.1640625" style="313" customWidth="1"/>
    <col min="12050" max="12050" width="7.5" style="313" customWidth="1"/>
    <col min="12051" max="12051" width="7.1640625" style="313" customWidth="1"/>
    <col min="12052" max="12052" width="8.83203125" style="313" customWidth="1"/>
    <col min="12053" max="12053" width="9.5" style="313" customWidth="1"/>
    <col min="12054" max="12054" width="5.6640625" style="313" customWidth="1"/>
    <col min="12055" max="12055" width="7.1640625" style="313" customWidth="1"/>
    <col min="12056" max="12056" width="5.6640625" style="313" customWidth="1"/>
    <col min="12057" max="12057" width="9.5" style="313" customWidth="1"/>
    <col min="12058" max="12058" width="9.6640625" style="313" customWidth="1"/>
    <col min="12059" max="12288" width="8.83203125" style="313"/>
    <col min="12289" max="12289" width="13" style="313" customWidth="1"/>
    <col min="12290" max="12290" width="7.6640625" style="313" customWidth="1"/>
    <col min="12291" max="12291" width="7" style="313" customWidth="1"/>
    <col min="12292" max="12292" width="8.5" style="313" customWidth="1"/>
    <col min="12293" max="12295" width="6.83203125" style="313" customWidth="1"/>
    <col min="12296" max="12296" width="8.1640625" style="313" customWidth="1"/>
    <col min="12297" max="12297" width="1" style="313" customWidth="1"/>
    <col min="12298" max="12298" width="7.1640625" style="313" customWidth="1"/>
    <col min="12299" max="12300" width="7.33203125" style="313" customWidth="1"/>
    <col min="12301" max="12301" width="8.6640625" style="313" customWidth="1"/>
    <col min="12302" max="12302" width="7.33203125" style="313" customWidth="1"/>
    <col min="12303" max="12303" width="8.6640625" style="313" customWidth="1"/>
    <col min="12304" max="12305" width="7.1640625" style="313" customWidth="1"/>
    <col min="12306" max="12306" width="7.5" style="313" customWidth="1"/>
    <col min="12307" max="12307" width="7.1640625" style="313" customWidth="1"/>
    <col min="12308" max="12308" width="8.83203125" style="313" customWidth="1"/>
    <col min="12309" max="12309" width="9.5" style="313" customWidth="1"/>
    <col min="12310" max="12310" width="5.6640625" style="313" customWidth="1"/>
    <col min="12311" max="12311" width="7.1640625" style="313" customWidth="1"/>
    <col min="12312" max="12312" width="5.6640625" style="313" customWidth="1"/>
    <col min="12313" max="12313" width="9.5" style="313" customWidth="1"/>
    <col min="12314" max="12314" width="9.6640625" style="313" customWidth="1"/>
    <col min="12315" max="12544" width="8.83203125" style="313"/>
    <col min="12545" max="12545" width="13" style="313" customWidth="1"/>
    <col min="12546" max="12546" width="7.6640625" style="313" customWidth="1"/>
    <col min="12547" max="12547" width="7" style="313" customWidth="1"/>
    <col min="12548" max="12548" width="8.5" style="313" customWidth="1"/>
    <col min="12549" max="12551" width="6.83203125" style="313" customWidth="1"/>
    <col min="12552" max="12552" width="8.1640625" style="313" customWidth="1"/>
    <col min="12553" max="12553" width="1" style="313" customWidth="1"/>
    <col min="12554" max="12554" width="7.1640625" style="313" customWidth="1"/>
    <col min="12555" max="12556" width="7.33203125" style="313" customWidth="1"/>
    <col min="12557" max="12557" width="8.6640625" style="313" customWidth="1"/>
    <col min="12558" max="12558" width="7.33203125" style="313" customWidth="1"/>
    <col min="12559" max="12559" width="8.6640625" style="313" customWidth="1"/>
    <col min="12560" max="12561" width="7.1640625" style="313" customWidth="1"/>
    <col min="12562" max="12562" width="7.5" style="313" customWidth="1"/>
    <col min="12563" max="12563" width="7.1640625" style="313" customWidth="1"/>
    <col min="12564" max="12564" width="8.83203125" style="313" customWidth="1"/>
    <col min="12565" max="12565" width="9.5" style="313" customWidth="1"/>
    <col min="12566" max="12566" width="5.6640625" style="313" customWidth="1"/>
    <col min="12567" max="12567" width="7.1640625" style="313" customWidth="1"/>
    <col min="12568" max="12568" width="5.6640625" style="313" customWidth="1"/>
    <col min="12569" max="12569" width="9.5" style="313" customWidth="1"/>
    <col min="12570" max="12570" width="9.6640625" style="313" customWidth="1"/>
    <col min="12571" max="12800" width="8.83203125" style="313"/>
    <col min="12801" max="12801" width="13" style="313" customWidth="1"/>
    <col min="12802" max="12802" width="7.6640625" style="313" customWidth="1"/>
    <col min="12803" max="12803" width="7" style="313" customWidth="1"/>
    <col min="12804" max="12804" width="8.5" style="313" customWidth="1"/>
    <col min="12805" max="12807" width="6.83203125" style="313" customWidth="1"/>
    <col min="12808" max="12808" width="8.1640625" style="313" customWidth="1"/>
    <col min="12809" max="12809" width="1" style="313" customWidth="1"/>
    <col min="12810" max="12810" width="7.1640625" style="313" customWidth="1"/>
    <col min="12811" max="12812" width="7.33203125" style="313" customWidth="1"/>
    <col min="12813" max="12813" width="8.6640625" style="313" customWidth="1"/>
    <col min="12814" max="12814" width="7.33203125" style="313" customWidth="1"/>
    <col min="12815" max="12815" width="8.6640625" style="313" customWidth="1"/>
    <col min="12816" max="12817" width="7.1640625" style="313" customWidth="1"/>
    <col min="12818" max="12818" width="7.5" style="313" customWidth="1"/>
    <col min="12819" max="12819" width="7.1640625" style="313" customWidth="1"/>
    <col min="12820" max="12820" width="8.83203125" style="313" customWidth="1"/>
    <col min="12821" max="12821" width="9.5" style="313" customWidth="1"/>
    <col min="12822" max="12822" width="5.6640625" style="313" customWidth="1"/>
    <col min="12823" max="12823" width="7.1640625" style="313" customWidth="1"/>
    <col min="12824" max="12824" width="5.6640625" style="313" customWidth="1"/>
    <col min="12825" max="12825" width="9.5" style="313" customWidth="1"/>
    <col min="12826" max="12826" width="9.6640625" style="313" customWidth="1"/>
    <col min="12827" max="13056" width="8.83203125" style="313"/>
    <col min="13057" max="13057" width="13" style="313" customWidth="1"/>
    <col min="13058" max="13058" width="7.6640625" style="313" customWidth="1"/>
    <col min="13059" max="13059" width="7" style="313" customWidth="1"/>
    <col min="13060" max="13060" width="8.5" style="313" customWidth="1"/>
    <col min="13061" max="13063" width="6.83203125" style="313" customWidth="1"/>
    <col min="13064" max="13064" width="8.1640625" style="313" customWidth="1"/>
    <col min="13065" max="13065" width="1" style="313" customWidth="1"/>
    <col min="13066" max="13066" width="7.1640625" style="313" customWidth="1"/>
    <col min="13067" max="13068" width="7.33203125" style="313" customWidth="1"/>
    <col min="13069" max="13069" width="8.6640625" style="313" customWidth="1"/>
    <col min="13070" max="13070" width="7.33203125" style="313" customWidth="1"/>
    <col min="13071" max="13071" width="8.6640625" style="313" customWidth="1"/>
    <col min="13072" max="13073" width="7.1640625" style="313" customWidth="1"/>
    <col min="13074" max="13074" width="7.5" style="313" customWidth="1"/>
    <col min="13075" max="13075" width="7.1640625" style="313" customWidth="1"/>
    <col min="13076" max="13076" width="8.83203125" style="313" customWidth="1"/>
    <col min="13077" max="13077" width="9.5" style="313" customWidth="1"/>
    <col min="13078" max="13078" width="5.6640625" style="313" customWidth="1"/>
    <col min="13079" max="13079" width="7.1640625" style="313" customWidth="1"/>
    <col min="13080" max="13080" width="5.6640625" style="313" customWidth="1"/>
    <col min="13081" max="13081" width="9.5" style="313" customWidth="1"/>
    <col min="13082" max="13082" width="9.6640625" style="313" customWidth="1"/>
    <col min="13083" max="13312" width="8.83203125" style="313"/>
    <col min="13313" max="13313" width="13" style="313" customWidth="1"/>
    <col min="13314" max="13314" width="7.6640625" style="313" customWidth="1"/>
    <col min="13315" max="13315" width="7" style="313" customWidth="1"/>
    <col min="13316" max="13316" width="8.5" style="313" customWidth="1"/>
    <col min="13317" max="13319" width="6.83203125" style="313" customWidth="1"/>
    <col min="13320" max="13320" width="8.1640625" style="313" customWidth="1"/>
    <col min="13321" max="13321" width="1" style="313" customWidth="1"/>
    <col min="13322" max="13322" width="7.1640625" style="313" customWidth="1"/>
    <col min="13323" max="13324" width="7.33203125" style="313" customWidth="1"/>
    <col min="13325" max="13325" width="8.6640625" style="313" customWidth="1"/>
    <col min="13326" max="13326" width="7.33203125" style="313" customWidth="1"/>
    <col min="13327" max="13327" width="8.6640625" style="313" customWidth="1"/>
    <col min="13328" max="13329" width="7.1640625" style="313" customWidth="1"/>
    <col min="13330" max="13330" width="7.5" style="313" customWidth="1"/>
    <col min="13331" max="13331" width="7.1640625" style="313" customWidth="1"/>
    <col min="13332" max="13332" width="8.83203125" style="313" customWidth="1"/>
    <col min="13333" max="13333" width="9.5" style="313" customWidth="1"/>
    <col min="13334" max="13334" width="5.6640625" style="313" customWidth="1"/>
    <col min="13335" max="13335" width="7.1640625" style="313" customWidth="1"/>
    <col min="13336" max="13336" width="5.6640625" style="313" customWidth="1"/>
    <col min="13337" max="13337" width="9.5" style="313" customWidth="1"/>
    <col min="13338" max="13338" width="9.6640625" style="313" customWidth="1"/>
    <col min="13339" max="13568" width="8.83203125" style="313"/>
    <col min="13569" max="13569" width="13" style="313" customWidth="1"/>
    <col min="13570" max="13570" width="7.6640625" style="313" customWidth="1"/>
    <col min="13571" max="13571" width="7" style="313" customWidth="1"/>
    <col min="13572" max="13572" width="8.5" style="313" customWidth="1"/>
    <col min="13573" max="13575" width="6.83203125" style="313" customWidth="1"/>
    <col min="13576" max="13576" width="8.1640625" style="313" customWidth="1"/>
    <col min="13577" max="13577" width="1" style="313" customWidth="1"/>
    <col min="13578" max="13578" width="7.1640625" style="313" customWidth="1"/>
    <col min="13579" max="13580" width="7.33203125" style="313" customWidth="1"/>
    <col min="13581" max="13581" width="8.6640625" style="313" customWidth="1"/>
    <col min="13582" max="13582" width="7.33203125" style="313" customWidth="1"/>
    <col min="13583" max="13583" width="8.6640625" style="313" customWidth="1"/>
    <col min="13584" max="13585" width="7.1640625" style="313" customWidth="1"/>
    <col min="13586" max="13586" width="7.5" style="313" customWidth="1"/>
    <col min="13587" max="13587" width="7.1640625" style="313" customWidth="1"/>
    <col min="13588" max="13588" width="8.83203125" style="313" customWidth="1"/>
    <col min="13589" max="13589" width="9.5" style="313" customWidth="1"/>
    <col min="13590" max="13590" width="5.6640625" style="313" customWidth="1"/>
    <col min="13591" max="13591" width="7.1640625" style="313" customWidth="1"/>
    <col min="13592" max="13592" width="5.6640625" style="313" customWidth="1"/>
    <col min="13593" max="13593" width="9.5" style="313" customWidth="1"/>
    <col min="13594" max="13594" width="9.6640625" style="313" customWidth="1"/>
    <col min="13595" max="13824" width="8.83203125" style="313"/>
    <col min="13825" max="13825" width="13" style="313" customWidth="1"/>
    <col min="13826" max="13826" width="7.6640625" style="313" customWidth="1"/>
    <col min="13827" max="13827" width="7" style="313" customWidth="1"/>
    <col min="13828" max="13828" width="8.5" style="313" customWidth="1"/>
    <col min="13829" max="13831" width="6.83203125" style="313" customWidth="1"/>
    <col min="13832" max="13832" width="8.1640625" style="313" customWidth="1"/>
    <col min="13833" max="13833" width="1" style="313" customWidth="1"/>
    <col min="13834" max="13834" width="7.1640625" style="313" customWidth="1"/>
    <col min="13835" max="13836" width="7.33203125" style="313" customWidth="1"/>
    <col min="13837" max="13837" width="8.6640625" style="313" customWidth="1"/>
    <col min="13838" max="13838" width="7.33203125" style="313" customWidth="1"/>
    <col min="13839" max="13839" width="8.6640625" style="313" customWidth="1"/>
    <col min="13840" max="13841" width="7.1640625" style="313" customWidth="1"/>
    <col min="13842" max="13842" width="7.5" style="313" customWidth="1"/>
    <col min="13843" max="13843" width="7.1640625" style="313" customWidth="1"/>
    <col min="13844" max="13844" width="8.83203125" style="313" customWidth="1"/>
    <col min="13845" max="13845" width="9.5" style="313" customWidth="1"/>
    <col min="13846" max="13846" width="5.6640625" style="313" customWidth="1"/>
    <col min="13847" max="13847" width="7.1640625" style="313" customWidth="1"/>
    <col min="13848" max="13848" width="5.6640625" style="313" customWidth="1"/>
    <col min="13849" max="13849" width="9.5" style="313" customWidth="1"/>
    <col min="13850" max="13850" width="9.6640625" style="313" customWidth="1"/>
    <col min="13851" max="14080" width="8.83203125" style="313"/>
    <col min="14081" max="14081" width="13" style="313" customWidth="1"/>
    <col min="14082" max="14082" width="7.6640625" style="313" customWidth="1"/>
    <col min="14083" max="14083" width="7" style="313" customWidth="1"/>
    <col min="14084" max="14084" width="8.5" style="313" customWidth="1"/>
    <col min="14085" max="14087" width="6.83203125" style="313" customWidth="1"/>
    <col min="14088" max="14088" width="8.1640625" style="313" customWidth="1"/>
    <col min="14089" max="14089" width="1" style="313" customWidth="1"/>
    <col min="14090" max="14090" width="7.1640625" style="313" customWidth="1"/>
    <col min="14091" max="14092" width="7.33203125" style="313" customWidth="1"/>
    <col min="14093" max="14093" width="8.6640625" style="313" customWidth="1"/>
    <col min="14094" max="14094" width="7.33203125" style="313" customWidth="1"/>
    <col min="14095" max="14095" width="8.6640625" style="313" customWidth="1"/>
    <col min="14096" max="14097" width="7.1640625" style="313" customWidth="1"/>
    <col min="14098" max="14098" width="7.5" style="313" customWidth="1"/>
    <col min="14099" max="14099" width="7.1640625" style="313" customWidth="1"/>
    <col min="14100" max="14100" width="8.83203125" style="313" customWidth="1"/>
    <col min="14101" max="14101" width="9.5" style="313" customWidth="1"/>
    <col min="14102" max="14102" width="5.6640625" style="313" customWidth="1"/>
    <col min="14103" max="14103" width="7.1640625" style="313" customWidth="1"/>
    <col min="14104" max="14104" width="5.6640625" style="313" customWidth="1"/>
    <col min="14105" max="14105" width="9.5" style="313" customWidth="1"/>
    <col min="14106" max="14106" width="9.6640625" style="313" customWidth="1"/>
    <col min="14107" max="14336" width="8.83203125" style="313"/>
    <col min="14337" max="14337" width="13" style="313" customWidth="1"/>
    <col min="14338" max="14338" width="7.6640625" style="313" customWidth="1"/>
    <col min="14339" max="14339" width="7" style="313" customWidth="1"/>
    <col min="14340" max="14340" width="8.5" style="313" customWidth="1"/>
    <col min="14341" max="14343" width="6.83203125" style="313" customWidth="1"/>
    <col min="14344" max="14344" width="8.1640625" style="313" customWidth="1"/>
    <col min="14345" max="14345" width="1" style="313" customWidth="1"/>
    <col min="14346" max="14346" width="7.1640625" style="313" customWidth="1"/>
    <col min="14347" max="14348" width="7.33203125" style="313" customWidth="1"/>
    <col min="14349" max="14349" width="8.6640625" style="313" customWidth="1"/>
    <col min="14350" max="14350" width="7.33203125" style="313" customWidth="1"/>
    <col min="14351" max="14351" width="8.6640625" style="313" customWidth="1"/>
    <col min="14352" max="14353" width="7.1640625" style="313" customWidth="1"/>
    <col min="14354" max="14354" width="7.5" style="313" customWidth="1"/>
    <col min="14355" max="14355" width="7.1640625" style="313" customWidth="1"/>
    <col min="14356" max="14356" width="8.83203125" style="313" customWidth="1"/>
    <col min="14357" max="14357" width="9.5" style="313" customWidth="1"/>
    <col min="14358" max="14358" width="5.6640625" style="313" customWidth="1"/>
    <col min="14359" max="14359" width="7.1640625" style="313" customWidth="1"/>
    <col min="14360" max="14360" width="5.6640625" style="313" customWidth="1"/>
    <col min="14361" max="14361" width="9.5" style="313" customWidth="1"/>
    <col min="14362" max="14362" width="9.6640625" style="313" customWidth="1"/>
    <col min="14363" max="14592" width="8.83203125" style="313"/>
    <col min="14593" max="14593" width="13" style="313" customWidth="1"/>
    <col min="14594" max="14594" width="7.6640625" style="313" customWidth="1"/>
    <col min="14595" max="14595" width="7" style="313" customWidth="1"/>
    <col min="14596" max="14596" width="8.5" style="313" customWidth="1"/>
    <col min="14597" max="14599" width="6.83203125" style="313" customWidth="1"/>
    <col min="14600" max="14600" width="8.1640625" style="313" customWidth="1"/>
    <col min="14601" max="14601" width="1" style="313" customWidth="1"/>
    <col min="14602" max="14602" width="7.1640625" style="313" customWidth="1"/>
    <col min="14603" max="14604" width="7.33203125" style="313" customWidth="1"/>
    <col min="14605" max="14605" width="8.6640625" style="313" customWidth="1"/>
    <col min="14606" max="14606" width="7.33203125" style="313" customWidth="1"/>
    <col min="14607" max="14607" width="8.6640625" style="313" customWidth="1"/>
    <col min="14608" max="14609" width="7.1640625" style="313" customWidth="1"/>
    <col min="14610" max="14610" width="7.5" style="313" customWidth="1"/>
    <col min="14611" max="14611" width="7.1640625" style="313" customWidth="1"/>
    <col min="14612" max="14612" width="8.83203125" style="313" customWidth="1"/>
    <col min="14613" max="14613" width="9.5" style="313" customWidth="1"/>
    <col min="14614" max="14614" width="5.6640625" style="313" customWidth="1"/>
    <col min="14615" max="14615" width="7.1640625" style="313" customWidth="1"/>
    <col min="14616" max="14616" width="5.6640625" style="313" customWidth="1"/>
    <col min="14617" max="14617" width="9.5" style="313" customWidth="1"/>
    <col min="14618" max="14618" width="9.6640625" style="313" customWidth="1"/>
    <col min="14619" max="14848" width="8.83203125" style="313"/>
    <col min="14849" max="14849" width="13" style="313" customWidth="1"/>
    <col min="14850" max="14850" width="7.6640625" style="313" customWidth="1"/>
    <col min="14851" max="14851" width="7" style="313" customWidth="1"/>
    <col min="14852" max="14852" width="8.5" style="313" customWidth="1"/>
    <col min="14853" max="14855" width="6.83203125" style="313" customWidth="1"/>
    <col min="14856" max="14856" width="8.1640625" style="313" customWidth="1"/>
    <col min="14857" max="14857" width="1" style="313" customWidth="1"/>
    <col min="14858" max="14858" width="7.1640625" style="313" customWidth="1"/>
    <col min="14859" max="14860" width="7.33203125" style="313" customWidth="1"/>
    <col min="14861" max="14861" width="8.6640625" style="313" customWidth="1"/>
    <col min="14862" max="14862" width="7.33203125" style="313" customWidth="1"/>
    <col min="14863" max="14863" width="8.6640625" style="313" customWidth="1"/>
    <col min="14864" max="14865" width="7.1640625" style="313" customWidth="1"/>
    <col min="14866" max="14866" width="7.5" style="313" customWidth="1"/>
    <col min="14867" max="14867" width="7.1640625" style="313" customWidth="1"/>
    <col min="14868" max="14868" width="8.83203125" style="313" customWidth="1"/>
    <col min="14869" max="14869" width="9.5" style="313" customWidth="1"/>
    <col min="14870" max="14870" width="5.6640625" style="313" customWidth="1"/>
    <col min="14871" max="14871" width="7.1640625" style="313" customWidth="1"/>
    <col min="14872" max="14872" width="5.6640625" style="313" customWidth="1"/>
    <col min="14873" max="14873" width="9.5" style="313" customWidth="1"/>
    <col min="14874" max="14874" width="9.6640625" style="313" customWidth="1"/>
    <col min="14875" max="15104" width="8.83203125" style="313"/>
    <col min="15105" max="15105" width="13" style="313" customWidth="1"/>
    <col min="15106" max="15106" width="7.6640625" style="313" customWidth="1"/>
    <col min="15107" max="15107" width="7" style="313" customWidth="1"/>
    <col min="15108" max="15108" width="8.5" style="313" customWidth="1"/>
    <col min="15109" max="15111" width="6.83203125" style="313" customWidth="1"/>
    <col min="15112" max="15112" width="8.1640625" style="313" customWidth="1"/>
    <col min="15113" max="15113" width="1" style="313" customWidth="1"/>
    <col min="15114" max="15114" width="7.1640625" style="313" customWidth="1"/>
    <col min="15115" max="15116" width="7.33203125" style="313" customWidth="1"/>
    <col min="15117" max="15117" width="8.6640625" style="313" customWidth="1"/>
    <col min="15118" max="15118" width="7.33203125" style="313" customWidth="1"/>
    <col min="15119" max="15119" width="8.6640625" style="313" customWidth="1"/>
    <col min="15120" max="15121" width="7.1640625" style="313" customWidth="1"/>
    <col min="15122" max="15122" width="7.5" style="313" customWidth="1"/>
    <col min="15123" max="15123" width="7.1640625" style="313" customWidth="1"/>
    <col min="15124" max="15124" width="8.83203125" style="313" customWidth="1"/>
    <col min="15125" max="15125" width="9.5" style="313" customWidth="1"/>
    <col min="15126" max="15126" width="5.6640625" style="313" customWidth="1"/>
    <col min="15127" max="15127" width="7.1640625" style="313" customWidth="1"/>
    <col min="15128" max="15128" width="5.6640625" style="313" customWidth="1"/>
    <col min="15129" max="15129" width="9.5" style="313" customWidth="1"/>
    <col min="15130" max="15130" width="9.6640625" style="313" customWidth="1"/>
    <col min="15131" max="15360" width="8.83203125" style="313"/>
    <col min="15361" max="15361" width="13" style="313" customWidth="1"/>
    <col min="15362" max="15362" width="7.6640625" style="313" customWidth="1"/>
    <col min="15363" max="15363" width="7" style="313" customWidth="1"/>
    <col min="15364" max="15364" width="8.5" style="313" customWidth="1"/>
    <col min="15365" max="15367" width="6.83203125" style="313" customWidth="1"/>
    <col min="15368" max="15368" width="8.1640625" style="313" customWidth="1"/>
    <col min="15369" max="15369" width="1" style="313" customWidth="1"/>
    <col min="15370" max="15370" width="7.1640625" style="313" customWidth="1"/>
    <col min="15371" max="15372" width="7.33203125" style="313" customWidth="1"/>
    <col min="15373" max="15373" width="8.6640625" style="313" customWidth="1"/>
    <col min="15374" max="15374" width="7.33203125" style="313" customWidth="1"/>
    <col min="15375" max="15375" width="8.6640625" style="313" customWidth="1"/>
    <col min="15376" max="15377" width="7.1640625" style="313" customWidth="1"/>
    <col min="15378" max="15378" width="7.5" style="313" customWidth="1"/>
    <col min="15379" max="15379" width="7.1640625" style="313" customWidth="1"/>
    <col min="15380" max="15380" width="8.83203125" style="313" customWidth="1"/>
    <col min="15381" max="15381" width="9.5" style="313" customWidth="1"/>
    <col min="15382" max="15382" width="5.6640625" style="313" customWidth="1"/>
    <col min="15383" max="15383" width="7.1640625" style="313" customWidth="1"/>
    <col min="15384" max="15384" width="5.6640625" style="313" customWidth="1"/>
    <col min="15385" max="15385" width="9.5" style="313" customWidth="1"/>
    <col min="15386" max="15386" width="9.6640625" style="313" customWidth="1"/>
    <col min="15387" max="15616" width="8.83203125" style="313"/>
    <col min="15617" max="15617" width="13" style="313" customWidth="1"/>
    <col min="15618" max="15618" width="7.6640625" style="313" customWidth="1"/>
    <col min="15619" max="15619" width="7" style="313" customWidth="1"/>
    <col min="15620" max="15620" width="8.5" style="313" customWidth="1"/>
    <col min="15621" max="15623" width="6.83203125" style="313" customWidth="1"/>
    <col min="15624" max="15624" width="8.1640625" style="313" customWidth="1"/>
    <col min="15625" max="15625" width="1" style="313" customWidth="1"/>
    <col min="15626" max="15626" width="7.1640625" style="313" customWidth="1"/>
    <col min="15627" max="15628" width="7.33203125" style="313" customWidth="1"/>
    <col min="15629" max="15629" width="8.6640625" style="313" customWidth="1"/>
    <col min="15630" max="15630" width="7.33203125" style="313" customWidth="1"/>
    <col min="15631" max="15631" width="8.6640625" style="313" customWidth="1"/>
    <col min="15632" max="15633" width="7.1640625" style="313" customWidth="1"/>
    <col min="15634" max="15634" width="7.5" style="313" customWidth="1"/>
    <col min="15635" max="15635" width="7.1640625" style="313" customWidth="1"/>
    <col min="15636" max="15636" width="8.83203125" style="313" customWidth="1"/>
    <col min="15637" max="15637" width="9.5" style="313" customWidth="1"/>
    <col min="15638" max="15638" width="5.6640625" style="313" customWidth="1"/>
    <col min="15639" max="15639" width="7.1640625" style="313" customWidth="1"/>
    <col min="15640" max="15640" width="5.6640625" style="313" customWidth="1"/>
    <col min="15641" max="15641" width="9.5" style="313" customWidth="1"/>
    <col min="15642" max="15642" width="9.6640625" style="313" customWidth="1"/>
    <col min="15643" max="15872" width="8.83203125" style="313"/>
    <col min="15873" max="15873" width="13" style="313" customWidth="1"/>
    <col min="15874" max="15874" width="7.6640625" style="313" customWidth="1"/>
    <col min="15875" max="15875" width="7" style="313" customWidth="1"/>
    <col min="15876" max="15876" width="8.5" style="313" customWidth="1"/>
    <col min="15877" max="15879" width="6.83203125" style="313" customWidth="1"/>
    <col min="15880" max="15880" width="8.1640625" style="313" customWidth="1"/>
    <col min="15881" max="15881" width="1" style="313" customWidth="1"/>
    <col min="15882" max="15882" width="7.1640625" style="313" customWidth="1"/>
    <col min="15883" max="15884" width="7.33203125" style="313" customWidth="1"/>
    <col min="15885" max="15885" width="8.6640625" style="313" customWidth="1"/>
    <col min="15886" max="15886" width="7.33203125" style="313" customWidth="1"/>
    <col min="15887" max="15887" width="8.6640625" style="313" customWidth="1"/>
    <col min="15888" max="15889" width="7.1640625" style="313" customWidth="1"/>
    <col min="15890" max="15890" width="7.5" style="313" customWidth="1"/>
    <col min="15891" max="15891" width="7.1640625" style="313" customWidth="1"/>
    <col min="15892" max="15892" width="8.83203125" style="313" customWidth="1"/>
    <col min="15893" max="15893" width="9.5" style="313" customWidth="1"/>
    <col min="15894" max="15894" width="5.6640625" style="313" customWidth="1"/>
    <col min="15895" max="15895" width="7.1640625" style="313" customWidth="1"/>
    <col min="15896" max="15896" width="5.6640625" style="313" customWidth="1"/>
    <col min="15897" max="15897" width="9.5" style="313" customWidth="1"/>
    <col min="15898" max="15898" width="9.6640625" style="313" customWidth="1"/>
    <col min="15899" max="16128" width="8.83203125" style="313"/>
    <col min="16129" max="16129" width="13" style="313" customWidth="1"/>
    <col min="16130" max="16130" width="7.6640625" style="313" customWidth="1"/>
    <col min="16131" max="16131" width="7" style="313" customWidth="1"/>
    <col min="16132" max="16132" width="8.5" style="313" customWidth="1"/>
    <col min="16133" max="16135" width="6.83203125" style="313" customWidth="1"/>
    <col min="16136" max="16136" width="8.1640625" style="313" customWidth="1"/>
    <col min="16137" max="16137" width="1" style="313" customWidth="1"/>
    <col min="16138" max="16138" width="7.1640625" style="313" customWidth="1"/>
    <col min="16139" max="16140" width="7.33203125" style="313" customWidth="1"/>
    <col min="16141" max="16141" width="8.6640625" style="313" customWidth="1"/>
    <col min="16142" max="16142" width="7.33203125" style="313" customWidth="1"/>
    <col min="16143" max="16143" width="8.6640625" style="313" customWidth="1"/>
    <col min="16144" max="16145" width="7.1640625" style="313" customWidth="1"/>
    <col min="16146" max="16146" width="7.5" style="313" customWidth="1"/>
    <col min="16147" max="16147" width="7.1640625" style="313" customWidth="1"/>
    <col min="16148" max="16148" width="8.83203125" style="313" customWidth="1"/>
    <col min="16149" max="16149" width="9.5" style="313" customWidth="1"/>
    <col min="16150" max="16150" width="5.6640625" style="313" customWidth="1"/>
    <col min="16151" max="16151" width="7.1640625" style="313" customWidth="1"/>
    <col min="16152" max="16152" width="5.6640625" style="313" customWidth="1"/>
    <col min="16153" max="16153" width="9.5" style="313" customWidth="1"/>
    <col min="16154" max="16154" width="9.6640625" style="313" customWidth="1"/>
    <col min="16155" max="16384" width="8.83203125" style="313"/>
  </cols>
  <sheetData>
    <row r="1" spans="1:29" s="392" customFormat="1" ht="26">
      <c r="A1" s="304" t="s">
        <v>476</v>
      </c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</row>
    <row r="2" spans="1:29" ht="18.75" customHeight="1" thickBot="1">
      <c r="A2" s="394"/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 t="s">
        <v>373</v>
      </c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</row>
    <row r="3" spans="1:29" ht="11" customHeight="1" thickTop="1">
      <c r="A3" s="396"/>
      <c r="B3" s="1778" t="s">
        <v>477</v>
      </c>
      <c r="C3" s="1778"/>
      <c r="D3" s="1778"/>
      <c r="E3" s="1778"/>
      <c r="F3" s="1778"/>
      <c r="G3" s="1778"/>
      <c r="H3" s="1778"/>
      <c r="I3" s="397"/>
      <c r="J3" s="1778" t="s">
        <v>478</v>
      </c>
      <c r="K3" s="1778"/>
      <c r="L3" s="1778"/>
      <c r="M3" s="1778"/>
      <c r="N3" s="1779"/>
      <c r="O3" s="1779"/>
      <c r="P3" s="1779"/>
      <c r="Q3" s="1779"/>
      <c r="R3" s="1779"/>
      <c r="S3" s="1779"/>
      <c r="T3" s="1779"/>
      <c r="U3" s="1779"/>
      <c r="V3" s="1779"/>
      <c r="W3" s="1779"/>
      <c r="X3" s="1779"/>
      <c r="Y3" s="1779"/>
      <c r="Z3" s="1779"/>
      <c r="AA3" s="334"/>
      <c r="AB3" s="334"/>
      <c r="AC3" s="334"/>
    </row>
    <row r="4" spans="1:29" s="340" customFormat="1" ht="11.25" customHeight="1">
      <c r="A4" s="398"/>
      <c r="B4" s="399" t="s">
        <v>126</v>
      </c>
      <c r="C4" s="399" t="s">
        <v>187</v>
      </c>
      <c r="D4" s="399" t="s">
        <v>14</v>
      </c>
      <c r="E4" s="399" t="s">
        <v>0</v>
      </c>
      <c r="F4" s="399" t="s">
        <v>479</v>
      </c>
      <c r="G4" s="399" t="s">
        <v>374</v>
      </c>
      <c r="H4" s="399" t="s">
        <v>133</v>
      </c>
      <c r="I4" s="399"/>
      <c r="J4" s="399" t="s">
        <v>480</v>
      </c>
      <c r="K4" s="399" t="s">
        <v>480</v>
      </c>
      <c r="L4" s="400" t="s">
        <v>114</v>
      </c>
      <c r="M4" s="401" t="s">
        <v>133</v>
      </c>
      <c r="N4" s="402"/>
      <c r="O4" s="1780"/>
      <c r="P4" s="1780"/>
      <c r="Q4" s="1780"/>
      <c r="R4" s="1780"/>
      <c r="S4" s="1780"/>
      <c r="T4" s="1780"/>
      <c r="U4" s="1780"/>
      <c r="V4" s="402"/>
      <c r="W4" s="1780"/>
      <c r="X4" s="1780"/>
      <c r="Y4" s="1780"/>
      <c r="Z4" s="403"/>
      <c r="AA4" s="398"/>
      <c r="AB4" s="398"/>
      <c r="AC4" s="398"/>
    </row>
    <row r="5" spans="1:29" s="340" customFormat="1" ht="11.25" customHeight="1">
      <c r="A5" s="398"/>
      <c r="B5" s="404"/>
      <c r="C5" s="405"/>
      <c r="D5" s="405"/>
      <c r="E5" s="405"/>
      <c r="F5" s="399" t="s">
        <v>481</v>
      </c>
      <c r="G5" s="406" t="s">
        <v>482</v>
      </c>
      <c r="H5" s="405"/>
      <c r="I5" s="405"/>
      <c r="J5" s="399" t="s">
        <v>483</v>
      </c>
      <c r="K5" s="399" t="s">
        <v>484</v>
      </c>
      <c r="L5" s="407" t="s">
        <v>485</v>
      </c>
      <c r="M5" s="400" t="s">
        <v>486</v>
      </c>
      <c r="N5" s="402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  <c r="Z5" s="408"/>
      <c r="AA5" s="398"/>
      <c r="AB5" s="398"/>
      <c r="AC5" s="398"/>
    </row>
    <row r="6" spans="1:29" s="340" customFormat="1" ht="9.75" customHeight="1">
      <c r="A6" s="409"/>
      <c r="B6" s="410"/>
      <c r="C6" s="410"/>
      <c r="D6" s="411"/>
      <c r="E6" s="411"/>
      <c r="F6" s="412" t="s">
        <v>487</v>
      </c>
      <c r="G6" s="411"/>
      <c r="H6" s="411"/>
      <c r="I6" s="411"/>
      <c r="J6" s="413" t="s">
        <v>488</v>
      </c>
      <c r="K6" s="413" t="s">
        <v>489</v>
      </c>
      <c r="L6" s="414"/>
      <c r="M6" s="415" t="s">
        <v>490</v>
      </c>
      <c r="N6" s="402"/>
      <c r="O6" s="408"/>
      <c r="P6" s="408"/>
      <c r="Q6" s="408"/>
      <c r="R6" s="408"/>
      <c r="S6" s="408"/>
      <c r="T6" s="416"/>
      <c r="U6" s="408"/>
      <c r="V6" s="408"/>
      <c r="W6" s="408"/>
      <c r="X6" s="408"/>
      <c r="Y6" s="416"/>
      <c r="Z6" s="408"/>
      <c r="AA6" s="398"/>
      <c r="AB6" s="398"/>
      <c r="AC6" s="398"/>
    </row>
    <row r="7" spans="1:29" ht="14.25" hidden="1" customHeight="1">
      <c r="A7" s="417">
        <v>1996</v>
      </c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26"/>
      <c r="O7" s="418"/>
      <c r="P7" s="418"/>
      <c r="Q7" s="418"/>
      <c r="R7" s="418"/>
      <c r="S7" s="419"/>
      <c r="T7" s="418"/>
      <c r="U7" s="418"/>
      <c r="V7" s="418"/>
      <c r="W7" s="418"/>
      <c r="X7" s="418"/>
      <c r="Y7" s="418"/>
      <c r="Z7" s="418"/>
    </row>
    <row r="8" spans="1:29" ht="10.5" hidden="1" customHeight="1">
      <c r="A8" s="323" t="s">
        <v>491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420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</row>
    <row r="9" spans="1:29" ht="10.5" hidden="1" customHeight="1">
      <c r="A9" s="328" t="s">
        <v>492</v>
      </c>
      <c r="B9" s="330">
        <v>376812</v>
      </c>
      <c r="C9" s="330">
        <v>35099</v>
      </c>
      <c r="D9" s="330">
        <v>176702</v>
      </c>
      <c r="E9" s="330">
        <v>257953</v>
      </c>
      <c r="F9" s="330">
        <v>1524</v>
      </c>
      <c r="G9" s="330">
        <v>0</v>
      </c>
      <c r="H9" s="330">
        <v>848090</v>
      </c>
      <c r="I9" s="330"/>
      <c r="J9" s="330">
        <v>2801</v>
      </c>
      <c r="K9" s="330">
        <v>1556</v>
      </c>
      <c r="L9" s="330">
        <v>0</v>
      </c>
      <c r="M9" s="330">
        <v>852447</v>
      </c>
      <c r="N9" s="365"/>
      <c r="O9" s="316"/>
      <c r="P9" s="316"/>
      <c r="Q9" s="316"/>
      <c r="R9" s="316"/>
      <c r="S9" s="316"/>
      <c r="T9" s="316"/>
      <c r="U9" s="316"/>
      <c r="V9" s="316"/>
      <c r="W9" s="316"/>
      <c r="X9" s="316"/>
      <c r="Y9" s="316"/>
      <c r="Z9" s="316"/>
    </row>
    <row r="10" spans="1:29" ht="10.5" hidden="1" customHeight="1">
      <c r="A10" s="328" t="s">
        <v>493</v>
      </c>
      <c r="B10" s="330">
        <v>140238</v>
      </c>
      <c r="C10" s="330">
        <v>11132</v>
      </c>
      <c r="D10" s="330">
        <v>75301</v>
      </c>
      <c r="E10" s="330">
        <v>94671</v>
      </c>
      <c r="F10" s="330">
        <v>536</v>
      </c>
      <c r="G10" s="330">
        <v>0</v>
      </c>
      <c r="H10" s="330">
        <v>321878</v>
      </c>
      <c r="I10" s="330"/>
      <c r="J10" s="330">
        <v>2801</v>
      </c>
      <c r="K10" s="330">
        <v>1556</v>
      </c>
      <c r="L10" s="330">
        <v>0</v>
      </c>
      <c r="M10" s="330">
        <v>326235</v>
      </c>
      <c r="N10" s="326"/>
      <c r="O10" s="421"/>
      <c r="P10" s="421"/>
      <c r="Q10" s="421"/>
      <c r="R10" s="421"/>
      <c r="S10" s="421"/>
      <c r="T10" s="421"/>
      <c r="U10" s="421"/>
      <c r="V10" s="421"/>
      <c r="W10" s="421"/>
      <c r="X10" s="422"/>
      <c r="Y10" s="421"/>
      <c r="Z10" s="421"/>
    </row>
    <row r="11" spans="1:29" ht="10.5" hidden="1" customHeight="1">
      <c r="A11" s="328" t="s">
        <v>494</v>
      </c>
      <c r="B11" s="330">
        <v>4244</v>
      </c>
      <c r="C11" s="330">
        <v>800</v>
      </c>
      <c r="D11" s="330">
        <v>937</v>
      </c>
      <c r="E11" s="330">
        <v>8851</v>
      </c>
      <c r="F11" s="330">
        <v>48</v>
      </c>
      <c r="G11" s="330">
        <v>0</v>
      </c>
      <c r="H11" s="330">
        <v>14880</v>
      </c>
      <c r="I11" s="330"/>
      <c r="J11" s="330">
        <v>38</v>
      </c>
      <c r="K11" s="330">
        <v>49</v>
      </c>
      <c r="L11" s="330">
        <v>0</v>
      </c>
      <c r="M11" s="330">
        <v>14967</v>
      </c>
      <c r="N11" s="326"/>
      <c r="O11" s="421"/>
      <c r="P11" s="421"/>
      <c r="Q11" s="421"/>
      <c r="R11" s="421"/>
      <c r="S11" s="421"/>
      <c r="T11" s="421"/>
      <c r="U11" s="421"/>
      <c r="V11" s="421"/>
      <c r="W11" s="421"/>
      <c r="X11" s="422"/>
      <c r="Y11" s="421"/>
      <c r="Z11" s="421"/>
    </row>
    <row r="12" spans="1:29" ht="10.5" hidden="1" customHeight="1">
      <c r="A12" s="328" t="s">
        <v>495</v>
      </c>
      <c r="B12" s="330">
        <v>135994</v>
      </c>
      <c r="C12" s="330">
        <v>10332</v>
      </c>
      <c r="D12" s="330">
        <v>74364</v>
      </c>
      <c r="E12" s="330">
        <v>85820</v>
      </c>
      <c r="F12" s="330">
        <v>488</v>
      </c>
      <c r="G12" s="330">
        <v>0</v>
      </c>
      <c r="H12" s="330">
        <v>306998</v>
      </c>
      <c r="I12" s="330"/>
      <c r="J12" s="330">
        <v>2763</v>
      </c>
      <c r="K12" s="330">
        <v>1507</v>
      </c>
      <c r="L12" s="330">
        <v>0</v>
      </c>
      <c r="M12" s="330">
        <v>311268</v>
      </c>
      <c r="N12" s="326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</row>
    <row r="13" spans="1:29" ht="10.5" hidden="1" customHeight="1">
      <c r="A13" s="328" t="s">
        <v>496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>
        <v>2430</v>
      </c>
      <c r="N13" s="326"/>
      <c r="O13" s="421"/>
      <c r="P13" s="421"/>
      <c r="Q13" s="422"/>
      <c r="R13" s="422"/>
      <c r="S13" s="421"/>
      <c r="T13" s="421"/>
      <c r="U13" s="421"/>
      <c r="V13" s="421"/>
      <c r="W13" s="421"/>
      <c r="X13" s="422"/>
      <c r="Y13" s="421"/>
      <c r="Z13" s="421"/>
    </row>
    <row r="14" spans="1:29" hidden="1">
      <c r="A14" s="423" t="s">
        <v>497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>
        <v>308838</v>
      </c>
      <c r="N14" s="326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2"/>
    </row>
    <row r="15" spans="1:29" ht="10.5" hidden="1" customHeight="1">
      <c r="A15" s="323" t="s">
        <v>498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326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</row>
    <row r="16" spans="1:29" ht="10.5" hidden="1" customHeight="1">
      <c r="A16" s="328" t="s">
        <v>492</v>
      </c>
      <c r="B16" s="330">
        <v>14126</v>
      </c>
      <c r="C16" s="330">
        <v>10856</v>
      </c>
      <c r="D16" s="330">
        <v>25227</v>
      </c>
      <c r="E16" s="330">
        <v>0</v>
      </c>
      <c r="F16" s="330">
        <v>7140</v>
      </c>
      <c r="G16" s="330">
        <v>16066</v>
      </c>
      <c r="H16" s="330">
        <v>73415</v>
      </c>
      <c r="I16" s="330"/>
      <c r="J16" s="330">
        <v>592</v>
      </c>
      <c r="K16" s="330">
        <v>0</v>
      </c>
      <c r="L16" s="330">
        <v>486</v>
      </c>
      <c r="M16" s="330">
        <v>74492</v>
      </c>
      <c r="N16" s="365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1"/>
    </row>
    <row r="17" spans="1:26" ht="10.5" hidden="1" customHeight="1">
      <c r="A17" s="328" t="s">
        <v>499</v>
      </c>
      <c r="B17" s="330">
        <v>4978</v>
      </c>
      <c r="C17" s="330">
        <v>3823</v>
      </c>
      <c r="D17" s="330">
        <v>8785</v>
      </c>
      <c r="E17" s="330">
        <v>0</v>
      </c>
      <c r="F17" s="330">
        <v>1685</v>
      </c>
      <c r="G17" s="330">
        <v>4283</v>
      </c>
      <c r="H17" s="330">
        <v>23554</v>
      </c>
      <c r="I17" s="330"/>
      <c r="J17" s="330">
        <v>592</v>
      </c>
      <c r="K17" s="330">
        <v>0</v>
      </c>
      <c r="L17" s="330">
        <v>486</v>
      </c>
      <c r="M17" s="330">
        <v>24632</v>
      </c>
      <c r="N17" s="326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</row>
    <row r="18" spans="1:26" ht="10.5" hidden="1" customHeight="1">
      <c r="A18" s="328" t="s">
        <v>494</v>
      </c>
      <c r="B18" s="330">
        <v>252</v>
      </c>
      <c r="C18" s="330">
        <v>274</v>
      </c>
      <c r="D18" s="330">
        <v>294</v>
      </c>
      <c r="E18" s="330">
        <v>0</v>
      </c>
      <c r="F18" s="330">
        <v>86</v>
      </c>
      <c r="G18" s="330">
        <v>197</v>
      </c>
      <c r="H18" s="330">
        <v>1103</v>
      </c>
      <c r="I18" s="330"/>
      <c r="J18" s="330">
        <v>8</v>
      </c>
      <c r="K18" s="330">
        <v>0</v>
      </c>
      <c r="L18" s="330">
        <v>0</v>
      </c>
      <c r="M18" s="330">
        <v>1111</v>
      </c>
      <c r="N18" s="326"/>
      <c r="O18" s="421"/>
      <c r="P18" s="421"/>
      <c r="Q18" s="421"/>
      <c r="R18" s="421"/>
      <c r="S18" s="422"/>
      <c r="T18" s="421"/>
      <c r="U18" s="421"/>
      <c r="V18" s="421"/>
      <c r="W18" s="421"/>
      <c r="X18" s="421"/>
      <c r="Y18" s="421"/>
      <c r="Z18" s="421"/>
    </row>
    <row r="19" spans="1:26" ht="10.5" hidden="1" customHeight="1">
      <c r="A19" s="423" t="s">
        <v>500</v>
      </c>
      <c r="B19" s="335">
        <v>4726</v>
      </c>
      <c r="C19" s="335">
        <v>3549</v>
      </c>
      <c r="D19" s="335">
        <v>8491</v>
      </c>
      <c r="E19" s="335">
        <v>0</v>
      </c>
      <c r="F19" s="335">
        <v>1599</v>
      </c>
      <c r="G19" s="335">
        <v>4086</v>
      </c>
      <c r="H19" s="335">
        <v>22451</v>
      </c>
      <c r="I19" s="335"/>
      <c r="J19" s="335">
        <v>584</v>
      </c>
      <c r="K19" s="335">
        <v>0</v>
      </c>
      <c r="L19" s="335">
        <v>486</v>
      </c>
      <c r="M19" s="335">
        <v>23521</v>
      </c>
      <c r="N19" s="326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</row>
    <row r="20" spans="1:26" ht="10.5" hidden="1" customHeight="1">
      <c r="A20" s="323" t="s">
        <v>501</v>
      </c>
      <c r="B20" s="330"/>
      <c r="C20" s="331"/>
      <c r="D20" s="331"/>
      <c r="E20" s="330"/>
      <c r="F20" s="330"/>
      <c r="G20" s="330"/>
      <c r="H20" s="330"/>
      <c r="I20" s="330"/>
      <c r="J20" s="330"/>
      <c r="K20" s="330"/>
      <c r="L20" s="330"/>
      <c r="M20" s="330"/>
      <c r="N20" s="326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2"/>
    </row>
    <row r="21" spans="1:26" ht="10.5" hidden="1" customHeight="1">
      <c r="A21" s="328" t="s">
        <v>502</v>
      </c>
      <c r="B21" s="330">
        <v>390938</v>
      </c>
      <c r="C21" s="330">
        <v>45955</v>
      </c>
      <c r="D21" s="330">
        <v>201929</v>
      </c>
      <c r="E21" s="330">
        <v>257953</v>
      </c>
      <c r="F21" s="330">
        <v>8664</v>
      </c>
      <c r="G21" s="330">
        <v>16066</v>
      </c>
      <c r="H21" s="330">
        <v>921505</v>
      </c>
      <c r="I21" s="330"/>
      <c r="J21" s="330">
        <v>3393</v>
      </c>
      <c r="K21" s="330">
        <v>1556</v>
      </c>
      <c r="L21" s="330">
        <v>486</v>
      </c>
      <c r="M21" s="330">
        <v>926939</v>
      </c>
      <c r="N21" s="365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</row>
    <row r="22" spans="1:26" ht="10.5" hidden="1" customHeight="1">
      <c r="A22" s="328" t="s">
        <v>499</v>
      </c>
      <c r="B22" s="330">
        <v>145216</v>
      </c>
      <c r="C22" s="330">
        <v>14955</v>
      </c>
      <c r="D22" s="330">
        <v>84086</v>
      </c>
      <c r="E22" s="330">
        <v>94671</v>
      </c>
      <c r="F22" s="330">
        <v>2221</v>
      </c>
      <c r="G22" s="330">
        <v>4283</v>
      </c>
      <c r="H22" s="330">
        <v>345432</v>
      </c>
      <c r="I22" s="330"/>
      <c r="J22" s="330">
        <v>3393</v>
      </c>
      <c r="K22" s="330">
        <v>1556</v>
      </c>
      <c r="L22" s="330">
        <v>486</v>
      </c>
      <c r="M22" s="330">
        <v>350867</v>
      </c>
      <c r="N22" s="326"/>
      <c r="O22" s="421"/>
      <c r="P22" s="421"/>
      <c r="Q22" s="421"/>
      <c r="R22" s="421"/>
      <c r="S22" s="421"/>
      <c r="T22" s="421"/>
      <c r="U22" s="421"/>
      <c r="V22" s="421"/>
      <c r="W22" s="421"/>
      <c r="X22" s="422"/>
      <c r="Y22" s="421"/>
      <c r="Z22" s="421"/>
    </row>
    <row r="23" spans="1:26" ht="10.5" hidden="1" customHeight="1">
      <c r="A23" s="328" t="s">
        <v>494</v>
      </c>
      <c r="B23" s="330">
        <v>4496</v>
      </c>
      <c r="C23" s="330">
        <v>1074</v>
      </c>
      <c r="D23" s="330">
        <v>1231</v>
      </c>
      <c r="E23" s="330">
        <v>8851</v>
      </c>
      <c r="F23" s="330">
        <v>134</v>
      </c>
      <c r="G23" s="330">
        <v>197</v>
      </c>
      <c r="H23" s="330">
        <v>15983</v>
      </c>
      <c r="I23" s="330"/>
      <c r="J23" s="330">
        <v>46</v>
      </c>
      <c r="K23" s="330">
        <v>49</v>
      </c>
      <c r="L23" s="330">
        <v>0</v>
      </c>
      <c r="M23" s="330">
        <v>16078</v>
      </c>
      <c r="N23" s="326"/>
      <c r="O23" s="421"/>
      <c r="P23" s="421"/>
      <c r="Q23" s="421"/>
      <c r="R23" s="421"/>
      <c r="S23" s="421"/>
      <c r="T23" s="421"/>
      <c r="U23" s="421"/>
      <c r="V23" s="421"/>
      <c r="W23" s="421"/>
      <c r="X23" s="422"/>
      <c r="Y23" s="421"/>
      <c r="Z23" s="421"/>
    </row>
    <row r="24" spans="1:26" ht="10.5" hidden="1" customHeight="1">
      <c r="A24" s="328" t="s">
        <v>495</v>
      </c>
      <c r="B24" s="333">
        <v>140720</v>
      </c>
      <c r="C24" s="333">
        <v>13881</v>
      </c>
      <c r="D24" s="333">
        <v>82855</v>
      </c>
      <c r="E24" s="333">
        <v>85820</v>
      </c>
      <c r="F24" s="333">
        <v>2087</v>
      </c>
      <c r="G24" s="333">
        <v>4086</v>
      </c>
      <c r="H24" s="333">
        <v>329449</v>
      </c>
      <c r="I24" s="333"/>
      <c r="J24" s="333">
        <v>3347</v>
      </c>
      <c r="K24" s="333">
        <v>1507</v>
      </c>
      <c r="L24" s="333">
        <v>486</v>
      </c>
      <c r="M24" s="333">
        <v>334789</v>
      </c>
      <c r="N24" s="326"/>
      <c r="O24" s="421"/>
      <c r="P24" s="421"/>
      <c r="Q24" s="421"/>
      <c r="R24" s="421"/>
      <c r="S24" s="421"/>
      <c r="T24" s="421"/>
      <c r="U24" s="422"/>
      <c r="V24" s="421"/>
      <c r="W24" s="421"/>
      <c r="X24" s="421"/>
      <c r="Y24" s="421"/>
      <c r="Z24" s="421"/>
    </row>
    <row r="25" spans="1:26" ht="10.5" hidden="1" customHeight="1">
      <c r="A25" s="328" t="s">
        <v>496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>
        <v>2430</v>
      </c>
      <c r="N25" s="326"/>
      <c r="O25" s="421"/>
      <c r="P25" s="421"/>
      <c r="Q25" s="421"/>
      <c r="R25" s="422"/>
      <c r="S25" s="421"/>
      <c r="T25" s="421"/>
      <c r="U25" s="421"/>
      <c r="V25" s="421"/>
      <c r="W25" s="421"/>
      <c r="X25" s="422"/>
      <c r="Y25" s="421"/>
      <c r="Z25" s="421"/>
    </row>
    <row r="26" spans="1:26" ht="10.5" hidden="1" customHeight="1" thickBot="1">
      <c r="A26" s="425" t="s">
        <v>497</v>
      </c>
      <c r="B26" s="426"/>
      <c r="C26" s="426"/>
      <c r="D26" s="426"/>
      <c r="E26" s="426"/>
      <c r="F26" s="426"/>
      <c r="G26" s="426"/>
      <c r="H26" s="426"/>
      <c r="I26" s="426"/>
      <c r="J26" s="426"/>
      <c r="K26" s="426"/>
      <c r="L26" s="426"/>
      <c r="M26" s="426">
        <v>332359</v>
      </c>
      <c r="N26" s="326"/>
      <c r="O26" s="421"/>
      <c r="P26" s="421"/>
      <c r="Q26" s="421"/>
      <c r="R26" s="421"/>
      <c r="S26" s="421"/>
      <c r="T26" s="421"/>
      <c r="U26" s="421"/>
      <c r="V26" s="421"/>
      <c r="W26" s="421"/>
      <c r="X26" s="421"/>
      <c r="Y26" s="421"/>
      <c r="Z26" s="422"/>
    </row>
    <row r="27" spans="1:26" ht="14.25" hidden="1" customHeight="1" thickTop="1">
      <c r="A27" s="417">
        <v>1997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26"/>
      <c r="O27" s="421"/>
      <c r="P27" s="421"/>
      <c r="Q27" s="421"/>
      <c r="R27" s="421"/>
      <c r="S27" s="421"/>
      <c r="T27" s="421"/>
      <c r="U27" s="421"/>
      <c r="V27" s="421"/>
      <c r="W27" s="421"/>
      <c r="X27" s="421"/>
      <c r="Y27" s="421"/>
      <c r="Z27" s="421"/>
    </row>
    <row r="28" spans="1:26" ht="10.5" hidden="1" customHeight="1">
      <c r="A28" s="323" t="s">
        <v>491</v>
      </c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420"/>
      <c r="O28" s="421"/>
      <c r="P28" s="421"/>
      <c r="Q28" s="421"/>
      <c r="R28" s="421"/>
      <c r="S28" s="421"/>
      <c r="T28" s="421"/>
      <c r="U28" s="421"/>
      <c r="V28" s="421"/>
      <c r="W28" s="421"/>
      <c r="X28" s="421"/>
      <c r="Y28" s="421"/>
      <c r="Z28" s="421"/>
    </row>
    <row r="29" spans="1:26" ht="10.5" hidden="1" customHeight="1">
      <c r="A29" s="328" t="s">
        <v>492</v>
      </c>
      <c r="B29" s="330">
        <v>322302</v>
      </c>
      <c r="C29" s="330">
        <v>16015</v>
      </c>
      <c r="D29" s="330">
        <v>223691</v>
      </c>
      <c r="E29" s="330">
        <v>267428</v>
      </c>
      <c r="F29" s="330">
        <v>1617</v>
      </c>
      <c r="G29" s="330">
        <v>0</v>
      </c>
      <c r="H29" s="330">
        <v>831053</v>
      </c>
      <c r="I29" s="330"/>
      <c r="J29" s="330">
        <v>3337</v>
      </c>
      <c r="K29" s="330">
        <v>1486</v>
      </c>
      <c r="L29" s="330">
        <v>0</v>
      </c>
      <c r="M29" s="330">
        <v>835876</v>
      </c>
      <c r="N29" s="365"/>
      <c r="O29" s="421"/>
      <c r="P29" s="421"/>
      <c r="Q29" s="421"/>
      <c r="R29" s="421"/>
      <c r="S29" s="421"/>
      <c r="T29" s="421"/>
      <c r="U29" s="421"/>
      <c r="V29" s="421"/>
      <c r="W29" s="421"/>
      <c r="X29" s="421"/>
      <c r="Y29" s="421"/>
      <c r="Z29" s="421"/>
    </row>
    <row r="30" spans="1:26" ht="10.5" hidden="1" customHeight="1">
      <c r="A30" s="328" t="s">
        <v>493</v>
      </c>
      <c r="B30" s="330">
        <v>114968</v>
      </c>
      <c r="C30" s="330">
        <v>5267</v>
      </c>
      <c r="D30" s="330">
        <v>100330</v>
      </c>
      <c r="E30" s="330">
        <v>98146</v>
      </c>
      <c r="F30" s="330">
        <v>599</v>
      </c>
      <c r="G30" s="330">
        <v>0</v>
      </c>
      <c r="H30" s="330">
        <v>319310</v>
      </c>
      <c r="I30" s="330"/>
      <c r="J30" s="330">
        <v>3337</v>
      </c>
      <c r="K30" s="330">
        <v>1486</v>
      </c>
      <c r="L30" s="330">
        <v>0</v>
      </c>
      <c r="M30" s="330">
        <v>324133</v>
      </c>
      <c r="N30" s="326"/>
      <c r="O30" s="422"/>
      <c r="P30" s="422"/>
      <c r="Q30" s="422"/>
      <c r="R30" s="422"/>
      <c r="S30" s="422"/>
      <c r="T30" s="421"/>
      <c r="U30" s="422"/>
      <c r="V30" s="421"/>
      <c r="W30" s="422"/>
      <c r="X30" s="422"/>
      <c r="Y30" s="421"/>
      <c r="Z30" s="422"/>
    </row>
    <row r="31" spans="1:26" ht="10.5" hidden="1" customHeight="1">
      <c r="A31" s="328" t="s">
        <v>494</v>
      </c>
      <c r="B31" s="330">
        <v>4909</v>
      </c>
      <c r="C31" s="330">
        <v>378</v>
      </c>
      <c r="D31" s="330">
        <v>1177</v>
      </c>
      <c r="E31" s="330">
        <v>8805</v>
      </c>
      <c r="F31" s="330">
        <v>57</v>
      </c>
      <c r="G31" s="330">
        <v>0</v>
      </c>
      <c r="H31" s="330">
        <v>15326</v>
      </c>
      <c r="I31" s="330"/>
      <c r="J31" s="330">
        <v>38</v>
      </c>
      <c r="K31" s="330">
        <v>47</v>
      </c>
      <c r="L31" s="330">
        <v>0</v>
      </c>
      <c r="M31" s="330">
        <v>15411</v>
      </c>
      <c r="N31" s="326"/>
      <c r="O31" s="422"/>
      <c r="P31" s="422"/>
      <c r="Q31" s="422"/>
      <c r="R31" s="422"/>
      <c r="S31" s="421"/>
      <c r="T31" s="421"/>
      <c r="U31" s="422"/>
      <c r="V31" s="421"/>
      <c r="W31" s="422"/>
      <c r="X31" s="422"/>
      <c r="Y31" s="421"/>
      <c r="Z31" s="422"/>
    </row>
    <row r="32" spans="1:26" ht="10.5" hidden="1" customHeight="1">
      <c r="A32" s="328" t="s">
        <v>495</v>
      </c>
      <c r="B32" s="330">
        <v>110059</v>
      </c>
      <c r="C32" s="330">
        <v>4889</v>
      </c>
      <c r="D32" s="330">
        <v>99153</v>
      </c>
      <c r="E32" s="330">
        <v>89341</v>
      </c>
      <c r="F32" s="330">
        <v>542</v>
      </c>
      <c r="G32" s="330">
        <v>0</v>
      </c>
      <c r="H32" s="330">
        <v>303984</v>
      </c>
      <c r="I32" s="330"/>
      <c r="J32" s="330">
        <v>3299</v>
      </c>
      <c r="K32" s="330">
        <v>1439</v>
      </c>
      <c r="L32" s="330">
        <v>0</v>
      </c>
      <c r="M32" s="330">
        <v>308722</v>
      </c>
      <c r="N32" s="326"/>
      <c r="O32" s="422"/>
      <c r="P32" s="421"/>
      <c r="Q32" s="422"/>
      <c r="R32" s="422"/>
      <c r="S32" s="421"/>
      <c r="T32" s="421"/>
      <c r="U32" s="422"/>
      <c r="V32" s="421"/>
      <c r="W32" s="421"/>
      <c r="X32" s="421"/>
      <c r="Y32" s="421"/>
      <c r="Z32" s="422"/>
    </row>
    <row r="33" spans="1:26" ht="10.5" hidden="1" customHeight="1">
      <c r="A33" s="328" t="s">
        <v>496</v>
      </c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>
        <v>2477</v>
      </c>
      <c r="N33" s="326"/>
      <c r="O33" s="422"/>
      <c r="P33" s="422"/>
      <c r="Q33" s="422"/>
      <c r="R33" s="422"/>
      <c r="S33" s="421"/>
      <c r="T33" s="421"/>
      <c r="U33" s="422"/>
      <c r="V33" s="421"/>
      <c r="W33" s="422"/>
      <c r="X33" s="422"/>
      <c r="Y33" s="421"/>
      <c r="Z33" s="422"/>
    </row>
    <row r="34" spans="1:26" ht="10.5" hidden="1" customHeight="1">
      <c r="A34" s="423" t="s">
        <v>497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>
        <v>306245</v>
      </c>
      <c r="N34" s="326"/>
      <c r="O34" s="421"/>
      <c r="P34" s="421"/>
      <c r="Q34" s="421"/>
      <c r="R34" s="421"/>
      <c r="S34" s="421"/>
      <c r="T34" s="421"/>
      <c r="U34" s="421"/>
      <c r="V34" s="421"/>
      <c r="W34" s="421"/>
      <c r="X34" s="421"/>
      <c r="Y34" s="421"/>
      <c r="Z34" s="422"/>
    </row>
    <row r="35" spans="1:26" s="340" customFormat="1" ht="11.5" hidden="1" customHeight="1">
      <c r="A35" s="380" t="s">
        <v>498</v>
      </c>
      <c r="B35" s="382"/>
      <c r="C35" s="382"/>
      <c r="D35" s="382"/>
      <c r="E35" s="382"/>
      <c r="F35" s="382"/>
      <c r="G35" s="382"/>
      <c r="H35" s="382"/>
      <c r="I35" s="382"/>
      <c r="J35" s="382"/>
      <c r="K35" s="382"/>
      <c r="L35" s="382"/>
      <c r="M35" s="382"/>
      <c r="N35" s="402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Y35" s="427"/>
      <c r="Z35" s="428"/>
    </row>
    <row r="36" spans="1:26" ht="10.5" hidden="1" customHeight="1">
      <c r="A36" s="328" t="s">
        <v>492</v>
      </c>
      <c r="B36" s="330">
        <v>14312</v>
      </c>
      <c r="C36" s="330">
        <v>9238</v>
      </c>
      <c r="D36" s="330">
        <v>28096</v>
      </c>
      <c r="E36" s="330">
        <v>0</v>
      </c>
      <c r="F36" s="330">
        <v>8695</v>
      </c>
      <c r="G36" s="330">
        <v>16066</v>
      </c>
      <c r="H36" s="330">
        <v>76407</v>
      </c>
      <c r="I36" s="330"/>
      <c r="J36" s="330">
        <v>832</v>
      </c>
      <c r="K36" s="330">
        <v>0</v>
      </c>
      <c r="L36" s="330">
        <v>667</v>
      </c>
      <c r="M36" s="330">
        <v>77907</v>
      </c>
      <c r="N36" s="365"/>
      <c r="O36" s="421"/>
      <c r="P36" s="421"/>
      <c r="Q36" s="421"/>
      <c r="R36" s="421"/>
      <c r="S36" s="421"/>
      <c r="T36" s="421"/>
      <c r="U36" s="421"/>
      <c r="V36" s="421"/>
      <c r="W36" s="421"/>
      <c r="X36" s="421"/>
      <c r="Y36" s="421"/>
      <c r="Z36" s="421"/>
    </row>
    <row r="37" spans="1:26" ht="10.5" hidden="1" customHeight="1">
      <c r="A37" s="328" t="s">
        <v>499</v>
      </c>
      <c r="B37" s="330">
        <v>4750</v>
      </c>
      <c r="C37" s="330">
        <v>3419</v>
      </c>
      <c r="D37" s="330">
        <v>10633</v>
      </c>
      <c r="E37" s="330">
        <v>0</v>
      </c>
      <c r="F37" s="330">
        <v>1994</v>
      </c>
      <c r="G37" s="330">
        <v>4239</v>
      </c>
      <c r="H37" s="330">
        <v>25035</v>
      </c>
      <c r="I37" s="330"/>
      <c r="J37" s="330">
        <v>832</v>
      </c>
      <c r="K37" s="330">
        <v>0</v>
      </c>
      <c r="L37" s="330">
        <v>667</v>
      </c>
      <c r="M37" s="330">
        <v>26534</v>
      </c>
      <c r="N37" s="326"/>
      <c r="O37" s="422"/>
      <c r="P37" s="422"/>
      <c r="Q37" s="422"/>
      <c r="R37" s="421"/>
      <c r="S37" s="422"/>
      <c r="T37" s="422"/>
      <c r="U37" s="422"/>
      <c r="V37" s="421"/>
      <c r="W37" s="421"/>
      <c r="X37" s="421"/>
      <c r="Y37" s="421"/>
      <c r="Z37" s="422"/>
    </row>
    <row r="38" spans="1:26" ht="10.5" hidden="1" customHeight="1">
      <c r="A38" s="328" t="s">
        <v>494</v>
      </c>
      <c r="B38" s="330">
        <v>242</v>
      </c>
      <c r="C38" s="330">
        <v>245</v>
      </c>
      <c r="D38" s="330">
        <v>351</v>
      </c>
      <c r="E38" s="330">
        <v>0</v>
      </c>
      <c r="F38" s="330">
        <v>106</v>
      </c>
      <c r="G38" s="330">
        <v>195</v>
      </c>
      <c r="H38" s="330">
        <v>1139</v>
      </c>
      <c r="I38" s="330"/>
      <c r="J38" s="330">
        <v>10</v>
      </c>
      <c r="K38" s="330">
        <v>0</v>
      </c>
      <c r="L38" s="330">
        <v>0</v>
      </c>
      <c r="M38" s="330">
        <v>1149</v>
      </c>
      <c r="N38" s="326"/>
      <c r="O38" s="422"/>
      <c r="P38" s="422"/>
      <c r="Q38" s="422"/>
      <c r="R38" s="421"/>
      <c r="S38" s="422"/>
      <c r="T38" s="422"/>
      <c r="U38" s="422"/>
      <c r="V38" s="421"/>
      <c r="W38" s="421"/>
      <c r="X38" s="421"/>
      <c r="Y38" s="421"/>
      <c r="Z38" s="422"/>
    </row>
    <row r="39" spans="1:26" ht="10.5" hidden="1" customHeight="1">
      <c r="A39" s="423" t="s">
        <v>500</v>
      </c>
      <c r="B39" s="335">
        <v>4508</v>
      </c>
      <c r="C39" s="335">
        <v>3174</v>
      </c>
      <c r="D39" s="335">
        <v>10282</v>
      </c>
      <c r="E39" s="335">
        <v>0</v>
      </c>
      <c r="F39" s="335">
        <v>1888</v>
      </c>
      <c r="G39" s="335">
        <v>4044</v>
      </c>
      <c r="H39" s="335">
        <v>23896</v>
      </c>
      <c r="I39" s="335"/>
      <c r="J39" s="335">
        <v>822</v>
      </c>
      <c r="K39" s="335">
        <v>0</v>
      </c>
      <c r="L39" s="335">
        <v>667</v>
      </c>
      <c r="M39" s="335">
        <v>25385</v>
      </c>
      <c r="N39" s="326"/>
      <c r="O39" s="421"/>
      <c r="P39" s="421"/>
      <c r="Q39" s="421"/>
      <c r="R39" s="421"/>
      <c r="S39" s="421"/>
      <c r="T39" s="421"/>
      <c r="U39" s="422"/>
      <c r="V39" s="421"/>
      <c r="W39" s="421"/>
      <c r="X39" s="421"/>
      <c r="Y39" s="421"/>
      <c r="Z39" s="422"/>
    </row>
    <row r="40" spans="1:26" ht="10.5" hidden="1" customHeight="1">
      <c r="A40" s="323" t="s">
        <v>501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26"/>
      <c r="O40" s="422"/>
      <c r="P40" s="422"/>
      <c r="Q40" s="422"/>
      <c r="R40" s="421"/>
      <c r="S40" s="422"/>
      <c r="T40" s="422"/>
      <c r="U40" s="422"/>
      <c r="V40" s="421"/>
      <c r="W40" s="421"/>
      <c r="X40" s="421"/>
      <c r="Y40" s="421"/>
      <c r="Z40" s="422"/>
    </row>
    <row r="41" spans="1:26" ht="10.5" hidden="1" customHeight="1">
      <c r="A41" s="328" t="s">
        <v>502</v>
      </c>
      <c r="B41" s="330">
        <v>336614</v>
      </c>
      <c r="C41" s="330">
        <v>25253</v>
      </c>
      <c r="D41" s="330">
        <v>251787</v>
      </c>
      <c r="E41" s="330">
        <v>267428</v>
      </c>
      <c r="F41" s="330">
        <v>10312</v>
      </c>
      <c r="G41" s="330">
        <v>16066</v>
      </c>
      <c r="H41" s="330">
        <v>907460</v>
      </c>
      <c r="I41" s="330"/>
      <c r="J41" s="330">
        <v>4169</v>
      </c>
      <c r="K41" s="330">
        <v>1486</v>
      </c>
      <c r="L41" s="330">
        <v>667</v>
      </c>
      <c r="M41" s="330">
        <v>913783</v>
      </c>
      <c r="N41" s="365"/>
      <c r="O41" s="421"/>
      <c r="P41" s="421"/>
      <c r="Q41" s="421"/>
      <c r="R41" s="421"/>
      <c r="S41" s="421"/>
      <c r="T41" s="421"/>
      <c r="U41" s="421"/>
      <c r="V41" s="421"/>
      <c r="W41" s="421"/>
      <c r="X41" s="421"/>
      <c r="Y41" s="421"/>
      <c r="Z41" s="421"/>
    </row>
    <row r="42" spans="1:26" ht="10.5" hidden="1" customHeight="1">
      <c r="A42" s="328" t="s">
        <v>499</v>
      </c>
      <c r="B42" s="330">
        <v>119718</v>
      </c>
      <c r="C42" s="330">
        <v>8686</v>
      </c>
      <c r="D42" s="330">
        <v>110963</v>
      </c>
      <c r="E42" s="330">
        <v>98146</v>
      </c>
      <c r="F42" s="330">
        <v>2593</v>
      </c>
      <c r="G42" s="330">
        <v>4239</v>
      </c>
      <c r="H42" s="330">
        <v>344345</v>
      </c>
      <c r="I42" s="330"/>
      <c r="J42" s="330">
        <v>4169</v>
      </c>
      <c r="K42" s="330">
        <v>1486</v>
      </c>
      <c r="L42" s="330">
        <v>667</v>
      </c>
      <c r="M42" s="330">
        <v>350667</v>
      </c>
      <c r="N42" s="326"/>
      <c r="O42" s="422"/>
      <c r="P42" s="422"/>
      <c r="Q42" s="422"/>
      <c r="R42" s="422"/>
      <c r="S42" s="422"/>
      <c r="T42" s="422"/>
      <c r="U42" s="422"/>
      <c r="V42" s="421"/>
      <c r="W42" s="422"/>
      <c r="X42" s="422"/>
      <c r="Y42" s="421"/>
      <c r="Z42" s="422"/>
    </row>
    <row r="43" spans="1:26" ht="10.5" hidden="1" customHeight="1">
      <c r="A43" s="328" t="s">
        <v>494</v>
      </c>
      <c r="B43" s="330">
        <v>5151</v>
      </c>
      <c r="C43" s="330">
        <v>623</v>
      </c>
      <c r="D43" s="330">
        <v>1528</v>
      </c>
      <c r="E43" s="330">
        <v>8805</v>
      </c>
      <c r="F43" s="330">
        <v>163</v>
      </c>
      <c r="G43" s="330">
        <v>195</v>
      </c>
      <c r="H43" s="330">
        <v>16465</v>
      </c>
      <c r="I43" s="330"/>
      <c r="J43" s="330">
        <v>48</v>
      </c>
      <c r="K43" s="330">
        <v>47</v>
      </c>
      <c r="L43" s="330">
        <v>0</v>
      </c>
      <c r="M43" s="330">
        <v>16560</v>
      </c>
      <c r="N43" s="326"/>
      <c r="O43" s="422"/>
      <c r="P43" s="422"/>
      <c r="Q43" s="422"/>
      <c r="R43" s="422"/>
      <c r="S43" s="422"/>
      <c r="T43" s="422"/>
      <c r="U43" s="422"/>
      <c r="V43" s="421"/>
      <c r="W43" s="422"/>
      <c r="X43" s="422"/>
      <c r="Y43" s="421"/>
      <c r="Z43" s="422"/>
    </row>
    <row r="44" spans="1:26" ht="10.5" hidden="1" customHeight="1">
      <c r="A44" s="328" t="s">
        <v>495</v>
      </c>
      <c r="B44" s="333">
        <v>114567</v>
      </c>
      <c r="C44" s="333">
        <v>8063</v>
      </c>
      <c r="D44" s="333">
        <v>109435</v>
      </c>
      <c r="E44" s="333">
        <v>89341</v>
      </c>
      <c r="F44" s="333">
        <v>2430</v>
      </c>
      <c r="G44" s="333">
        <v>4044</v>
      </c>
      <c r="H44" s="333">
        <v>327880</v>
      </c>
      <c r="I44" s="333"/>
      <c r="J44" s="333">
        <v>4121</v>
      </c>
      <c r="K44" s="333">
        <v>1439</v>
      </c>
      <c r="L44" s="333">
        <v>667</v>
      </c>
      <c r="M44" s="333">
        <v>334107</v>
      </c>
      <c r="N44" s="326"/>
      <c r="O44" s="422"/>
      <c r="P44" s="421"/>
      <c r="Q44" s="422"/>
      <c r="R44" s="422"/>
      <c r="S44" s="421"/>
      <c r="T44" s="421"/>
      <c r="U44" s="422"/>
      <c r="V44" s="421"/>
      <c r="W44" s="421"/>
      <c r="X44" s="421"/>
      <c r="Y44" s="421"/>
      <c r="Z44" s="422"/>
    </row>
    <row r="45" spans="1:26" ht="10.5" hidden="1" customHeight="1">
      <c r="A45" s="328" t="s">
        <v>496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>
        <v>2477</v>
      </c>
      <c r="N45" s="326"/>
      <c r="O45" s="422"/>
      <c r="P45" s="422"/>
      <c r="Q45" s="422"/>
      <c r="R45" s="422"/>
      <c r="S45" s="422"/>
      <c r="T45" s="422"/>
      <c r="U45" s="422"/>
      <c r="V45" s="421"/>
      <c r="W45" s="422"/>
      <c r="X45" s="422"/>
      <c r="Y45" s="421"/>
      <c r="Z45" s="422"/>
    </row>
    <row r="46" spans="1:26" ht="10.5" hidden="1" customHeight="1" thickBot="1">
      <c r="A46" s="425" t="s">
        <v>497</v>
      </c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6">
        <v>331630</v>
      </c>
      <c r="N46" s="326"/>
      <c r="O46" s="421"/>
      <c r="P46" s="421"/>
      <c r="Q46" s="421"/>
      <c r="R46" s="421"/>
      <c r="S46" s="421"/>
      <c r="T46" s="421"/>
      <c r="U46" s="421"/>
      <c r="V46" s="421"/>
      <c r="W46" s="421"/>
      <c r="X46" s="421"/>
      <c r="Y46" s="421"/>
      <c r="Z46" s="422"/>
    </row>
    <row r="47" spans="1:26" ht="14.25" hidden="1" customHeight="1" thickTop="1">
      <c r="A47" s="417">
        <v>1998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26"/>
      <c r="O47" s="421"/>
      <c r="P47" s="421"/>
      <c r="Q47" s="421"/>
      <c r="R47" s="421"/>
      <c r="S47" s="421"/>
      <c r="T47" s="421"/>
      <c r="U47" s="421"/>
      <c r="V47" s="421"/>
      <c r="W47" s="421"/>
      <c r="X47" s="421"/>
      <c r="Y47" s="421"/>
      <c r="Z47" s="422"/>
    </row>
    <row r="48" spans="1:26" ht="10.5" hidden="1" customHeight="1">
      <c r="A48" s="323" t="s">
        <v>491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26"/>
      <c r="O48" s="421"/>
      <c r="P48" s="421"/>
      <c r="Q48" s="421"/>
      <c r="R48" s="421"/>
      <c r="S48" s="421"/>
      <c r="T48" s="421"/>
      <c r="U48" s="421"/>
      <c r="V48" s="421"/>
      <c r="W48" s="421"/>
      <c r="X48" s="421"/>
      <c r="Y48" s="421"/>
      <c r="Z48" s="421"/>
    </row>
    <row r="49" spans="1:26" ht="10.5" hidden="1" customHeight="1">
      <c r="A49" s="328" t="s">
        <v>492</v>
      </c>
      <c r="B49" s="330">
        <v>334037</v>
      </c>
      <c r="C49" s="330">
        <v>9827</v>
      </c>
      <c r="D49" s="330">
        <v>236298</v>
      </c>
      <c r="E49" s="330">
        <v>272642</v>
      </c>
      <c r="F49" s="330">
        <v>2338</v>
      </c>
      <c r="G49" s="330">
        <v>0</v>
      </c>
      <c r="H49" s="330">
        <v>855142</v>
      </c>
      <c r="I49" s="330"/>
      <c r="J49" s="330">
        <v>4237</v>
      </c>
      <c r="K49" s="330">
        <v>1624</v>
      </c>
      <c r="L49" s="330">
        <v>0</v>
      </c>
      <c r="M49" s="330">
        <v>861003</v>
      </c>
      <c r="N49" s="326"/>
      <c r="O49" s="421"/>
      <c r="P49" s="429"/>
      <c r="Q49" s="421"/>
      <c r="R49" s="429"/>
      <c r="S49" s="421"/>
      <c r="T49" s="429"/>
      <c r="U49" s="421"/>
      <c r="V49" s="429"/>
      <c r="W49" s="421"/>
      <c r="X49" s="429"/>
      <c r="Y49" s="429"/>
      <c r="Z49" s="421"/>
    </row>
    <row r="50" spans="1:26" ht="10.5" hidden="1" customHeight="1">
      <c r="A50" s="328" t="s">
        <v>493</v>
      </c>
      <c r="B50" s="330">
        <v>118595</v>
      </c>
      <c r="C50" s="330">
        <v>3442</v>
      </c>
      <c r="D50" s="330">
        <v>105804</v>
      </c>
      <c r="E50" s="330">
        <v>99486</v>
      </c>
      <c r="F50" s="330">
        <v>576</v>
      </c>
      <c r="G50" s="330">
        <v>0</v>
      </c>
      <c r="H50" s="330">
        <v>327903</v>
      </c>
      <c r="I50" s="330"/>
      <c r="J50" s="330">
        <v>4237</v>
      </c>
      <c r="K50" s="330">
        <v>1624</v>
      </c>
      <c r="L50" s="330">
        <v>0</v>
      </c>
      <c r="M50" s="330">
        <v>333764</v>
      </c>
      <c r="N50" s="326"/>
      <c r="O50" s="430"/>
      <c r="P50" s="431"/>
      <c r="Q50" s="430"/>
      <c r="R50" s="431"/>
      <c r="S50" s="430"/>
      <c r="T50" s="431"/>
      <c r="U50" s="430"/>
      <c r="V50" s="431"/>
      <c r="W50" s="430"/>
      <c r="X50" s="431"/>
      <c r="Y50" s="429"/>
      <c r="Z50" s="421"/>
    </row>
    <row r="51" spans="1:26" ht="10.5" hidden="1" customHeight="1">
      <c r="A51" s="328" t="s">
        <v>494</v>
      </c>
      <c r="B51" s="330">
        <v>5701</v>
      </c>
      <c r="C51" s="330">
        <v>231</v>
      </c>
      <c r="D51" s="330">
        <v>1116</v>
      </c>
      <c r="E51" s="330">
        <v>8896</v>
      </c>
      <c r="F51" s="330">
        <v>129</v>
      </c>
      <c r="G51" s="330">
        <v>0</v>
      </c>
      <c r="H51" s="330">
        <v>16072</v>
      </c>
      <c r="I51" s="330"/>
      <c r="J51" s="330">
        <v>12</v>
      </c>
      <c r="K51" s="330">
        <v>55</v>
      </c>
      <c r="L51" s="330">
        <v>0</v>
      </c>
      <c r="M51" s="330">
        <v>16140</v>
      </c>
      <c r="N51" s="326"/>
      <c r="O51" s="430"/>
      <c r="P51" s="429"/>
      <c r="Q51" s="430"/>
      <c r="R51" s="429"/>
      <c r="S51" s="430"/>
      <c r="T51" s="429"/>
      <c r="U51" s="430"/>
      <c r="V51" s="429"/>
      <c r="W51" s="430"/>
      <c r="X51" s="429"/>
      <c r="Y51" s="429"/>
      <c r="Z51" s="421"/>
    </row>
    <row r="52" spans="1:26" ht="10.5" hidden="1" customHeight="1">
      <c r="A52" s="328" t="s">
        <v>495</v>
      </c>
      <c r="B52" s="330">
        <v>112894</v>
      </c>
      <c r="C52" s="330">
        <v>3211</v>
      </c>
      <c r="D52" s="330">
        <v>104688</v>
      </c>
      <c r="E52" s="330">
        <v>90590</v>
      </c>
      <c r="F52" s="330">
        <v>447</v>
      </c>
      <c r="G52" s="330">
        <v>0</v>
      </c>
      <c r="H52" s="330">
        <v>311830</v>
      </c>
      <c r="I52" s="330"/>
      <c r="J52" s="330">
        <v>4225</v>
      </c>
      <c r="K52" s="330">
        <v>1569</v>
      </c>
      <c r="L52" s="330">
        <v>0</v>
      </c>
      <c r="M52" s="330">
        <v>317624</v>
      </c>
      <c r="N52" s="326"/>
      <c r="O52" s="430"/>
      <c r="P52" s="429"/>
      <c r="Q52" s="430"/>
      <c r="R52" s="429"/>
      <c r="S52" s="430"/>
      <c r="T52" s="429"/>
      <c r="U52" s="430"/>
      <c r="V52" s="429"/>
      <c r="W52" s="430"/>
      <c r="X52" s="429"/>
      <c r="Y52" s="429"/>
      <c r="Z52" s="421"/>
    </row>
    <row r="53" spans="1:26" ht="10.5" hidden="1" customHeight="1">
      <c r="A53" s="328" t="s">
        <v>496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>
        <v>2594</v>
      </c>
      <c r="N53" s="326"/>
      <c r="O53" s="432"/>
      <c r="P53" s="429"/>
      <c r="Q53" s="432"/>
      <c r="R53" s="429"/>
      <c r="S53" s="432"/>
      <c r="T53" s="429"/>
      <c r="U53" s="432"/>
      <c r="V53" s="429"/>
      <c r="W53" s="432"/>
      <c r="X53" s="429"/>
      <c r="Y53" s="429"/>
      <c r="Z53" s="421"/>
    </row>
    <row r="54" spans="1:26" ht="10.5" hidden="1" customHeight="1">
      <c r="A54" s="423" t="s">
        <v>497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>
        <v>315030</v>
      </c>
      <c r="N54" s="365"/>
      <c r="O54" s="421"/>
      <c r="P54" s="421"/>
      <c r="Q54" s="421"/>
      <c r="R54" s="421"/>
      <c r="S54" s="421"/>
      <c r="T54" s="421"/>
      <c r="U54" s="421"/>
      <c r="V54" s="421"/>
      <c r="W54" s="429"/>
      <c r="X54" s="429"/>
      <c r="Y54" s="429"/>
      <c r="Z54" s="421"/>
    </row>
    <row r="55" spans="1:26" s="340" customFormat="1" ht="11.5" hidden="1" customHeight="1">
      <c r="A55" s="380" t="s">
        <v>498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402"/>
      <c r="O55" s="428"/>
      <c r="P55" s="428"/>
      <c r="Q55" s="428"/>
      <c r="R55" s="428"/>
      <c r="S55" s="428"/>
      <c r="T55" s="428"/>
      <c r="U55" s="428"/>
      <c r="V55" s="428"/>
      <c r="W55" s="433"/>
      <c r="X55" s="433"/>
      <c r="Y55" s="434"/>
      <c r="Z55" s="427"/>
    </row>
    <row r="56" spans="1:26" ht="10.5" hidden="1" customHeight="1">
      <c r="A56" s="328" t="s">
        <v>492</v>
      </c>
      <c r="B56" s="330">
        <v>13659</v>
      </c>
      <c r="C56" s="330">
        <v>7966</v>
      </c>
      <c r="D56" s="330">
        <v>31433</v>
      </c>
      <c r="E56" s="330">
        <v>0</v>
      </c>
      <c r="F56" s="330">
        <v>11221</v>
      </c>
      <c r="G56" s="330">
        <v>16046</v>
      </c>
      <c r="H56" s="330">
        <v>80325</v>
      </c>
      <c r="I56" s="330"/>
      <c r="J56" s="330">
        <v>881</v>
      </c>
      <c r="K56" s="330">
        <v>0</v>
      </c>
      <c r="L56" s="330">
        <v>877</v>
      </c>
      <c r="M56" s="330">
        <v>82083</v>
      </c>
      <c r="N56" s="326"/>
      <c r="O56" s="422"/>
      <c r="P56" s="422"/>
      <c r="Q56" s="422"/>
      <c r="R56" s="422"/>
      <c r="S56" s="422"/>
      <c r="T56" s="422"/>
      <c r="U56" s="422"/>
      <c r="V56" s="422"/>
      <c r="W56" s="435"/>
      <c r="X56" s="435"/>
      <c r="Y56" s="429"/>
      <c r="Z56" s="421"/>
    </row>
    <row r="57" spans="1:26" ht="10.5" hidden="1" customHeight="1">
      <c r="A57" s="328" t="s">
        <v>499</v>
      </c>
      <c r="B57" s="330">
        <v>4376</v>
      </c>
      <c r="C57" s="330">
        <v>3913</v>
      </c>
      <c r="D57" s="330">
        <v>11994</v>
      </c>
      <c r="E57" s="330">
        <v>0</v>
      </c>
      <c r="F57" s="330">
        <v>2661</v>
      </c>
      <c r="G57" s="330">
        <v>4236</v>
      </c>
      <c r="H57" s="330">
        <v>27180</v>
      </c>
      <c r="I57" s="330"/>
      <c r="J57" s="330">
        <v>881</v>
      </c>
      <c r="K57" s="330">
        <v>0</v>
      </c>
      <c r="L57" s="330">
        <v>877</v>
      </c>
      <c r="M57" s="330">
        <v>28938</v>
      </c>
      <c r="N57" s="365"/>
      <c r="O57" s="421"/>
      <c r="P57" s="421"/>
      <c r="Q57" s="421"/>
      <c r="R57" s="421"/>
      <c r="S57" s="421"/>
      <c r="T57" s="421"/>
      <c r="U57" s="421"/>
      <c r="V57" s="421"/>
      <c r="W57" s="429"/>
      <c r="X57" s="429"/>
      <c r="Y57" s="429"/>
      <c r="Z57" s="421"/>
    </row>
    <row r="58" spans="1:26" ht="10.5" hidden="1" customHeight="1">
      <c r="A58" s="328" t="s">
        <v>494</v>
      </c>
      <c r="B58" s="330">
        <v>235</v>
      </c>
      <c r="C58" s="330">
        <v>290</v>
      </c>
      <c r="D58" s="330">
        <v>392</v>
      </c>
      <c r="E58" s="330">
        <v>0</v>
      </c>
      <c r="F58" s="330">
        <v>145</v>
      </c>
      <c r="G58" s="330">
        <v>194</v>
      </c>
      <c r="H58" s="330">
        <v>1256</v>
      </c>
      <c r="I58" s="330"/>
      <c r="J58" s="330">
        <v>12</v>
      </c>
      <c r="K58" s="330">
        <v>0</v>
      </c>
      <c r="L58" s="330">
        <v>0</v>
      </c>
      <c r="M58" s="330">
        <v>1268</v>
      </c>
      <c r="N58" s="326"/>
      <c r="O58" s="422"/>
      <c r="P58" s="422"/>
      <c r="Q58" s="422"/>
      <c r="R58" s="422"/>
      <c r="S58" s="422"/>
      <c r="T58" s="422"/>
      <c r="U58" s="422"/>
      <c r="V58" s="422"/>
      <c r="W58" s="435"/>
      <c r="X58" s="435"/>
      <c r="Y58" s="429"/>
      <c r="Z58" s="421"/>
    </row>
    <row r="59" spans="1:26" ht="10.5" hidden="1" customHeight="1">
      <c r="A59" s="423" t="s">
        <v>500</v>
      </c>
      <c r="B59" s="335">
        <v>4141</v>
      </c>
      <c r="C59" s="335">
        <v>3623</v>
      </c>
      <c r="D59" s="335">
        <v>11602</v>
      </c>
      <c r="E59" s="335">
        <v>0</v>
      </c>
      <c r="F59" s="335">
        <v>2516</v>
      </c>
      <c r="G59" s="335">
        <v>4042</v>
      </c>
      <c r="H59" s="335">
        <v>25924</v>
      </c>
      <c r="I59" s="335"/>
      <c r="J59" s="335">
        <v>869</v>
      </c>
      <c r="K59" s="335">
        <v>0</v>
      </c>
      <c r="L59" s="335">
        <v>877</v>
      </c>
      <c r="M59" s="335">
        <v>27670</v>
      </c>
      <c r="N59" s="326"/>
      <c r="O59" s="422"/>
      <c r="P59" s="422"/>
      <c r="Q59" s="422"/>
      <c r="R59" s="422"/>
      <c r="S59" s="422"/>
      <c r="T59" s="422"/>
      <c r="U59" s="422"/>
      <c r="V59" s="422"/>
      <c r="W59" s="435"/>
      <c r="X59" s="435"/>
      <c r="Y59" s="429"/>
      <c r="Z59" s="421"/>
    </row>
    <row r="60" spans="1:26" ht="10.5" hidden="1" customHeight="1">
      <c r="A60" s="323" t="s">
        <v>501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65"/>
      <c r="O60" s="421"/>
      <c r="P60" s="421"/>
      <c r="Q60" s="421"/>
      <c r="R60" s="421"/>
      <c r="S60" s="421"/>
      <c r="T60" s="421"/>
      <c r="U60" s="421"/>
      <c r="V60" s="421"/>
      <c r="W60" s="429"/>
      <c r="X60" s="429"/>
      <c r="Y60" s="429"/>
      <c r="Z60" s="421"/>
    </row>
    <row r="61" spans="1:26" ht="10.5" hidden="1" customHeight="1">
      <c r="A61" s="328" t="s">
        <v>502</v>
      </c>
      <c r="B61" s="330">
        <v>347696</v>
      </c>
      <c r="C61" s="330">
        <v>17793</v>
      </c>
      <c r="D61" s="330">
        <v>267731</v>
      </c>
      <c r="E61" s="330">
        <v>272642</v>
      </c>
      <c r="F61" s="330">
        <v>13559</v>
      </c>
      <c r="G61" s="330">
        <v>16046</v>
      </c>
      <c r="H61" s="330">
        <v>935467</v>
      </c>
      <c r="I61" s="330"/>
      <c r="J61" s="330">
        <v>5118</v>
      </c>
      <c r="K61" s="330">
        <v>1624</v>
      </c>
      <c r="L61" s="330">
        <v>877</v>
      </c>
      <c r="M61" s="330">
        <v>943086</v>
      </c>
      <c r="N61" s="326"/>
      <c r="O61" s="422"/>
      <c r="P61" s="422"/>
      <c r="Q61" s="422"/>
      <c r="R61" s="422"/>
      <c r="S61" s="422"/>
      <c r="T61" s="422"/>
      <c r="U61" s="422"/>
      <c r="V61" s="422"/>
      <c r="W61" s="435"/>
      <c r="X61" s="435"/>
      <c r="Y61" s="429"/>
      <c r="Z61" s="421"/>
    </row>
    <row r="62" spans="1:26" ht="10.5" hidden="1" customHeight="1">
      <c r="A62" s="328" t="s">
        <v>499</v>
      </c>
      <c r="B62" s="330">
        <v>122971</v>
      </c>
      <c r="C62" s="330">
        <v>7355</v>
      </c>
      <c r="D62" s="330">
        <v>117798</v>
      </c>
      <c r="E62" s="330">
        <v>99486</v>
      </c>
      <c r="F62" s="330">
        <v>3237</v>
      </c>
      <c r="G62" s="330">
        <v>4236</v>
      </c>
      <c r="H62" s="330">
        <v>355083</v>
      </c>
      <c r="I62" s="330"/>
      <c r="J62" s="330">
        <v>5118</v>
      </c>
      <c r="K62" s="330">
        <v>1624</v>
      </c>
      <c r="L62" s="330">
        <v>877</v>
      </c>
      <c r="M62" s="330">
        <v>362702</v>
      </c>
      <c r="N62" s="326"/>
      <c r="O62" s="422"/>
      <c r="P62" s="422"/>
      <c r="Q62" s="422"/>
      <c r="R62" s="422"/>
      <c r="S62" s="422"/>
      <c r="T62" s="422"/>
      <c r="U62" s="422"/>
      <c r="V62" s="422"/>
      <c r="W62" s="435"/>
      <c r="X62" s="435"/>
      <c r="Y62" s="429"/>
      <c r="Z62" s="421"/>
    </row>
    <row r="63" spans="1:26" ht="10.5" hidden="1" customHeight="1">
      <c r="A63" s="328" t="s">
        <v>494</v>
      </c>
      <c r="B63" s="330">
        <v>5936</v>
      </c>
      <c r="C63" s="330">
        <v>521</v>
      </c>
      <c r="D63" s="330">
        <v>1508</v>
      </c>
      <c r="E63" s="330">
        <v>8896</v>
      </c>
      <c r="F63" s="330">
        <v>274</v>
      </c>
      <c r="G63" s="330">
        <v>194</v>
      </c>
      <c r="H63" s="330">
        <v>17329</v>
      </c>
      <c r="I63" s="330"/>
      <c r="J63" s="330">
        <v>24</v>
      </c>
      <c r="K63" s="330">
        <v>55</v>
      </c>
      <c r="L63" s="330">
        <v>0</v>
      </c>
      <c r="M63" s="330">
        <v>17408</v>
      </c>
      <c r="N63" s="436"/>
      <c r="O63" s="421"/>
      <c r="P63" s="421"/>
      <c r="Q63" s="421"/>
      <c r="R63" s="421"/>
      <c r="S63" s="421"/>
      <c r="T63" s="421"/>
      <c r="U63" s="421"/>
      <c r="V63" s="421"/>
      <c r="W63" s="429"/>
      <c r="X63" s="429"/>
      <c r="Y63" s="421"/>
      <c r="Z63" s="421"/>
    </row>
    <row r="64" spans="1:26" ht="10.5" hidden="1" customHeight="1">
      <c r="A64" s="328" t="s">
        <v>495</v>
      </c>
      <c r="B64" s="333">
        <v>117035</v>
      </c>
      <c r="C64" s="333">
        <v>6834</v>
      </c>
      <c r="D64" s="333">
        <v>116290</v>
      </c>
      <c r="E64" s="333">
        <v>90590</v>
      </c>
      <c r="F64" s="333">
        <v>2963</v>
      </c>
      <c r="G64" s="333">
        <v>4042</v>
      </c>
      <c r="H64" s="333">
        <v>337754</v>
      </c>
      <c r="I64" s="333"/>
      <c r="J64" s="333">
        <v>5094</v>
      </c>
      <c r="K64" s="333">
        <v>1569</v>
      </c>
      <c r="L64" s="333">
        <v>877</v>
      </c>
      <c r="M64" s="333">
        <v>345294</v>
      </c>
      <c r="N64" s="436"/>
      <c r="O64" s="429"/>
      <c r="P64" s="429"/>
      <c r="Q64" s="429"/>
      <c r="R64" s="429"/>
      <c r="S64" s="429"/>
      <c r="T64" s="429"/>
      <c r="U64" s="429"/>
      <c r="V64" s="429"/>
      <c r="W64" s="429"/>
      <c r="X64" s="429"/>
      <c r="Y64" s="429"/>
      <c r="Z64" s="421"/>
    </row>
    <row r="65" spans="1:26" ht="10.5" hidden="1" customHeight="1">
      <c r="A65" s="328" t="s">
        <v>496</v>
      </c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>
        <v>2594</v>
      </c>
      <c r="N65" s="436"/>
      <c r="O65" s="429"/>
      <c r="P65" s="429"/>
      <c r="Q65" s="429"/>
      <c r="R65" s="429"/>
      <c r="S65" s="429"/>
      <c r="T65" s="429"/>
      <c r="U65" s="429"/>
      <c r="V65" s="429"/>
      <c r="W65" s="429"/>
      <c r="X65" s="429"/>
      <c r="Y65" s="429"/>
      <c r="Z65" s="421"/>
    </row>
    <row r="66" spans="1:26" ht="10.5" hidden="1" customHeight="1" thickBot="1">
      <c r="A66" s="425" t="s">
        <v>497</v>
      </c>
      <c r="B66" s="426"/>
      <c r="C66" s="426"/>
      <c r="D66" s="426"/>
      <c r="E66" s="426"/>
      <c r="F66" s="426"/>
      <c r="G66" s="426"/>
      <c r="H66" s="426"/>
      <c r="I66" s="426"/>
      <c r="J66" s="426"/>
      <c r="K66" s="426"/>
      <c r="L66" s="426"/>
      <c r="M66" s="426">
        <v>342700</v>
      </c>
      <c r="N66" s="436"/>
      <c r="O66" s="429"/>
      <c r="P66" s="429"/>
      <c r="Q66" s="429"/>
      <c r="R66" s="429"/>
      <c r="S66" s="429"/>
      <c r="T66" s="429"/>
      <c r="U66" s="429"/>
      <c r="V66" s="429"/>
      <c r="W66" s="429"/>
      <c r="X66" s="429"/>
      <c r="Y66" s="429"/>
      <c r="Z66" s="429"/>
    </row>
    <row r="67" spans="1:26" ht="14.25" hidden="1" customHeight="1" thickTop="1">
      <c r="A67" s="396"/>
      <c r="B67" s="1778" t="s">
        <v>477</v>
      </c>
      <c r="C67" s="1778"/>
      <c r="D67" s="1778"/>
      <c r="E67" s="1778"/>
      <c r="F67" s="1778"/>
      <c r="G67" s="1778"/>
      <c r="H67" s="1778"/>
      <c r="I67" s="396"/>
      <c r="J67" s="1778" t="s">
        <v>478</v>
      </c>
      <c r="K67" s="1778"/>
      <c r="L67" s="1778"/>
      <c r="M67" s="1778"/>
    </row>
    <row r="68" spans="1:26" ht="10.5" hidden="1" customHeight="1">
      <c r="A68" s="323"/>
      <c r="B68" s="400" t="s">
        <v>126</v>
      </c>
      <c r="C68" s="400" t="s">
        <v>187</v>
      </c>
      <c r="D68" s="400" t="s">
        <v>14</v>
      </c>
      <c r="E68" s="400" t="s">
        <v>0</v>
      </c>
      <c r="F68" s="400" t="s">
        <v>479</v>
      </c>
      <c r="G68" s="400" t="s">
        <v>374</v>
      </c>
      <c r="H68" s="400" t="s">
        <v>133</v>
      </c>
      <c r="I68" s="400"/>
      <c r="J68" s="400" t="s">
        <v>480</v>
      </c>
      <c r="K68" s="400" t="s">
        <v>480</v>
      </c>
      <c r="L68" s="400" t="s">
        <v>114</v>
      </c>
      <c r="M68" s="401" t="s">
        <v>133</v>
      </c>
    </row>
    <row r="69" spans="1:26" ht="10.5" hidden="1" customHeight="1">
      <c r="B69" s="324"/>
      <c r="C69" s="324"/>
      <c r="D69" s="324"/>
      <c r="E69" s="324"/>
      <c r="F69" s="400" t="s">
        <v>481</v>
      </c>
      <c r="G69" s="407" t="s">
        <v>482</v>
      </c>
      <c r="H69" s="324"/>
      <c r="I69" s="324"/>
      <c r="J69" s="400" t="s">
        <v>483</v>
      </c>
      <c r="K69" s="400" t="s">
        <v>484</v>
      </c>
      <c r="L69" s="407" t="s">
        <v>485</v>
      </c>
      <c r="M69" s="400" t="s">
        <v>486</v>
      </c>
    </row>
    <row r="70" spans="1:26" ht="10.5" hidden="1" customHeight="1">
      <c r="A70" s="437"/>
      <c r="B70" s="414"/>
      <c r="C70" s="414"/>
      <c r="D70" s="414"/>
      <c r="E70" s="414"/>
      <c r="F70" s="438" t="s">
        <v>487</v>
      </c>
      <c r="G70" s="414"/>
      <c r="H70" s="414"/>
      <c r="I70" s="414"/>
      <c r="J70" s="415" t="s">
        <v>488</v>
      </c>
      <c r="K70" s="415" t="s">
        <v>489</v>
      </c>
      <c r="L70" s="414"/>
      <c r="M70" s="415" t="s">
        <v>490</v>
      </c>
    </row>
    <row r="71" spans="1:26" s="340" customFormat="1" ht="13.5" hidden="1" customHeight="1">
      <c r="A71" s="439">
        <v>1999</v>
      </c>
      <c r="B71" s="382"/>
      <c r="C71" s="382"/>
      <c r="D71" s="382"/>
      <c r="E71" s="382"/>
      <c r="F71" s="382"/>
      <c r="G71" s="382"/>
      <c r="H71" s="382"/>
      <c r="I71" s="382"/>
      <c r="J71" s="382"/>
      <c r="K71" s="382"/>
      <c r="L71" s="382"/>
      <c r="M71" s="382"/>
    </row>
    <row r="72" spans="1:26" ht="10.5" hidden="1" customHeight="1">
      <c r="A72" s="323" t="s">
        <v>503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</row>
    <row r="73" spans="1:26" ht="10.5" hidden="1" customHeight="1">
      <c r="A73" s="328" t="s">
        <v>492</v>
      </c>
      <c r="B73" s="330">
        <v>285004</v>
      </c>
      <c r="C73" s="330">
        <v>9500</v>
      </c>
      <c r="D73" s="330">
        <v>281986</v>
      </c>
      <c r="E73" s="330">
        <v>258374</v>
      </c>
      <c r="F73" s="330">
        <v>2546</v>
      </c>
      <c r="G73" s="330">
        <v>0</v>
      </c>
      <c r="H73" s="330">
        <v>837410</v>
      </c>
      <c r="I73" s="330">
        <v>0</v>
      </c>
      <c r="J73" s="330">
        <v>4431</v>
      </c>
      <c r="K73" s="330">
        <v>2902</v>
      </c>
      <c r="L73" s="330">
        <v>0</v>
      </c>
      <c r="M73" s="330">
        <v>844744</v>
      </c>
    </row>
    <row r="74" spans="1:26" ht="10.5" hidden="1" customHeight="1">
      <c r="A74" s="328" t="s">
        <v>493</v>
      </c>
      <c r="B74" s="330">
        <v>102074</v>
      </c>
      <c r="C74" s="330">
        <v>2943</v>
      </c>
      <c r="D74" s="330">
        <v>128365</v>
      </c>
      <c r="E74" s="330">
        <v>95133</v>
      </c>
      <c r="F74" s="330">
        <v>761</v>
      </c>
      <c r="G74" s="330">
        <v>0</v>
      </c>
      <c r="H74" s="330">
        <v>329276</v>
      </c>
      <c r="I74" s="330">
        <v>0</v>
      </c>
      <c r="J74" s="330">
        <v>4431</v>
      </c>
      <c r="K74" s="330">
        <v>2902</v>
      </c>
      <c r="L74" s="330">
        <v>0</v>
      </c>
      <c r="M74" s="330">
        <v>336608</v>
      </c>
    </row>
    <row r="75" spans="1:26" s="340" customFormat="1" ht="10.5" hidden="1" customHeight="1">
      <c r="A75" s="328" t="s">
        <v>494</v>
      </c>
      <c r="B75" s="330">
        <v>4725</v>
      </c>
      <c r="C75" s="330">
        <v>210</v>
      </c>
      <c r="D75" s="330">
        <v>2759</v>
      </c>
      <c r="E75" s="330">
        <v>7461</v>
      </c>
      <c r="F75" s="330">
        <v>187</v>
      </c>
      <c r="G75" s="330">
        <v>0</v>
      </c>
      <c r="H75" s="330">
        <v>15342</v>
      </c>
      <c r="I75" s="330">
        <v>0</v>
      </c>
      <c r="J75" s="330">
        <v>21</v>
      </c>
      <c r="K75" s="330">
        <v>98</v>
      </c>
      <c r="L75" s="330">
        <v>0</v>
      </c>
      <c r="M75" s="330">
        <v>15461</v>
      </c>
    </row>
    <row r="76" spans="1:26" ht="10.5" hidden="1" customHeight="1">
      <c r="A76" s="328" t="s">
        <v>495</v>
      </c>
      <c r="B76" s="330">
        <v>97348</v>
      </c>
      <c r="C76" s="330">
        <v>2733</v>
      </c>
      <c r="D76" s="330">
        <v>125606</v>
      </c>
      <c r="E76" s="330">
        <v>87672</v>
      </c>
      <c r="F76" s="330">
        <v>574</v>
      </c>
      <c r="G76" s="330">
        <v>0</v>
      </c>
      <c r="H76" s="330">
        <v>313933</v>
      </c>
      <c r="I76" s="330">
        <v>0</v>
      </c>
      <c r="J76" s="330">
        <v>4409</v>
      </c>
      <c r="K76" s="330">
        <v>2804</v>
      </c>
      <c r="L76" s="330">
        <v>0</v>
      </c>
      <c r="M76" s="330">
        <v>321147</v>
      </c>
    </row>
    <row r="77" spans="1:26" ht="10.5" hidden="1" customHeight="1">
      <c r="A77" s="328" t="s">
        <v>496</v>
      </c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>
        <v>3774</v>
      </c>
    </row>
    <row r="78" spans="1:26" ht="10.5" hidden="1" customHeight="1">
      <c r="A78" s="423" t="s">
        <v>497</v>
      </c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5"/>
      <c r="M78" s="335">
        <v>317373</v>
      </c>
    </row>
    <row r="79" spans="1:26" ht="10.5" hidden="1" customHeight="1">
      <c r="A79" s="380" t="s">
        <v>504</v>
      </c>
      <c r="B79" s="382"/>
      <c r="C79" s="382"/>
      <c r="D79" s="382"/>
      <c r="E79" s="382"/>
      <c r="F79" s="382"/>
      <c r="G79" s="382"/>
      <c r="H79" s="382"/>
      <c r="I79" s="382"/>
      <c r="J79" s="382"/>
      <c r="K79" s="382"/>
      <c r="L79" s="382"/>
      <c r="M79" s="382"/>
    </row>
    <row r="80" spans="1:26" s="340" customFormat="1" ht="11.25" hidden="1" customHeight="1">
      <c r="A80" s="328" t="s">
        <v>492</v>
      </c>
      <c r="B80" s="330">
        <v>11702</v>
      </c>
      <c r="C80" s="330">
        <v>8420</v>
      </c>
      <c r="D80" s="330">
        <v>33562</v>
      </c>
      <c r="E80" s="330">
        <v>0</v>
      </c>
      <c r="F80" s="330">
        <v>13659</v>
      </c>
      <c r="G80" s="330">
        <v>16187</v>
      </c>
      <c r="H80" s="330">
        <v>83531</v>
      </c>
      <c r="I80" s="330">
        <v>0</v>
      </c>
      <c r="J80" s="330">
        <v>905</v>
      </c>
      <c r="K80" s="330">
        <v>0</v>
      </c>
      <c r="L80" s="330">
        <v>851</v>
      </c>
      <c r="M80" s="330">
        <v>85287</v>
      </c>
    </row>
    <row r="81" spans="1:13" ht="10.5" hidden="1" customHeight="1">
      <c r="A81" s="328" t="s">
        <v>499</v>
      </c>
      <c r="B81" s="330">
        <v>4106</v>
      </c>
      <c r="C81" s="330">
        <v>3606</v>
      </c>
      <c r="D81" s="330">
        <v>14537</v>
      </c>
      <c r="E81" s="330">
        <v>0</v>
      </c>
      <c r="F81" s="330">
        <v>3227</v>
      </c>
      <c r="G81" s="330">
        <v>4312</v>
      </c>
      <c r="H81" s="330">
        <v>29787</v>
      </c>
      <c r="I81" s="330">
        <v>0</v>
      </c>
      <c r="J81" s="330">
        <v>905</v>
      </c>
      <c r="K81" s="330">
        <v>0</v>
      </c>
      <c r="L81" s="330">
        <v>851</v>
      </c>
      <c r="M81" s="330">
        <v>31543</v>
      </c>
    </row>
    <row r="82" spans="1:13" ht="10.5" hidden="1" customHeight="1">
      <c r="A82" s="328" t="s">
        <v>494</v>
      </c>
      <c r="B82" s="330">
        <v>197</v>
      </c>
      <c r="C82" s="330">
        <v>267</v>
      </c>
      <c r="D82" s="330">
        <v>471</v>
      </c>
      <c r="E82" s="330">
        <v>0</v>
      </c>
      <c r="F82" s="330">
        <v>100</v>
      </c>
      <c r="G82" s="330">
        <v>198</v>
      </c>
      <c r="H82" s="330">
        <v>1233</v>
      </c>
      <c r="I82" s="330">
        <v>0</v>
      </c>
      <c r="J82" s="330">
        <v>11</v>
      </c>
      <c r="K82" s="330">
        <v>0</v>
      </c>
      <c r="L82" s="330">
        <v>0</v>
      </c>
      <c r="M82" s="330">
        <v>1245</v>
      </c>
    </row>
    <row r="83" spans="1:13" ht="10.5" hidden="1" customHeight="1">
      <c r="A83" s="423" t="s">
        <v>500</v>
      </c>
      <c r="B83" s="335">
        <v>3909</v>
      </c>
      <c r="C83" s="335">
        <v>3339</v>
      </c>
      <c r="D83" s="335">
        <v>14066</v>
      </c>
      <c r="E83" s="335">
        <v>0</v>
      </c>
      <c r="F83" s="335">
        <v>3126</v>
      </c>
      <c r="G83" s="335">
        <v>4113</v>
      </c>
      <c r="H83" s="335">
        <v>28554</v>
      </c>
      <c r="I83" s="335">
        <v>0</v>
      </c>
      <c r="J83" s="335">
        <v>894</v>
      </c>
      <c r="K83" s="335">
        <v>0</v>
      </c>
      <c r="L83" s="335">
        <v>851</v>
      </c>
      <c r="M83" s="335">
        <v>30298</v>
      </c>
    </row>
    <row r="84" spans="1:13" ht="10.5" hidden="1" customHeight="1">
      <c r="A84" s="380" t="s">
        <v>501</v>
      </c>
      <c r="B84" s="382"/>
      <c r="C84" s="382"/>
      <c r="D84" s="382"/>
      <c r="E84" s="382"/>
      <c r="F84" s="382"/>
      <c r="G84" s="382"/>
      <c r="H84" s="382"/>
      <c r="I84" s="382"/>
      <c r="J84" s="382"/>
      <c r="K84" s="382"/>
      <c r="L84" s="382"/>
      <c r="M84" s="382"/>
    </row>
    <row r="85" spans="1:13" ht="10.5" hidden="1" customHeight="1">
      <c r="A85" s="328" t="s">
        <v>502</v>
      </c>
      <c r="B85" s="330">
        <v>296706</v>
      </c>
      <c r="C85" s="330">
        <v>17920</v>
      </c>
      <c r="D85" s="330">
        <v>315548</v>
      </c>
      <c r="E85" s="330">
        <v>258374</v>
      </c>
      <c r="F85" s="330">
        <v>16205</v>
      </c>
      <c r="G85" s="330">
        <v>16187</v>
      </c>
      <c r="H85" s="330">
        <v>920941</v>
      </c>
      <c r="I85" s="330">
        <v>0</v>
      </c>
      <c r="J85" s="330">
        <v>5336</v>
      </c>
      <c r="K85" s="330">
        <v>2902</v>
      </c>
      <c r="L85" s="330">
        <v>851</v>
      </c>
      <c r="M85" s="330">
        <v>930030</v>
      </c>
    </row>
    <row r="86" spans="1:13" ht="10.5" hidden="1" customHeight="1">
      <c r="A86" s="328" t="s">
        <v>499</v>
      </c>
      <c r="B86" s="330">
        <v>106179</v>
      </c>
      <c r="C86" s="330">
        <v>6549</v>
      </c>
      <c r="D86" s="330">
        <v>142902</v>
      </c>
      <c r="E86" s="330">
        <v>95133</v>
      </c>
      <c r="F86" s="330">
        <v>3988</v>
      </c>
      <c r="G86" s="330">
        <v>4312</v>
      </c>
      <c r="H86" s="330">
        <v>359063</v>
      </c>
      <c r="I86" s="330">
        <v>0</v>
      </c>
      <c r="J86" s="330">
        <v>5336</v>
      </c>
      <c r="K86" s="330">
        <v>2902</v>
      </c>
      <c r="L86" s="330">
        <v>851</v>
      </c>
      <c r="M86" s="330">
        <v>368151</v>
      </c>
    </row>
    <row r="87" spans="1:13" ht="10.5" hidden="1" customHeight="1">
      <c r="A87" s="328" t="s">
        <v>494</v>
      </c>
      <c r="B87" s="330">
        <v>4922</v>
      </c>
      <c r="C87" s="330">
        <v>477</v>
      </c>
      <c r="D87" s="330">
        <v>3230</v>
      </c>
      <c r="E87" s="330">
        <v>7461</v>
      </c>
      <c r="F87" s="330">
        <v>287</v>
      </c>
      <c r="G87" s="330">
        <v>198</v>
      </c>
      <c r="H87" s="330">
        <v>16576</v>
      </c>
      <c r="I87" s="330">
        <v>0</v>
      </c>
      <c r="J87" s="330">
        <v>33</v>
      </c>
      <c r="K87" s="330">
        <v>98</v>
      </c>
      <c r="L87" s="330">
        <v>0</v>
      </c>
      <c r="M87" s="330">
        <v>16706</v>
      </c>
    </row>
    <row r="88" spans="1:13" ht="10.5" hidden="1" customHeight="1">
      <c r="A88" s="328" t="s">
        <v>495</v>
      </c>
      <c r="B88" s="333">
        <v>101257</v>
      </c>
      <c r="C88" s="333">
        <v>6072</v>
      </c>
      <c r="D88" s="333">
        <v>139672</v>
      </c>
      <c r="E88" s="333">
        <v>87672</v>
      </c>
      <c r="F88" s="333">
        <v>3700</v>
      </c>
      <c r="G88" s="333">
        <v>4113</v>
      </c>
      <c r="H88" s="333">
        <v>342487</v>
      </c>
      <c r="I88" s="333">
        <v>0</v>
      </c>
      <c r="J88" s="333">
        <v>5303</v>
      </c>
      <c r="K88" s="333">
        <v>2804</v>
      </c>
      <c r="L88" s="333">
        <v>851</v>
      </c>
      <c r="M88" s="333">
        <v>351445</v>
      </c>
    </row>
    <row r="89" spans="1:13" ht="10.5" hidden="1" customHeight="1">
      <c r="A89" s="328" t="s">
        <v>496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>
        <v>3774</v>
      </c>
    </row>
    <row r="90" spans="1:13" ht="10.5" hidden="1" customHeight="1" thickBot="1">
      <c r="A90" s="425" t="s">
        <v>497</v>
      </c>
      <c r="B90" s="426"/>
      <c r="C90" s="426"/>
      <c r="D90" s="426"/>
      <c r="E90" s="426"/>
      <c r="F90" s="426"/>
      <c r="G90" s="426"/>
      <c r="H90" s="426"/>
      <c r="I90" s="426"/>
      <c r="J90" s="426"/>
      <c r="K90" s="426"/>
      <c r="L90" s="426"/>
      <c r="M90" s="426">
        <v>347671</v>
      </c>
    </row>
    <row r="91" spans="1:13" s="340" customFormat="1" hidden="1">
      <c r="A91" s="439">
        <v>2000</v>
      </c>
      <c r="B91" s="440"/>
      <c r="C91" s="440"/>
      <c r="D91" s="440"/>
      <c r="E91" s="440"/>
      <c r="F91" s="440"/>
      <c r="G91" s="440"/>
      <c r="H91" s="440"/>
      <c r="I91" s="440"/>
      <c r="J91" s="440"/>
      <c r="K91" s="440"/>
      <c r="L91" s="440"/>
      <c r="M91" s="440"/>
    </row>
    <row r="92" spans="1:13" ht="10.5" hidden="1" customHeight="1">
      <c r="A92" s="323" t="s">
        <v>491</v>
      </c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</row>
    <row r="93" spans="1:13" ht="10.5" hidden="1" customHeight="1">
      <c r="A93" s="328" t="s">
        <v>492</v>
      </c>
      <c r="B93" s="330">
        <v>322907</v>
      </c>
      <c r="C93" s="330">
        <v>8981</v>
      </c>
      <c r="D93" s="330">
        <v>283781</v>
      </c>
      <c r="E93" s="330">
        <v>228358</v>
      </c>
      <c r="F93" s="330">
        <v>2921</v>
      </c>
      <c r="G93" s="330" t="s">
        <v>505</v>
      </c>
      <c r="H93" s="330">
        <v>846949</v>
      </c>
      <c r="I93" s="330" t="s">
        <v>505</v>
      </c>
      <c r="J93" s="330">
        <v>4331</v>
      </c>
      <c r="K93" s="330">
        <v>2694</v>
      </c>
      <c r="L93" s="330" t="s">
        <v>505</v>
      </c>
      <c r="M93" s="330">
        <v>853974</v>
      </c>
    </row>
    <row r="94" spans="1:13" ht="10.5" hidden="1" customHeight="1">
      <c r="A94" s="328" t="s">
        <v>493</v>
      </c>
      <c r="B94" s="330">
        <v>117025</v>
      </c>
      <c r="C94" s="330">
        <v>2415</v>
      </c>
      <c r="D94" s="330">
        <v>129558</v>
      </c>
      <c r="E94" s="330">
        <v>85063</v>
      </c>
      <c r="F94" s="330">
        <v>698</v>
      </c>
      <c r="G94" s="330" t="s">
        <v>505</v>
      </c>
      <c r="H94" s="330">
        <v>334758</v>
      </c>
      <c r="I94" s="330" t="s">
        <v>505</v>
      </c>
      <c r="J94" s="330">
        <v>4331</v>
      </c>
      <c r="K94" s="330">
        <v>2694</v>
      </c>
      <c r="L94" s="330" t="s">
        <v>505</v>
      </c>
      <c r="M94" s="330">
        <v>341783</v>
      </c>
    </row>
    <row r="95" spans="1:13" ht="10.5" hidden="1" customHeight="1">
      <c r="A95" s="328" t="s">
        <v>494</v>
      </c>
      <c r="B95" s="330">
        <v>5175</v>
      </c>
      <c r="C95" s="330">
        <v>292</v>
      </c>
      <c r="D95" s="330">
        <v>2592</v>
      </c>
      <c r="E95" s="330">
        <v>6729</v>
      </c>
      <c r="F95" s="330">
        <v>58</v>
      </c>
      <c r="G95" s="330" t="s">
        <v>505</v>
      </c>
      <c r="H95" s="330">
        <v>14846</v>
      </c>
      <c r="I95" s="330" t="s">
        <v>505</v>
      </c>
      <c r="J95" s="330">
        <v>15</v>
      </c>
      <c r="K95" s="330">
        <v>91</v>
      </c>
      <c r="L95" s="330" t="s">
        <v>505</v>
      </c>
      <c r="M95" s="330">
        <v>14952</v>
      </c>
    </row>
    <row r="96" spans="1:13" ht="10.5" hidden="1" customHeight="1">
      <c r="A96" s="328" t="s">
        <v>495</v>
      </c>
      <c r="B96" s="330">
        <v>111850</v>
      </c>
      <c r="C96" s="330">
        <v>2123</v>
      </c>
      <c r="D96" s="330">
        <v>126965</v>
      </c>
      <c r="E96" s="330">
        <v>78334</v>
      </c>
      <c r="F96" s="330">
        <v>640</v>
      </c>
      <c r="G96" s="330" t="s">
        <v>505</v>
      </c>
      <c r="H96" s="330">
        <v>319912</v>
      </c>
      <c r="I96" s="330" t="s">
        <v>505</v>
      </c>
      <c r="J96" s="330">
        <v>4316</v>
      </c>
      <c r="K96" s="330">
        <v>2603</v>
      </c>
      <c r="L96" s="330" t="s">
        <v>505</v>
      </c>
      <c r="M96" s="330">
        <v>326831</v>
      </c>
    </row>
    <row r="97" spans="1:13" ht="10.5" hidden="1" customHeight="1">
      <c r="A97" s="328" t="s">
        <v>496</v>
      </c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>
        <v>3499</v>
      </c>
    </row>
    <row r="98" spans="1:13" ht="10.5" hidden="1" customHeight="1">
      <c r="A98" s="423" t="s">
        <v>497</v>
      </c>
      <c r="B98" s="335"/>
      <c r="C98" s="335"/>
      <c r="D98" s="335"/>
      <c r="E98" s="335"/>
      <c r="F98" s="335"/>
      <c r="G98" s="335"/>
      <c r="H98" s="335"/>
      <c r="I98" s="335"/>
      <c r="J98" s="335"/>
      <c r="K98" s="335"/>
      <c r="L98" s="335"/>
      <c r="M98" s="335">
        <v>323332</v>
      </c>
    </row>
    <row r="99" spans="1:13" ht="10.5" hidden="1" customHeight="1">
      <c r="A99" s="323" t="s">
        <v>506</v>
      </c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</row>
    <row r="100" spans="1:13" ht="10.5" hidden="1" customHeight="1">
      <c r="A100" s="328" t="s">
        <v>492</v>
      </c>
      <c r="B100" s="330">
        <v>10522</v>
      </c>
      <c r="C100" s="330">
        <v>9042</v>
      </c>
      <c r="D100" s="330">
        <v>40779</v>
      </c>
      <c r="E100" s="330" t="s">
        <v>505</v>
      </c>
      <c r="F100" s="330">
        <v>15517</v>
      </c>
      <c r="G100" s="330">
        <v>15743</v>
      </c>
      <c r="H100" s="330">
        <v>91603</v>
      </c>
      <c r="I100" s="330" t="s">
        <v>505</v>
      </c>
      <c r="J100" s="330">
        <v>755</v>
      </c>
      <c r="K100" s="330" t="s">
        <v>505</v>
      </c>
      <c r="L100" s="330">
        <v>947</v>
      </c>
      <c r="M100" s="330">
        <v>93304</v>
      </c>
    </row>
    <row r="101" spans="1:13" ht="10.5" hidden="1" customHeight="1">
      <c r="A101" s="328" t="s">
        <v>499</v>
      </c>
      <c r="B101" s="330">
        <v>2925</v>
      </c>
      <c r="C101" s="330">
        <v>4109</v>
      </c>
      <c r="D101" s="330">
        <v>18519</v>
      </c>
      <c r="E101" s="330" t="s">
        <v>505</v>
      </c>
      <c r="F101" s="330">
        <v>3630</v>
      </c>
      <c r="G101" s="330">
        <v>4401</v>
      </c>
      <c r="H101" s="330">
        <v>33584</v>
      </c>
      <c r="I101" s="330" t="s">
        <v>505</v>
      </c>
      <c r="J101" s="330">
        <v>755</v>
      </c>
      <c r="K101" s="330" t="s">
        <v>505</v>
      </c>
      <c r="L101" s="330">
        <v>947</v>
      </c>
      <c r="M101" s="330">
        <v>35285</v>
      </c>
    </row>
    <row r="102" spans="1:13" ht="10.5" hidden="1" customHeight="1">
      <c r="A102" s="328" t="s">
        <v>494</v>
      </c>
      <c r="B102" s="330">
        <v>39</v>
      </c>
      <c r="C102" s="330">
        <v>304</v>
      </c>
      <c r="D102" s="330">
        <v>592</v>
      </c>
      <c r="E102" s="330" t="s">
        <v>505</v>
      </c>
      <c r="F102" s="330">
        <v>203</v>
      </c>
      <c r="G102" s="330">
        <v>202</v>
      </c>
      <c r="H102" s="330">
        <v>1340</v>
      </c>
      <c r="I102" s="330" t="s">
        <v>505</v>
      </c>
      <c r="J102" s="330">
        <v>12</v>
      </c>
      <c r="K102" s="330" t="s">
        <v>505</v>
      </c>
      <c r="L102" s="330" t="s">
        <v>505</v>
      </c>
      <c r="M102" s="330">
        <v>1352</v>
      </c>
    </row>
    <row r="103" spans="1:13" ht="10.5" hidden="1" customHeight="1">
      <c r="A103" s="423" t="s">
        <v>500</v>
      </c>
      <c r="B103" s="335">
        <v>2887</v>
      </c>
      <c r="C103" s="335">
        <v>3805</v>
      </c>
      <c r="D103" s="335">
        <v>17927</v>
      </c>
      <c r="E103" s="335" t="s">
        <v>505</v>
      </c>
      <c r="F103" s="335">
        <v>3427</v>
      </c>
      <c r="G103" s="335">
        <v>4198</v>
      </c>
      <c r="H103" s="335">
        <v>32244</v>
      </c>
      <c r="I103" s="335" t="s">
        <v>505</v>
      </c>
      <c r="J103" s="335">
        <v>743</v>
      </c>
      <c r="K103" s="335" t="s">
        <v>505</v>
      </c>
      <c r="L103" s="335">
        <v>947</v>
      </c>
      <c r="M103" s="335">
        <v>33933</v>
      </c>
    </row>
    <row r="104" spans="1:13" ht="10.5" hidden="1" customHeight="1">
      <c r="A104" s="323" t="s">
        <v>501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</row>
    <row r="105" spans="1:13" ht="10.5" hidden="1" customHeight="1">
      <c r="A105" s="328" t="s">
        <v>502</v>
      </c>
      <c r="B105" s="330">
        <v>333429</v>
      </c>
      <c r="C105" s="330">
        <v>18023</v>
      </c>
      <c r="D105" s="330">
        <v>324560</v>
      </c>
      <c r="E105" s="330">
        <v>228358</v>
      </c>
      <c r="F105" s="330">
        <v>18439</v>
      </c>
      <c r="G105" s="330">
        <v>15743</v>
      </c>
      <c r="H105" s="330">
        <v>938551</v>
      </c>
      <c r="I105" s="330" t="s">
        <v>505</v>
      </c>
      <c r="J105" s="330">
        <v>5085</v>
      </c>
      <c r="K105" s="330">
        <v>2694</v>
      </c>
      <c r="L105" s="330">
        <v>947</v>
      </c>
      <c r="M105" s="330">
        <v>947278</v>
      </c>
    </row>
    <row r="106" spans="1:13" ht="10.5" hidden="1" customHeight="1">
      <c r="A106" s="328" t="s">
        <v>499</v>
      </c>
      <c r="B106" s="330">
        <v>119950</v>
      </c>
      <c r="C106" s="330">
        <v>6524</v>
      </c>
      <c r="D106" s="330">
        <v>148077</v>
      </c>
      <c r="E106" s="330">
        <v>85063</v>
      </c>
      <c r="F106" s="330">
        <v>4328</v>
      </c>
      <c r="G106" s="330">
        <v>4401</v>
      </c>
      <c r="H106" s="330">
        <v>368342</v>
      </c>
      <c r="I106" s="330" t="s">
        <v>505</v>
      </c>
      <c r="J106" s="330">
        <v>5085</v>
      </c>
      <c r="K106" s="330">
        <v>2694</v>
      </c>
      <c r="L106" s="330">
        <v>947</v>
      </c>
      <c r="M106" s="330">
        <v>377069</v>
      </c>
    </row>
    <row r="107" spans="1:13" ht="10.5" hidden="1" customHeight="1">
      <c r="A107" s="328" t="s">
        <v>494</v>
      </c>
      <c r="B107" s="330">
        <v>5214</v>
      </c>
      <c r="C107" s="330">
        <v>596</v>
      </c>
      <c r="D107" s="330">
        <v>3184</v>
      </c>
      <c r="E107" s="330">
        <v>6729</v>
      </c>
      <c r="F107" s="330">
        <v>261</v>
      </c>
      <c r="G107" s="330">
        <v>202</v>
      </c>
      <c r="H107" s="330">
        <v>16186</v>
      </c>
      <c r="I107" s="330" t="s">
        <v>505</v>
      </c>
      <c r="J107" s="330">
        <v>27</v>
      </c>
      <c r="K107" s="330">
        <v>91</v>
      </c>
      <c r="L107" s="330" t="s">
        <v>505</v>
      </c>
      <c r="M107" s="330">
        <v>16304</v>
      </c>
    </row>
    <row r="108" spans="1:13" ht="10.5" hidden="1" customHeight="1">
      <c r="A108" s="328" t="s">
        <v>495</v>
      </c>
      <c r="B108" s="330">
        <v>114736</v>
      </c>
      <c r="C108" s="330">
        <v>5928</v>
      </c>
      <c r="D108" s="330">
        <v>144892</v>
      </c>
      <c r="E108" s="330">
        <v>78334</v>
      </c>
      <c r="F108" s="330">
        <v>4067</v>
      </c>
      <c r="G108" s="330">
        <v>4198</v>
      </c>
      <c r="H108" s="330">
        <v>352156</v>
      </c>
      <c r="I108" s="330" t="s">
        <v>505</v>
      </c>
      <c r="J108" s="330">
        <v>5058</v>
      </c>
      <c r="K108" s="330">
        <v>2603</v>
      </c>
      <c r="L108" s="330">
        <v>947</v>
      </c>
      <c r="M108" s="330">
        <v>360764</v>
      </c>
    </row>
    <row r="109" spans="1:13" ht="10.5" hidden="1" customHeight="1">
      <c r="A109" s="328" t="s">
        <v>496</v>
      </c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>
        <v>3499</v>
      </c>
    </row>
    <row r="110" spans="1:13" ht="10.5" hidden="1" customHeight="1" thickBot="1">
      <c r="A110" s="425" t="s">
        <v>497</v>
      </c>
      <c r="B110" s="426"/>
      <c r="C110" s="426"/>
      <c r="D110" s="426"/>
      <c r="E110" s="426"/>
      <c r="F110" s="426"/>
      <c r="G110" s="426"/>
      <c r="H110" s="426"/>
      <c r="I110" s="426"/>
      <c r="J110" s="426"/>
      <c r="K110" s="426"/>
      <c r="L110" s="426"/>
      <c r="M110" s="426">
        <v>357266</v>
      </c>
    </row>
    <row r="111" spans="1:13" ht="14.25" hidden="1" customHeight="1" thickTop="1">
      <c r="A111" s="396"/>
      <c r="B111" s="1778" t="s">
        <v>477</v>
      </c>
      <c r="C111" s="1778"/>
      <c r="D111" s="1778"/>
      <c r="E111" s="1778"/>
      <c r="F111" s="1778"/>
      <c r="G111" s="1778"/>
      <c r="H111" s="1778"/>
      <c r="I111" s="396"/>
      <c r="J111" s="1778" t="s">
        <v>478</v>
      </c>
      <c r="K111" s="1778"/>
      <c r="L111" s="1778"/>
      <c r="M111" s="1778"/>
    </row>
    <row r="112" spans="1:13" ht="10.5" hidden="1" customHeight="1">
      <c r="A112" s="323"/>
      <c r="B112" s="400" t="s">
        <v>126</v>
      </c>
      <c r="C112" s="400" t="s">
        <v>187</v>
      </c>
      <c r="D112" s="400" t="s">
        <v>14</v>
      </c>
      <c r="E112" s="400" t="s">
        <v>0</v>
      </c>
      <c r="F112" s="400" t="s">
        <v>479</v>
      </c>
      <c r="G112" s="400" t="s">
        <v>374</v>
      </c>
      <c r="H112" s="400" t="s">
        <v>133</v>
      </c>
      <c r="I112" s="400"/>
      <c r="J112" s="400" t="s">
        <v>480</v>
      </c>
      <c r="K112" s="400" t="s">
        <v>480</v>
      </c>
      <c r="L112" s="400" t="s">
        <v>114</v>
      </c>
      <c r="M112" s="401" t="s">
        <v>133</v>
      </c>
    </row>
    <row r="113" spans="1:15" ht="10.5" hidden="1" customHeight="1">
      <c r="B113" s="324"/>
      <c r="C113" s="324"/>
      <c r="D113" s="324"/>
      <c r="E113" s="324"/>
      <c r="F113" s="400" t="s">
        <v>481</v>
      </c>
      <c r="G113" s="407" t="s">
        <v>482</v>
      </c>
      <c r="H113" s="324"/>
      <c r="I113" s="324"/>
      <c r="J113" s="400" t="s">
        <v>483</v>
      </c>
      <c r="K113" s="400" t="s">
        <v>484</v>
      </c>
      <c r="L113" s="407" t="s">
        <v>485</v>
      </c>
      <c r="M113" s="400" t="s">
        <v>486</v>
      </c>
    </row>
    <row r="114" spans="1:15" ht="10.5" hidden="1" customHeight="1">
      <c r="A114" s="437"/>
      <c r="B114" s="414"/>
      <c r="C114" s="414"/>
      <c r="D114" s="414"/>
      <c r="E114" s="414"/>
      <c r="F114" s="438" t="s">
        <v>487</v>
      </c>
      <c r="G114" s="414"/>
      <c r="H114" s="414"/>
      <c r="I114" s="414"/>
      <c r="J114" s="415" t="s">
        <v>488</v>
      </c>
      <c r="K114" s="415" t="s">
        <v>489</v>
      </c>
      <c r="L114" s="414"/>
      <c r="M114" s="415" t="s">
        <v>490</v>
      </c>
    </row>
    <row r="115" spans="1:15" s="340" customFormat="1" hidden="1">
      <c r="A115" s="439">
        <v>2001</v>
      </c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</row>
    <row r="116" spans="1:15" ht="10.5" hidden="1" customHeight="1">
      <c r="A116" s="323" t="s">
        <v>507</v>
      </c>
      <c r="B116" s="441"/>
      <c r="C116" s="441"/>
      <c r="D116" s="441"/>
      <c r="E116" s="441"/>
      <c r="F116" s="441"/>
      <c r="G116" s="441"/>
      <c r="H116" s="441"/>
      <c r="I116" s="441"/>
      <c r="J116" s="441"/>
      <c r="K116" s="441"/>
      <c r="L116" s="441"/>
      <c r="M116" s="441"/>
    </row>
    <row r="117" spans="1:15" ht="10.5" hidden="1" customHeight="1">
      <c r="A117" s="328" t="s">
        <v>492</v>
      </c>
      <c r="B117" s="442">
        <v>355582</v>
      </c>
      <c r="C117" s="442">
        <v>9510</v>
      </c>
      <c r="D117" s="442">
        <v>276761</v>
      </c>
      <c r="E117" s="442">
        <v>241537</v>
      </c>
      <c r="F117" s="442">
        <v>3102</v>
      </c>
      <c r="G117" s="442">
        <v>0</v>
      </c>
      <c r="H117" s="442">
        <v>886492</v>
      </c>
      <c r="I117" s="442" t="s">
        <v>505</v>
      </c>
      <c r="J117" s="442">
        <v>3215</v>
      </c>
      <c r="K117" s="442">
        <v>2422</v>
      </c>
      <c r="L117" s="442">
        <v>0</v>
      </c>
      <c r="M117" s="442">
        <v>892129</v>
      </c>
      <c r="O117" s="443"/>
    </row>
    <row r="118" spans="1:15" ht="10.5" hidden="1" customHeight="1">
      <c r="A118" s="328" t="s">
        <v>493</v>
      </c>
      <c r="B118" s="442">
        <v>127128</v>
      </c>
      <c r="C118" s="442">
        <v>2472</v>
      </c>
      <c r="D118" s="442">
        <v>126999</v>
      </c>
      <c r="E118" s="442">
        <v>90093</v>
      </c>
      <c r="F118" s="442">
        <v>738</v>
      </c>
      <c r="G118" s="442">
        <v>0</v>
      </c>
      <c r="H118" s="442">
        <v>347429</v>
      </c>
      <c r="I118" s="442" t="s">
        <v>505</v>
      </c>
      <c r="J118" s="442">
        <v>3215</v>
      </c>
      <c r="K118" s="442">
        <v>2422</v>
      </c>
      <c r="L118" s="442">
        <v>0</v>
      </c>
      <c r="M118" s="442">
        <v>353066</v>
      </c>
      <c r="O118" s="443"/>
    </row>
    <row r="119" spans="1:15" ht="10.5" hidden="1" customHeight="1">
      <c r="A119" s="328" t="s">
        <v>494</v>
      </c>
      <c r="B119" s="442">
        <v>5830</v>
      </c>
      <c r="C119" s="442">
        <v>281</v>
      </c>
      <c r="D119" s="442">
        <v>2709</v>
      </c>
      <c r="E119" s="442">
        <v>7108</v>
      </c>
      <c r="F119" s="442">
        <v>46</v>
      </c>
      <c r="G119" s="442">
        <v>0</v>
      </c>
      <c r="H119" s="442">
        <v>15973</v>
      </c>
      <c r="I119" s="442" t="s">
        <v>505</v>
      </c>
      <c r="J119" s="442">
        <v>11</v>
      </c>
      <c r="K119" s="442">
        <v>82</v>
      </c>
      <c r="L119" s="442">
        <v>0</v>
      </c>
      <c r="M119" s="442">
        <v>16066</v>
      </c>
      <c r="O119" s="443"/>
    </row>
    <row r="120" spans="1:15" ht="10.5" hidden="1" customHeight="1">
      <c r="A120" s="328" t="s">
        <v>495</v>
      </c>
      <c r="B120" s="442">
        <v>121298</v>
      </c>
      <c r="C120" s="442">
        <v>2192</v>
      </c>
      <c r="D120" s="442">
        <v>124289</v>
      </c>
      <c r="E120" s="442">
        <v>82985</v>
      </c>
      <c r="F120" s="442">
        <v>692</v>
      </c>
      <c r="G120" s="442">
        <v>0</v>
      </c>
      <c r="H120" s="442">
        <v>331456</v>
      </c>
      <c r="I120" s="442" t="s">
        <v>505</v>
      </c>
      <c r="J120" s="442">
        <v>3203</v>
      </c>
      <c r="K120" s="442">
        <v>2340</v>
      </c>
      <c r="L120" s="442">
        <v>0</v>
      </c>
      <c r="M120" s="442">
        <v>336999</v>
      </c>
      <c r="O120" s="443"/>
    </row>
    <row r="121" spans="1:15" ht="10.5" hidden="1" customHeight="1">
      <c r="A121" s="328" t="s">
        <v>496</v>
      </c>
      <c r="B121" s="444"/>
      <c r="C121" s="444"/>
      <c r="D121" s="444"/>
      <c r="E121" s="444"/>
      <c r="F121" s="444"/>
      <c r="G121" s="444"/>
      <c r="H121" s="444"/>
      <c r="I121" s="444"/>
      <c r="J121" s="444"/>
      <c r="K121" s="444"/>
      <c r="L121" s="444"/>
      <c r="M121" s="442">
        <v>3210</v>
      </c>
      <c r="O121" s="443"/>
    </row>
    <row r="122" spans="1:15" ht="10.5" hidden="1" customHeight="1">
      <c r="A122" s="423" t="s">
        <v>497</v>
      </c>
      <c r="B122" s="445"/>
      <c r="C122" s="445"/>
      <c r="D122" s="445"/>
      <c r="E122" s="445"/>
      <c r="F122" s="445"/>
      <c r="G122" s="445"/>
      <c r="H122" s="445"/>
      <c r="I122" s="445"/>
      <c r="J122" s="445"/>
      <c r="K122" s="445"/>
      <c r="L122" s="445"/>
      <c r="M122" s="445">
        <v>333789</v>
      </c>
      <c r="O122" s="443"/>
    </row>
    <row r="123" spans="1:15" ht="10.5" hidden="1" customHeight="1">
      <c r="A123" s="323" t="s">
        <v>498</v>
      </c>
      <c r="B123" s="442"/>
      <c r="C123" s="442"/>
      <c r="D123" s="442"/>
      <c r="E123" s="442"/>
      <c r="F123" s="442"/>
      <c r="G123" s="442"/>
      <c r="H123" s="442"/>
      <c r="I123" s="442"/>
      <c r="J123" s="442"/>
      <c r="K123" s="442"/>
      <c r="L123" s="442"/>
      <c r="M123" s="442"/>
      <c r="O123" s="443"/>
    </row>
    <row r="124" spans="1:15" ht="10.5" hidden="1" customHeight="1">
      <c r="A124" s="328" t="s">
        <v>492</v>
      </c>
      <c r="B124" s="442">
        <v>11987</v>
      </c>
      <c r="C124" s="442">
        <v>7035</v>
      </c>
      <c r="D124" s="442">
        <v>35757</v>
      </c>
      <c r="E124" s="442">
        <v>0</v>
      </c>
      <c r="F124" s="442">
        <v>18849</v>
      </c>
      <c r="G124" s="442">
        <v>12053</v>
      </c>
      <c r="H124" s="442">
        <v>85682</v>
      </c>
      <c r="I124" s="442" t="s">
        <v>505</v>
      </c>
      <c r="J124" s="442">
        <v>840</v>
      </c>
      <c r="K124" s="442">
        <v>0</v>
      </c>
      <c r="L124" s="442">
        <v>967</v>
      </c>
      <c r="M124" s="442">
        <v>87489</v>
      </c>
      <c r="O124" s="443"/>
    </row>
    <row r="125" spans="1:15" ht="10.5" hidden="1" customHeight="1">
      <c r="A125" s="328" t="s">
        <v>499</v>
      </c>
      <c r="B125" s="442">
        <v>4333</v>
      </c>
      <c r="C125" s="442">
        <v>2781</v>
      </c>
      <c r="D125" s="442">
        <v>14906</v>
      </c>
      <c r="E125" s="442">
        <v>0</v>
      </c>
      <c r="F125" s="442">
        <v>4316</v>
      </c>
      <c r="G125" s="442">
        <v>3577</v>
      </c>
      <c r="H125" s="442">
        <v>29913</v>
      </c>
      <c r="I125" s="442" t="s">
        <v>505</v>
      </c>
      <c r="J125" s="442">
        <v>840</v>
      </c>
      <c r="K125" s="442">
        <v>0</v>
      </c>
      <c r="L125" s="442">
        <v>967</v>
      </c>
      <c r="M125" s="442">
        <v>31721</v>
      </c>
      <c r="O125" s="443"/>
    </row>
    <row r="126" spans="1:15" ht="10.5" hidden="1" customHeight="1">
      <c r="A126" s="328" t="s">
        <v>494</v>
      </c>
      <c r="B126" s="442">
        <v>230</v>
      </c>
      <c r="C126" s="442">
        <v>196</v>
      </c>
      <c r="D126" s="442">
        <v>480</v>
      </c>
      <c r="E126" s="442">
        <v>0</v>
      </c>
      <c r="F126" s="442">
        <v>246</v>
      </c>
      <c r="G126" s="442">
        <v>165</v>
      </c>
      <c r="H126" s="442">
        <v>1316</v>
      </c>
      <c r="I126" s="442" t="s">
        <v>505</v>
      </c>
      <c r="J126" s="442">
        <v>12</v>
      </c>
      <c r="K126" s="442">
        <v>0</v>
      </c>
      <c r="L126" s="442">
        <v>0</v>
      </c>
      <c r="M126" s="442">
        <v>1328</v>
      </c>
      <c r="O126" s="443"/>
    </row>
    <row r="127" spans="1:15" ht="10.5" hidden="1" customHeight="1">
      <c r="A127" s="423" t="s">
        <v>500</v>
      </c>
      <c r="B127" s="445">
        <v>4104</v>
      </c>
      <c r="C127" s="445">
        <v>2585</v>
      </c>
      <c r="D127" s="445">
        <v>14426</v>
      </c>
      <c r="E127" s="445">
        <v>0</v>
      </c>
      <c r="F127" s="445">
        <v>4070</v>
      </c>
      <c r="G127" s="445">
        <v>3412</v>
      </c>
      <c r="H127" s="445">
        <v>28597</v>
      </c>
      <c r="I127" s="445" t="s">
        <v>505</v>
      </c>
      <c r="J127" s="445">
        <v>829</v>
      </c>
      <c r="K127" s="445">
        <v>0</v>
      </c>
      <c r="L127" s="445">
        <v>967</v>
      </c>
      <c r="M127" s="445">
        <v>30393</v>
      </c>
      <c r="O127" s="443"/>
    </row>
    <row r="128" spans="1:15" ht="10.5" hidden="1" customHeight="1">
      <c r="A128" s="323" t="s">
        <v>501</v>
      </c>
      <c r="B128" s="442"/>
      <c r="C128" s="442"/>
      <c r="D128" s="442"/>
      <c r="E128" s="442"/>
      <c r="F128" s="442"/>
      <c r="G128" s="442"/>
      <c r="H128" s="442"/>
      <c r="I128" s="442"/>
      <c r="J128" s="442"/>
      <c r="K128" s="442"/>
      <c r="L128" s="442"/>
      <c r="M128" s="442"/>
      <c r="O128" s="443"/>
    </row>
    <row r="129" spans="1:15" ht="10.5" hidden="1" customHeight="1">
      <c r="A129" s="328" t="s">
        <v>502</v>
      </c>
      <c r="B129" s="442">
        <v>367569</v>
      </c>
      <c r="C129" s="442">
        <v>16545</v>
      </c>
      <c r="D129" s="442">
        <v>312518</v>
      </c>
      <c r="E129" s="442">
        <v>241537</v>
      </c>
      <c r="F129" s="442">
        <v>21951</v>
      </c>
      <c r="G129" s="442">
        <v>12053</v>
      </c>
      <c r="H129" s="442">
        <v>972174</v>
      </c>
      <c r="I129" s="442" t="s">
        <v>505</v>
      </c>
      <c r="J129" s="442">
        <v>4055</v>
      </c>
      <c r="K129" s="442">
        <v>2422</v>
      </c>
      <c r="L129" s="442">
        <v>967</v>
      </c>
      <c r="M129" s="442">
        <v>979618</v>
      </c>
      <c r="O129" s="443"/>
    </row>
    <row r="130" spans="1:15" ht="10.5" hidden="1" customHeight="1">
      <c r="A130" s="328" t="s">
        <v>499</v>
      </c>
      <c r="B130" s="442">
        <v>131461</v>
      </c>
      <c r="C130" s="442">
        <v>5253</v>
      </c>
      <c r="D130" s="442">
        <v>141905</v>
      </c>
      <c r="E130" s="442">
        <v>90093</v>
      </c>
      <c r="F130" s="442">
        <v>5054</v>
      </c>
      <c r="G130" s="442">
        <v>3577</v>
      </c>
      <c r="H130" s="442">
        <v>377342</v>
      </c>
      <c r="I130" s="442" t="s">
        <v>505</v>
      </c>
      <c r="J130" s="442">
        <v>4055</v>
      </c>
      <c r="K130" s="442">
        <v>2422</v>
      </c>
      <c r="L130" s="442">
        <v>967</v>
      </c>
      <c r="M130" s="442">
        <v>384786</v>
      </c>
      <c r="O130" s="443"/>
    </row>
    <row r="131" spans="1:15" ht="10.5" hidden="1" customHeight="1">
      <c r="A131" s="328" t="s">
        <v>494</v>
      </c>
      <c r="B131" s="442">
        <v>6059</v>
      </c>
      <c r="C131" s="442">
        <v>476</v>
      </c>
      <c r="D131" s="442">
        <v>3189</v>
      </c>
      <c r="E131" s="442">
        <v>7108</v>
      </c>
      <c r="F131" s="442">
        <v>292</v>
      </c>
      <c r="G131" s="442">
        <v>165</v>
      </c>
      <c r="H131" s="442">
        <v>17289</v>
      </c>
      <c r="I131" s="442" t="s">
        <v>505</v>
      </c>
      <c r="J131" s="442">
        <v>23</v>
      </c>
      <c r="K131" s="442">
        <v>82</v>
      </c>
      <c r="L131" s="442">
        <v>0</v>
      </c>
      <c r="M131" s="442">
        <v>17394</v>
      </c>
      <c r="O131" s="443"/>
    </row>
    <row r="132" spans="1:15" s="310" customFormat="1" ht="10.5" hidden="1" customHeight="1">
      <c r="A132" s="328" t="s">
        <v>495</v>
      </c>
      <c r="B132" s="442">
        <v>125402</v>
      </c>
      <c r="C132" s="442">
        <v>4777</v>
      </c>
      <c r="D132" s="442">
        <v>138716</v>
      </c>
      <c r="E132" s="442">
        <v>82985</v>
      </c>
      <c r="F132" s="442">
        <v>4762</v>
      </c>
      <c r="G132" s="442">
        <v>3412</v>
      </c>
      <c r="H132" s="442">
        <v>360053</v>
      </c>
      <c r="I132" s="442" t="s">
        <v>505</v>
      </c>
      <c r="J132" s="442">
        <v>4032</v>
      </c>
      <c r="K132" s="442">
        <v>2340</v>
      </c>
      <c r="L132" s="442">
        <v>967</v>
      </c>
      <c r="M132" s="442">
        <v>367392</v>
      </c>
      <c r="O132" s="443"/>
    </row>
    <row r="133" spans="1:15" ht="10.5" hidden="1" customHeight="1">
      <c r="A133" s="328" t="s">
        <v>496</v>
      </c>
      <c r="B133" s="442"/>
      <c r="C133" s="442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>
        <v>3210</v>
      </c>
      <c r="O133" s="443"/>
    </row>
    <row r="134" spans="1:15" s="306" customFormat="1" ht="10.5" hidden="1" customHeight="1" thickBot="1">
      <c r="A134" s="425" t="s">
        <v>497</v>
      </c>
      <c r="B134" s="446"/>
      <c r="C134" s="446"/>
      <c r="D134" s="446"/>
      <c r="E134" s="446"/>
      <c r="F134" s="446"/>
      <c r="G134" s="446"/>
      <c r="H134" s="446"/>
      <c r="I134" s="446"/>
      <c r="J134" s="446"/>
      <c r="K134" s="446"/>
      <c r="L134" s="446"/>
      <c r="M134" s="446">
        <v>364182</v>
      </c>
      <c r="O134" s="443"/>
    </row>
    <row r="135" spans="1:15" s="306" customFormat="1" ht="13.5" hidden="1" customHeight="1">
      <c r="A135" s="439">
        <v>2002</v>
      </c>
      <c r="B135" s="447"/>
      <c r="C135" s="447"/>
      <c r="D135" s="447"/>
      <c r="E135" s="447"/>
      <c r="F135" s="447"/>
      <c r="G135" s="447"/>
      <c r="H135" s="447"/>
      <c r="I135" s="447"/>
      <c r="J135" s="447"/>
      <c r="K135" s="447"/>
      <c r="L135" s="447"/>
      <c r="M135" s="447"/>
    </row>
    <row r="136" spans="1:15" s="306" customFormat="1" ht="10.5" hidden="1" customHeight="1">
      <c r="A136" s="323" t="s">
        <v>507</v>
      </c>
      <c r="B136" s="442"/>
      <c r="C136" s="442"/>
      <c r="D136" s="442"/>
      <c r="E136" s="442"/>
      <c r="F136" s="442"/>
      <c r="G136" s="442"/>
      <c r="H136" s="442"/>
      <c r="I136" s="442"/>
      <c r="J136" s="442"/>
      <c r="K136" s="442"/>
      <c r="L136" s="442"/>
      <c r="M136" s="442"/>
    </row>
    <row r="137" spans="1:15" s="306" customFormat="1" ht="10.5" hidden="1" customHeight="1">
      <c r="A137" s="328" t="s">
        <v>492</v>
      </c>
      <c r="B137" s="442">
        <v>332889</v>
      </c>
      <c r="C137" s="442">
        <v>8011</v>
      </c>
      <c r="D137" s="442">
        <v>291264</v>
      </c>
      <c r="E137" s="442">
        <v>233765</v>
      </c>
      <c r="F137" s="442">
        <v>3186</v>
      </c>
      <c r="G137" s="442">
        <v>0</v>
      </c>
      <c r="H137" s="442">
        <v>869115</v>
      </c>
      <c r="I137" s="442" t="s">
        <v>505</v>
      </c>
      <c r="J137" s="442">
        <v>3927</v>
      </c>
      <c r="K137" s="442">
        <v>2652</v>
      </c>
      <c r="L137" s="442">
        <v>0</v>
      </c>
      <c r="M137" s="442">
        <v>875694</v>
      </c>
    </row>
    <row r="138" spans="1:15" s="306" customFormat="1" ht="10.5" hidden="1" customHeight="1">
      <c r="A138" s="328" t="s">
        <v>493</v>
      </c>
      <c r="B138" s="442">
        <v>120958</v>
      </c>
      <c r="C138" s="442">
        <v>2011</v>
      </c>
      <c r="D138" s="442">
        <v>135741</v>
      </c>
      <c r="E138" s="442">
        <v>87848</v>
      </c>
      <c r="F138" s="442">
        <v>856</v>
      </c>
      <c r="G138" s="442">
        <v>0</v>
      </c>
      <c r="H138" s="442">
        <v>347414</v>
      </c>
      <c r="I138" s="442" t="s">
        <v>505</v>
      </c>
      <c r="J138" s="442">
        <v>3927</v>
      </c>
      <c r="K138" s="442">
        <v>2652</v>
      </c>
      <c r="L138" s="442">
        <v>0</v>
      </c>
      <c r="M138" s="442">
        <v>353994</v>
      </c>
    </row>
    <row r="139" spans="1:15" s="306" customFormat="1" ht="10.5" hidden="1" customHeight="1">
      <c r="A139" s="328" t="s">
        <v>494</v>
      </c>
      <c r="B139" s="442">
        <v>5574</v>
      </c>
      <c r="C139" s="442">
        <v>378</v>
      </c>
      <c r="D139" s="442">
        <v>2877</v>
      </c>
      <c r="E139" s="442">
        <v>6758</v>
      </c>
      <c r="F139" s="442">
        <v>55</v>
      </c>
      <c r="G139" s="442">
        <v>0</v>
      </c>
      <c r="H139" s="442">
        <v>15643</v>
      </c>
      <c r="I139" s="442" t="s">
        <v>505</v>
      </c>
      <c r="J139" s="442">
        <v>14</v>
      </c>
      <c r="K139" s="442">
        <v>90</v>
      </c>
      <c r="L139" s="442">
        <v>0</v>
      </c>
      <c r="M139" s="442">
        <v>15746</v>
      </c>
    </row>
    <row r="140" spans="1:15" s="306" customFormat="1" ht="10.5" hidden="1" customHeight="1">
      <c r="A140" s="328" t="s">
        <v>495</v>
      </c>
      <c r="B140" s="442">
        <v>115383</v>
      </c>
      <c r="C140" s="442">
        <v>1633</v>
      </c>
      <c r="D140" s="442">
        <v>132864</v>
      </c>
      <c r="E140" s="442">
        <v>81090</v>
      </c>
      <c r="F140" s="442">
        <v>802</v>
      </c>
      <c r="G140" s="442">
        <v>0</v>
      </c>
      <c r="H140" s="442">
        <v>331772</v>
      </c>
      <c r="I140" s="442" t="s">
        <v>505</v>
      </c>
      <c r="J140" s="442">
        <v>3914</v>
      </c>
      <c r="K140" s="442">
        <v>2562</v>
      </c>
      <c r="L140" s="442">
        <v>0</v>
      </c>
      <c r="M140" s="442">
        <v>338248</v>
      </c>
    </row>
    <row r="141" spans="1:15" s="306" customFormat="1" ht="10.5" hidden="1" customHeight="1">
      <c r="A141" s="328" t="s">
        <v>496</v>
      </c>
      <c r="B141" s="442"/>
      <c r="C141" s="442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>
        <v>3463</v>
      </c>
    </row>
    <row r="142" spans="1:15" s="306" customFormat="1" ht="10.5" hidden="1" customHeight="1">
      <c r="A142" s="423" t="s">
        <v>497</v>
      </c>
      <c r="B142" s="445"/>
      <c r="C142" s="445"/>
      <c r="D142" s="445"/>
      <c r="E142" s="445"/>
      <c r="F142" s="445"/>
      <c r="G142" s="445"/>
      <c r="H142" s="445"/>
      <c r="I142" s="445"/>
      <c r="J142" s="445"/>
      <c r="K142" s="445"/>
      <c r="L142" s="445"/>
      <c r="M142" s="445">
        <v>334785</v>
      </c>
    </row>
    <row r="143" spans="1:15" s="306" customFormat="1" ht="10.5" hidden="1" customHeight="1">
      <c r="A143" s="323" t="s">
        <v>498</v>
      </c>
      <c r="B143" s="442"/>
      <c r="C143" s="442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</row>
    <row r="144" spans="1:15" s="306" customFormat="1" ht="10.5" hidden="1" customHeight="1">
      <c r="A144" s="328" t="s">
        <v>492</v>
      </c>
      <c r="B144" s="442">
        <v>11663</v>
      </c>
      <c r="C144" s="442">
        <v>6966</v>
      </c>
      <c r="D144" s="442">
        <v>38177</v>
      </c>
      <c r="E144" s="442">
        <v>0</v>
      </c>
      <c r="F144" s="442">
        <v>20922</v>
      </c>
      <c r="G144" s="442">
        <v>12343</v>
      </c>
      <c r="H144" s="442">
        <v>90071</v>
      </c>
      <c r="I144" s="442" t="s">
        <v>505</v>
      </c>
      <c r="J144" s="442">
        <v>860</v>
      </c>
      <c r="K144" s="442">
        <v>0</v>
      </c>
      <c r="L144" s="442">
        <v>1259</v>
      </c>
      <c r="M144" s="442">
        <v>92190</v>
      </c>
    </row>
    <row r="145" spans="1:14" s="306" customFormat="1" ht="10.5" hidden="1" customHeight="1">
      <c r="A145" s="328" t="s">
        <v>499</v>
      </c>
      <c r="B145" s="442">
        <v>3321</v>
      </c>
      <c r="C145" s="442">
        <v>2788</v>
      </c>
      <c r="D145" s="442">
        <v>16536</v>
      </c>
      <c r="E145" s="442">
        <v>0</v>
      </c>
      <c r="F145" s="442">
        <v>4769</v>
      </c>
      <c r="G145" s="442">
        <v>3719</v>
      </c>
      <c r="H145" s="442">
        <v>31133</v>
      </c>
      <c r="I145" s="442" t="s">
        <v>505</v>
      </c>
      <c r="J145" s="442">
        <v>860</v>
      </c>
      <c r="K145" s="442">
        <v>0</v>
      </c>
      <c r="L145" s="442">
        <v>1259</v>
      </c>
      <c r="M145" s="442">
        <v>33252</v>
      </c>
    </row>
    <row r="146" spans="1:14" s="306" customFormat="1" ht="10.5" hidden="1" customHeight="1">
      <c r="A146" s="328" t="s">
        <v>494</v>
      </c>
      <c r="B146" s="444">
        <v>230</v>
      </c>
      <c r="C146" s="444">
        <v>204</v>
      </c>
      <c r="D146" s="444">
        <v>530</v>
      </c>
      <c r="E146" s="442">
        <v>0</v>
      </c>
      <c r="F146" s="444">
        <v>264</v>
      </c>
      <c r="G146" s="444">
        <v>141</v>
      </c>
      <c r="H146" s="444">
        <v>1369</v>
      </c>
      <c r="I146" s="444" t="s">
        <v>505</v>
      </c>
      <c r="J146" s="444">
        <v>11</v>
      </c>
      <c r="K146" s="442">
        <v>0</v>
      </c>
      <c r="L146" s="442">
        <v>0</v>
      </c>
      <c r="M146" s="444">
        <v>1380</v>
      </c>
    </row>
    <row r="147" spans="1:14" s="306" customFormat="1" ht="10.5" hidden="1" customHeight="1">
      <c r="A147" s="423" t="s">
        <v>500</v>
      </c>
      <c r="B147" s="445">
        <v>3092</v>
      </c>
      <c r="C147" s="445">
        <v>2584</v>
      </c>
      <c r="D147" s="445">
        <v>16006</v>
      </c>
      <c r="E147" s="445">
        <v>0</v>
      </c>
      <c r="F147" s="445">
        <v>4505</v>
      </c>
      <c r="G147" s="445">
        <v>3578</v>
      </c>
      <c r="H147" s="445">
        <v>29765</v>
      </c>
      <c r="I147" s="445" t="s">
        <v>505</v>
      </c>
      <c r="J147" s="445">
        <v>849</v>
      </c>
      <c r="K147" s="445">
        <v>0</v>
      </c>
      <c r="L147" s="445">
        <v>1259</v>
      </c>
      <c r="M147" s="445">
        <v>31873</v>
      </c>
    </row>
    <row r="148" spans="1:14" s="306" customFormat="1" ht="10.5" hidden="1" customHeight="1">
      <c r="A148" s="323" t="s">
        <v>501</v>
      </c>
      <c r="B148" s="442"/>
      <c r="C148" s="442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</row>
    <row r="149" spans="1:14" s="306" customFormat="1" ht="10.5" hidden="1" customHeight="1">
      <c r="A149" s="328" t="s">
        <v>502</v>
      </c>
      <c r="B149" s="442">
        <v>344552</v>
      </c>
      <c r="C149" s="442">
        <v>14977</v>
      </c>
      <c r="D149" s="442">
        <v>329442</v>
      </c>
      <c r="E149" s="442">
        <v>233765</v>
      </c>
      <c r="F149" s="442">
        <v>24107</v>
      </c>
      <c r="G149" s="442">
        <v>12343</v>
      </c>
      <c r="H149" s="442">
        <v>959186</v>
      </c>
      <c r="I149" s="442" t="s">
        <v>505</v>
      </c>
      <c r="J149" s="442">
        <v>4788</v>
      </c>
      <c r="K149" s="442">
        <v>2652</v>
      </c>
      <c r="L149" s="442">
        <v>1259</v>
      </c>
      <c r="M149" s="442">
        <v>967884</v>
      </c>
    </row>
    <row r="150" spans="1:14" s="306" customFormat="1" ht="10.5" hidden="1" customHeight="1">
      <c r="A150" s="328" t="s">
        <v>499</v>
      </c>
      <c r="B150" s="442">
        <v>124279</v>
      </c>
      <c r="C150" s="442">
        <v>4799</v>
      </c>
      <c r="D150" s="442">
        <v>152277</v>
      </c>
      <c r="E150" s="442">
        <v>87848</v>
      </c>
      <c r="F150" s="442">
        <v>5625</v>
      </c>
      <c r="G150" s="442">
        <v>3719</v>
      </c>
      <c r="H150" s="442">
        <v>378548</v>
      </c>
      <c r="I150" s="442" t="s">
        <v>505</v>
      </c>
      <c r="J150" s="442">
        <v>4788</v>
      </c>
      <c r="K150" s="442">
        <v>2652</v>
      </c>
      <c r="L150" s="442">
        <v>1259</v>
      </c>
      <c r="M150" s="442">
        <v>387246</v>
      </c>
    </row>
    <row r="151" spans="1:14" s="306" customFormat="1" ht="10.5" hidden="1" customHeight="1">
      <c r="A151" s="328" t="s">
        <v>494</v>
      </c>
      <c r="B151" s="442">
        <v>5804</v>
      </c>
      <c r="C151" s="442">
        <v>582</v>
      </c>
      <c r="D151" s="442">
        <v>3407</v>
      </c>
      <c r="E151" s="442">
        <v>6758</v>
      </c>
      <c r="F151" s="442">
        <v>318</v>
      </c>
      <c r="G151" s="442">
        <v>141</v>
      </c>
      <c r="H151" s="442">
        <v>17011</v>
      </c>
      <c r="I151" s="442" t="s">
        <v>505</v>
      </c>
      <c r="J151" s="442">
        <v>25</v>
      </c>
      <c r="K151" s="442">
        <v>90</v>
      </c>
      <c r="L151" s="442">
        <v>0</v>
      </c>
      <c r="M151" s="442">
        <v>17126</v>
      </c>
    </row>
    <row r="152" spans="1:14" s="306" customFormat="1" ht="10.5" hidden="1" customHeight="1">
      <c r="A152" s="328" t="s">
        <v>495</v>
      </c>
      <c r="B152" s="442">
        <v>118475</v>
      </c>
      <c r="C152" s="442">
        <v>4217</v>
      </c>
      <c r="D152" s="442">
        <v>148870</v>
      </c>
      <c r="E152" s="442">
        <v>81090</v>
      </c>
      <c r="F152" s="442">
        <v>5307</v>
      </c>
      <c r="G152" s="442">
        <v>3578</v>
      </c>
      <c r="H152" s="442">
        <v>361537</v>
      </c>
      <c r="I152" s="442" t="s">
        <v>505</v>
      </c>
      <c r="J152" s="442">
        <v>4763</v>
      </c>
      <c r="K152" s="442">
        <v>2562</v>
      </c>
      <c r="L152" s="442">
        <v>1259</v>
      </c>
      <c r="M152" s="442">
        <v>370120</v>
      </c>
    </row>
    <row r="153" spans="1:14" s="306" customFormat="1" ht="10.5" hidden="1" customHeight="1">
      <c r="A153" s="328" t="s">
        <v>496</v>
      </c>
      <c r="B153" s="442"/>
      <c r="C153" s="442"/>
      <c r="D153" s="442"/>
      <c r="E153" s="442"/>
      <c r="F153" s="442"/>
      <c r="G153" s="442"/>
      <c r="H153" s="442"/>
      <c r="I153" s="442"/>
      <c r="J153" s="442"/>
      <c r="K153" s="442"/>
      <c r="L153" s="442"/>
      <c r="M153" s="442">
        <v>3463</v>
      </c>
    </row>
    <row r="154" spans="1:14" s="306" customFormat="1" ht="10.5" hidden="1" customHeight="1" thickBot="1">
      <c r="A154" s="425" t="s">
        <v>497</v>
      </c>
      <c r="B154" s="446"/>
      <c r="C154" s="446"/>
      <c r="D154" s="446"/>
      <c r="E154" s="446"/>
      <c r="F154" s="446"/>
      <c r="G154" s="446"/>
      <c r="H154" s="446"/>
      <c r="I154" s="446"/>
      <c r="J154" s="446"/>
      <c r="K154" s="446"/>
      <c r="L154" s="446"/>
      <c r="M154" s="446">
        <v>366657</v>
      </c>
    </row>
    <row r="155" spans="1:14" s="340" customFormat="1" ht="13.5" hidden="1" customHeight="1">
      <c r="A155" s="439">
        <v>2003</v>
      </c>
      <c r="B155" s="447"/>
      <c r="C155" s="447"/>
      <c r="D155" s="447"/>
      <c r="E155" s="447"/>
      <c r="F155" s="447"/>
      <c r="G155" s="447"/>
      <c r="H155" s="447"/>
      <c r="I155" s="447"/>
      <c r="J155" s="447"/>
      <c r="K155" s="447"/>
      <c r="L155" s="447"/>
      <c r="M155" s="447"/>
    </row>
    <row r="156" spans="1:14" ht="10.5" hidden="1" customHeight="1">
      <c r="A156" s="323" t="s">
        <v>507</v>
      </c>
      <c r="B156" s="442"/>
      <c r="C156" s="442"/>
      <c r="D156" s="442"/>
      <c r="E156" s="442"/>
      <c r="F156" s="442"/>
      <c r="G156" s="442"/>
      <c r="H156" s="442"/>
      <c r="I156" s="442"/>
      <c r="J156" s="442"/>
      <c r="K156" s="442"/>
      <c r="L156" s="442"/>
      <c r="M156" s="442"/>
    </row>
    <row r="157" spans="1:14" ht="10.5" hidden="1" customHeight="1">
      <c r="A157" s="328" t="s">
        <v>492</v>
      </c>
      <c r="B157" s="442">
        <v>367162</v>
      </c>
      <c r="C157" s="442">
        <v>7604</v>
      </c>
      <c r="D157" s="442">
        <v>284662</v>
      </c>
      <c r="E157" s="442">
        <v>233080</v>
      </c>
      <c r="F157" s="442">
        <v>4434</v>
      </c>
      <c r="G157" s="442">
        <v>0</v>
      </c>
      <c r="H157" s="442">
        <v>896941</v>
      </c>
      <c r="I157" s="442"/>
      <c r="J157" s="442">
        <v>2568</v>
      </c>
      <c r="K157" s="442">
        <v>2734</v>
      </c>
      <c r="L157" s="442">
        <v>0</v>
      </c>
      <c r="M157" s="442">
        <v>902243</v>
      </c>
    </row>
    <row r="158" spans="1:14" ht="10.5" hidden="1" customHeight="1">
      <c r="A158" s="328" t="s">
        <v>493</v>
      </c>
      <c r="B158" s="442">
        <v>134023</v>
      </c>
      <c r="C158" s="442">
        <v>2197</v>
      </c>
      <c r="D158" s="442">
        <v>131238</v>
      </c>
      <c r="E158" s="442">
        <v>88686</v>
      </c>
      <c r="F158" s="442">
        <v>1154</v>
      </c>
      <c r="G158" s="442">
        <v>0</v>
      </c>
      <c r="H158" s="442">
        <v>357299</v>
      </c>
      <c r="I158" s="442"/>
      <c r="J158" s="442">
        <v>2568</v>
      </c>
      <c r="K158" s="442">
        <v>2734</v>
      </c>
      <c r="L158" s="442">
        <v>0</v>
      </c>
      <c r="M158" s="442">
        <v>362600</v>
      </c>
    </row>
    <row r="159" spans="1:14" ht="10.5" hidden="1" customHeight="1">
      <c r="A159" s="328" t="s">
        <v>494</v>
      </c>
      <c r="B159" s="442">
        <v>6325</v>
      </c>
      <c r="C159" s="442">
        <v>249</v>
      </c>
      <c r="D159" s="442">
        <v>3201</v>
      </c>
      <c r="E159" s="442">
        <v>6775</v>
      </c>
      <c r="F159" s="442">
        <v>95</v>
      </c>
      <c r="G159" s="442">
        <v>0</v>
      </c>
      <c r="H159" s="442">
        <v>16645</v>
      </c>
      <c r="I159" s="442"/>
      <c r="J159" s="442">
        <v>9</v>
      </c>
      <c r="K159" s="442">
        <v>92</v>
      </c>
      <c r="L159" s="442">
        <v>0</v>
      </c>
      <c r="M159" s="442">
        <v>16747</v>
      </c>
    </row>
    <row r="160" spans="1:14" ht="10.5" hidden="1" customHeight="1">
      <c r="A160" s="328" t="s">
        <v>495</v>
      </c>
      <c r="B160" s="442">
        <v>127698</v>
      </c>
      <c r="C160" s="442">
        <v>1948</v>
      </c>
      <c r="D160" s="442">
        <v>128037</v>
      </c>
      <c r="E160" s="442">
        <v>81911</v>
      </c>
      <c r="F160" s="442">
        <v>1059</v>
      </c>
      <c r="G160" s="442">
        <v>0</v>
      </c>
      <c r="H160" s="442">
        <v>340654</v>
      </c>
      <c r="I160" s="442"/>
      <c r="J160" s="442">
        <v>2559</v>
      </c>
      <c r="K160" s="442">
        <v>2641</v>
      </c>
      <c r="L160" s="442">
        <v>0</v>
      </c>
      <c r="M160" s="442">
        <v>345854</v>
      </c>
      <c r="N160" s="448"/>
    </row>
    <row r="161" spans="1:13" ht="10.5" hidden="1" customHeight="1">
      <c r="A161" s="328" t="s">
        <v>496</v>
      </c>
      <c r="B161" s="442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>
        <v>3546</v>
      </c>
    </row>
    <row r="162" spans="1:13" ht="10.5" hidden="1" customHeight="1">
      <c r="A162" s="423" t="s">
        <v>497</v>
      </c>
      <c r="B162" s="445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>
        <v>342308</v>
      </c>
    </row>
    <row r="163" spans="1:13" ht="10.5" hidden="1" customHeight="1">
      <c r="A163" s="323" t="s">
        <v>498</v>
      </c>
      <c r="B163" s="442"/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</row>
    <row r="164" spans="1:13" ht="11.25" hidden="1" customHeight="1">
      <c r="A164" s="328" t="s">
        <v>492</v>
      </c>
      <c r="B164" s="442">
        <v>11301</v>
      </c>
      <c r="C164" s="442">
        <v>6263</v>
      </c>
      <c r="D164" s="442">
        <v>39265</v>
      </c>
      <c r="E164" s="442">
        <v>0</v>
      </c>
      <c r="F164" s="442">
        <v>23574</v>
      </c>
      <c r="G164" s="442">
        <v>17703</v>
      </c>
      <c r="H164" s="442">
        <v>98106</v>
      </c>
      <c r="I164" s="442"/>
      <c r="J164" s="442">
        <v>660</v>
      </c>
      <c r="K164" s="442">
        <v>0</v>
      </c>
      <c r="L164" s="442">
        <v>1288</v>
      </c>
      <c r="M164" s="442">
        <v>100054</v>
      </c>
    </row>
    <row r="165" spans="1:13" ht="10.5" hidden="1" customHeight="1">
      <c r="A165" s="328" t="s">
        <v>499</v>
      </c>
      <c r="B165" s="442">
        <v>4282</v>
      </c>
      <c r="C165" s="442">
        <v>2397</v>
      </c>
      <c r="D165" s="442">
        <v>17643</v>
      </c>
      <c r="E165" s="442">
        <v>0</v>
      </c>
      <c r="F165" s="442">
        <v>5537</v>
      </c>
      <c r="G165" s="442">
        <v>3800</v>
      </c>
      <c r="H165" s="442">
        <v>33660</v>
      </c>
      <c r="I165" s="442"/>
      <c r="J165" s="442">
        <v>660</v>
      </c>
      <c r="K165" s="442">
        <v>0</v>
      </c>
      <c r="L165" s="442">
        <v>1288</v>
      </c>
      <c r="M165" s="442">
        <v>35609</v>
      </c>
    </row>
    <row r="166" spans="1:13" ht="10.5" hidden="1" customHeight="1">
      <c r="A166" s="328" t="s">
        <v>494</v>
      </c>
      <c r="B166" s="444">
        <v>220</v>
      </c>
      <c r="C166" s="444">
        <v>174</v>
      </c>
      <c r="D166" s="444">
        <v>547</v>
      </c>
      <c r="E166" s="442">
        <v>0</v>
      </c>
      <c r="F166" s="444">
        <v>306</v>
      </c>
      <c r="G166" s="444">
        <v>135</v>
      </c>
      <c r="H166" s="444">
        <v>1382</v>
      </c>
      <c r="I166" s="444"/>
      <c r="J166" s="444">
        <v>7</v>
      </c>
      <c r="K166" s="442">
        <v>0</v>
      </c>
      <c r="L166" s="442">
        <v>0</v>
      </c>
      <c r="M166" s="444">
        <v>1389</v>
      </c>
    </row>
    <row r="167" spans="1:13" ht="10.5" hidden="1" customHeight="1">
      <c r="A167" s="423" t="s">
        <v>500</v>
      </c>
      <c r="B167" s="445">
        <v>4062</v>
      </c>
      <c r="C167" s="445">
        <v>2223</v>
      </c>
      <c r="D167" s="445">
        <v>17097</v>
      </c>
      <c r="E167" s="445">
        <v>0</v>
      </c>
      <c r="F167" s="445">
        <v>5231</v>
      </c>
      <c r="G167" s="445">
        <v>3665</v>
      </c>
      <c r="H167" s="445">
        <v>32278</v>
      </c>
      <c r="I167" s="445"/>
      <c r="J167" s="445">
        <v>653</v>
      </c>
      <c r="K167" s="445">
        <v>0</v>
      </c>
      <c r="L167" s="445">
        <v>1288</v>
      </c>
      <c r="M167" s="445">
        <v>34220</v>
      </c>
    </row>
    <row r="168" spans="1:13" ht="10.5" hidden="1" customHeight="1">
      <c r="A168" s="323" t="s">
        <v>501</v>
      </c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</row>
    <row r="169" spans="1:13" ht="10.5" hidden="1" customHeight="1">
      <c r="A169" s="328" t="s">
        <v>502</v>
      </c>
      <c r="B169" s="442">
        <v>378463</v>
      </c>
      <c r="C169" s="442">
        <v>13867</v>
      </c>
      <c r="D169" s="442">
        <v>323926</v>
      </c>
      <c r="E169" s="442">
        <v>233080</v>
      </c>
      <c r="F169" s="442">
        <v>28008</v>
      </c>
      <c r="G169" s="442">
        <v>17703</v>
      </c>
      <c r="H169" s="442">
        <v>995047</v>
      </c>
      <c r="I169" s="442"/>
      <c r="J169" s="442">
        <v>3228</v>
      </c>
      <c r="K169" s="442">
        <v>2734</v>
      </c>
      <c r="L169" s="442">
        <v>1288</v>
      </c>
      <c r="M169" s="442">
        <v>1002297</v>
      </c>
    </row>
    <row r="170" spans="1:13" ht="10.5" hidden="1" customHeight="1">
      <c r="A170" s="328" t="s">
        <v>499</v>
      </c>
      <c r="B170" s="442">
        <v>138305</v>
      </c>
      <c r="C170" s="442">
        <v>4594</v>
      </c>
      <c r="D170" s="442">
        <v>148881</v>
      </c>
      <c r="E170" s="442">
        <v>88686</v>
      </c>
      <c r="F170" s="442">
        <v>6692</v>
      </c>
      <c r="G170" s="442">
        <v>3800</v>
      </c>
      <c r="H170" s="442">
        <v>390959</v>
      </c>
      <c r="I170" s="442"/>
      <c r="J170" s="442">
        <v>3228</v>
      </c>
      <c r="K170" s="442">
        <v>2734</v>
      </c>
      <c r="L170" s="442">
        <v>1288</v>
      </c>
      <c r="M170" s="442">
        <v>398209</v>
      </c>
    </row>
    <row r="171" spans="1:13" ht="10.5" hidden="1" customHeight="1">
      <c r="A171" s="328" t="s">
        <v>494</v>
      </c>
      <c r="B171" s="442">
        <v>6545</v>
      </c>
      <c r="C171" s="442">
        <v>424</v>
      </c>
      <c r="D171" s="442">
        <v>3747</v>
      </c>
      <c r="E171" s="442">
        <v>6775</v>
      </c>
      <c r="F171" s="442">
        <v>401</v>
      </c>
      <c r="G171" s="442">
        <v>135</v>
      </c>
      <c r="H171" s="442">
        <v>18027</v>
      </c>
      <c r="I171" s="442"/>
      <c r="J171" s="442">
        <v>16</v>
      </c>
      <c r="K171" s="442">
        <v>92</v>
      </c>
      <c r="L171" s="442">
        <v>0</v>
      </c>
      <c r="M171" s="442">
        <v>18136</v>
      </c>
    </row>
    <row r="172" spans="1:13" ht="10.5" hidden="1" customHeight="1">
      <c r="A172" s="328" t="s">
        <v>495</v>
      </c>
      <c r="B172" s="442">
        <v>131760</v>
      </c>
      <c r="C172" s="442">
        <v>4171</v>
      </c>
      <c r="D172" s="442">
        <v>145134</v>
      </c>
      <c r="E172" s="442">
        <v>81911</v>
      </c>
      <c r="F172" s="442">
        <v>6290</v>
      </c>
      <c r="G172" s="442">
        <v>3665</v>
      </c>
      <c r="H172" s="442">
        <v>372932</v>
      </c>
      <c r="I172" s="442"/>
      <c r="J172" s="442">
        <v>3212</v>
      </c>
      <c r="K172" s="442">
        <v>2641</v>
      </c>
      <c r="L172" s="442">
        <v>1288</v>
      </c>
      <c r="M172" s="442">
        <v>380074</v>
      </c>
    </row>
    <row r="173" spans="1:13" ht="10.5" hidden="1" customHeight="1">
      <c r="A173" s="328" t="s">
        <v>496</v>
      </c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>
        <v>3546</v>
      </c>
    </row>
    <row r="174" spans="1:13" ht="10.5" hidden="1" customHeight="1" thickBot="1">
      <c r="A174" s="425" t="s">
        <v>497</v>
      </c>
      <c r="B174" s="446"/>
      <c r="C174" s="446"/>
      <c r="D174" s="446"/>
      <c r="E174" s="446"/>
      <c r="F174" s="446"/>
      <c r="G174" s="446"/>
      <c r="H174" s="446"/>
      <c r="I174" s="446"/>
      <c r="J174" s="446"/>
      <c r="K174" s="446"/>
      <c r="L174" s="446"/>
      <c r="M174" s="446">
        <v>376528</v>
      </c>
    </row>
    <row r="175" spans="1:13" s="340" customFormat="1" ht="13.5" customHeight="1">
      <c r="A175" s="439">
        <v>2004</v>
      </c>
      <c r="B175" s="382"/>
      <c r="C175" s="382"/>
      <c r="D175" s="382"/>
      <c r="E175" s="382"/>
      <c r="F175" s="382"/>
      <c r="G175" s="382"/>
      <c r="H175" s="382"/>
      <c r="I175" s="382"/>
      <c r="J175" s="382"/>
      <c r="K175" s="382"/>
      <c r="L175" s="382"/>
      <c r="M175" s="382"/>
    </row>
    <row r="176" spans="1:13" ht="10.5" customHeight="1">
      <c r="A176" s="323" t="s">
        <v>507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</row>
    <row r="177" spans="1:37" ht="10.5" customHeight="1">
      <c r="A177" s="328" t="s">
        <v>492</v>
      </c>
      <c r="B177" s="441">
        <v>353256</v>
      </c>
      <c r="C177" s="441">
        <v>6708.5930325738436</v>
      </c>
      <c r="D177" s="441">
        <v>304495</v>
      </c>
      <c r="E177" s="441">
        <v>211247.8205367073</v>
      </c>
      <c r="F177" s="441">
        <v>6281.8980192600575</v>
      </c>
      <c r="G177" s="441">
        <v>0</v>
      </c>
      <c r="H177" s="441">
        <v>881989.31158854114</v>
      </c>
      <c r="I177" s="441"/>
      <c r="J177" s="441">
        <v>3907.8</v>
      </c>
      <c r="K177" s="441">
        <v>2648.5490306581578</v>
      </c>
      <c r="L177" s="441">
        <v>0</v>
      </c>
      <c r="M177" s="441">
        <v>888545.66061919939</v>
      </c>
      <c r="Z177" s="443"/>
      <c r="AA177" s="443"/>
      <c r="AB177" s="443"/>
      <c r="AC177" s="443"/>
      <c r="AD177" s="443"/>
      <c r="AE177" s="443"/>
      <c r="AF177" s="443"/>
      <c r="AG177" s="443"/>
      <c r="AH177" s="443"/>
      <c r="AI177" s="443"/>
      <c r="AJ177" s="443"/>
      <c r="AK177" s="443"/>
    </row>
    <row r="178" spans="1:37" ht="10.5" customHeight="1">
      <c r="A178" s="328" t="s">
        <v>493</v>
      </c>
      <c r="B178" s="441">
        <v>127826.56739997381</v>
      </c>
      <c r="C178" s="441">
        <v>1882.7795449292664</v>
      </c>
      <c r="D178" s="441">
        <v>140576.96700778682</v>
      </c>
      <c r="E178" s="441">
        <v>79999.105642214723</v>
      </c>
      <c r="F178" s="441">
        <v>1471.4293287500002</v>
      </c>
      <c r="G178" s="441">
        <v>0</v>
      </c>
      <c r="H178" s="441">
        <v>351756.84892365459</v>
      </c>
      <c r="I178" s="441"/>
      <c r="J178" s="441">
        <v>3907.8</v>
      </c>
      <c r="K178" s="441">
        <v>2648.5490306581578</v>
      </c>
      <c r="L178" s="441">
        <v>0</v>
      </c>
      <c r="M178" s="441">
        <v>358313.19795431272</v>
      </c>
      <c r="Z178" s="443"/>
      <c r="AA178" s="443"/>
      <c r="AB178" s="443"/>
      <c r="AC178" s="443"/>
      <c r="AD178" s="443"/>
      <c r="AE178" s="443"/>
      <c r="AF178" s="443"/>
      <c r="AG178" s="443"/>
      <c r="AH178" s="443"/>
      <c r="AI178" s="443"/>
      <c r="AJ178" s="443"/>
      <c r="AK178" s="443"/>
    </row>
    <row r="179" spans="1:37" ht="10.5" customHeight="1">
      <c r="A179" s="328" t="s">
        <v>494</v>
      </c>
      <c r="B179" s="441">
        <v>5889.917558219051</v>
      </c>
      <c r="C179" s="441">
        <v>354.44067876695226</v>
      </c>
      <c r="D179" s="441">
        <v>2819.4038414183888</v>
      </c>
      <c r="E179" s="441">
        <v>6317.4639580041985</v>
      </c>
      <c r="F179" s="441">
        <v>104.40797125664585</v>
      </c>
      <c r="G179" s="441">
        <v>0</v>
      </c>
      <c r="H179" s="441">
        <v>15485.634007665236</v>
      </c>
      <c r="I179" s="441"/>
      <c r="J179" s="441">
        <v>6.3174112814294858</v>
      </c>
      <c r="K179" s="441">
        <v>89.564459973947578</v>
      </c>
      <c r="L179" s="441">
        <v>0</v>
      </c>
      <c r="M179" s="441">
        <v>15581.515878920613</v>
      </c>
      <c r="Z179" s="443"/>
      <c r="AA179" s="443"/>
      <c r="AB179" s="443"/>
      <c r="AC179" s="443"/>
      <c r="AD179" s="443"/>
      <c r="AE179" s="443"/>
      <c r="AF179" s="443"/>
      <c r="AG179" s="443"/>
      <c r="AH179" s="443"/>
      <c r="AI179" s="443"/>
      <c r="AJ179" s="443"/>
      <c r="AK179" s="443"/>
    </row>
    <row r="180" spans="1:37" ht="10.5" customHeight="1">
      <c r="A180" s="328" t="s">
        <v>495</v>
      </c>
      <c r="B180" s="441">
        <v>121936.64984175476</v>
      </c>
      <c r="C180" s="441">
        <v>1528.3388661623142</v>
      </c>
      <c r="D180" s="441">
        <v>137757.56316636843</v>
      </c>
      <c r="E180" s="441">
        <v>73681.641684210525</v>
      </c>
      <c r="F180" s="441">
        <v>1367.0213574933543</v>
      </c>
      <c r="G180" s="441">
        <v>0</v>
      </c>
      <c r="H180" s="441">
        <v>336271.21491598937</v>
      </c>
      <c r="I180" s="441"/>
      <c r="J180" s="441">
        <v>3901.4825887185702</v>
      </c>
      <c r="K180" s="441">
        <v>2558.9845706842102</v>
      </c>
      <c r="L180" s="441">
        <v>0</v>
      </c>
      <c r="M180" s="441">
        <v>342731.68207539216</v>
      </c>
      <c r="Z180" s="443"/>
      <c r="AA180" s="443"/>
      <c r="AB180" s="443"/>
      <c r="AC180" s="443"/>
      <c r="AD180" s="443"/>
      <c r="AE180" s="443"/>
      <c r="AF180" s="443"/>
      <c r="AG180" s="443"/>
      <c r="AH180" s="443"/>
      <c r="AI180" s="443"/>
      <c r="AJ180" s="443"/>
      <c r="AK180" s="443"/>
    </row>
    <row r="181" spans="1:37" ht="10.5" customHeight="1">
      <c r="A181" s="328" t="s">
        <v>496</v>
      </c>
      <c r="B181" s="441"/>
      <c r="C181" s="441"/>
      <c r="D181" s="441"/>
      <c r="E181" s="441"/>
      <c r="F181" s="441"/>
      <c r="G181" s="441"/>
      <c r="H181" s="441"/>
      <c r="I181" s="441"/>
      <c r="J181" s="441"/>
      <c r="K181" s="441"/>
      <c r="L181" s="441"/>
      <c r="M181" s="441">
        <v>3497.1021796315795</v>
      </c>
      <c r="Z181" s="443"/>
      <c r="AA181" s="443"/>
      <c r="AB181" s="443"/>
      <c r="AC181" s="443"/>
      <c r="AD181" s="443"/>
      <c r="AE181" s="443"/>
      <c r="AF181" s="443"/>
      <c r="AG181" s="443"/>
      <c r="AH181" s="443"/>
      <c r="AI181" s="443"/>
      <c r="AJ181" s="443"/>
      <c r="AK181" s="443"/>
    </row>
    <row r="182" spans="1:37" ht="10.5" customHeight="1">
      <c r="A182" s="423" t="s">
        <v>497</v>
      </c>
      <c r="B182" s="449"/>
      <c r="C182" s="449"/>
      <c r="D182" s="449"/>
      <c r="E182" s="449"/>
      <c r="F182" s="449"/>
      <c r="G182" s="449"/>
      <c r="H182" s="449"/>
      <c r="I182" s="449"/>
      <c r="J182" s="449"/>
      <c r="K182" s="449"/>
      <c r="L182" s="449"/>
      <c r="M182" s="449">
        <v>339234.57989576057</v>
      </c>
      <c r="Z182" s="443"/>
      <c r="AA182" s="443"/>
      <c r="AB182" s="443"/>
      <c r="AC182" s="443"/>
      <c r="AD182" s="443"/>
      <c r="AE182" s="443"/>
      <c r="AF182" s="443"/>
      <c r="AG182" s="443"/>
      <c r="AH182" s="443"/>
      <c r="AI182" s="443"/>
      <c r="AJ182" s="443"/>
      <c r="AK182" s="443"/>
    </row>
    <row r="183" spans="1:37" ht="10.5" customHeight="1">
      <c r="A183" s="323" t="s">
        <v>498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Z183" s="443"/>
      <c r="AA183" s="443"/>
      <c r="AB183" s="443"/>
      <c r="AC183" s="443"/>
      <c r="AD183" s="443"/>
      <c r="AE183" s="443"/>
      <c r="AF183" s="443"/>
      <c r="AG183" s="443"/>
      <c r="AH183" s="443"/>
      <c r="AI183" s="443"/>
      <c r="AJ183" s="443"/>
      <c r="AK183" s="443"/>
    </row>
    <row r="184" spans="1:37" ht="11.5" customHeight="1">
      <c r="A184" s="328" t="s">
        <v>492</v>
      </c>
      <c r="B184" s="441">
        <v>10901.524560357038</v>
      </c>
      <c r="C184" s="441">
        <v>6083.1605883472694</v>
      </c>
      <c r="D184" s="441">
        <v>35732.662999999993</v>
      </c>
      <c r="E184" s="441">
        <v>0</v>
      </c>
      <c r="F184" s="441">
        <v>25902.031843635745</v>
      </c>
      <c r="G184" s="441">
        <v>16131.974332247872</v>
      </c>
      <c r="H184" s="441">
        <v>94751.354324587912</v>
      </c>
      <c r="I184" s="441"/>
      <c r="J184" s="441">
        <v>936.19899999999996</v>
      </c>
      <c r="K184" s="441">
        <v>0</v>
      </c>
      <c r="L184" s="441">
        <v>1939.1148680000001</v>
      </c>
      <c r="M184" s="441">
        <v>97626.668192587909</v>
      </c>
      <c r="Z184" s="443"/>
      <c r="AA184" s="443"/>
      <c r="AB184" s="443"/>
      <c r="AC184" s="443"/>
      <c r="AD184" s="443"/>
      <c r="AE184" s="443"/>
      <c r="AF184" s="443"/>
      <c r="AG184" s="443"/>
      <c r="AH184" s="443"/>
      <c r="AI184" s="443"/>
      <c r="AJ184" s="443"/>
      <c r="AK184" s="443"/>
    </row>
    <row r="185" spans="1:37" ht="10.5" customHeight="1">
      <c r="A185" s="328" t="s">
        <v>499</v>
      </c>
      <c r="B185" s="441">
        <v>3961.076</v>
      </c>
      <c r="C185" s="441">
        <v>2761.3800951661628</v>
      </c>
      <c r="D185" s="441">
        <v>16487.340785891032</v>
      </c>
      <c r="E185" s="441">
        <v>0</v>
      </c>
      <c r="F185" s="441">
        <v>6468.5661319999981</v>
      </c>
      <c r="G185" s="441">
        <v>3061.8609048338367</v>
      </c>
      <c r="H185" s="441">
        <v>32740.223917891028</v>
      </c>
      <c r="I185" s="441"/>
      <c r="J185" s="441">
        <v>936.19900000000007</v>
      </c>
      <c r="K185" s="441">
        <v>0</v>
      </c>
      <c r="L185" s="441">
        <v>1939.1148680000001</v>
      </c>
      <c r="M185" s="441">
        <v>35615.537785891021</v>
      </c>
      <c r="Z185" s="443"/>
      <c r="AA185" s="443"/>
      <c r="AB185" s="443"/>
      <c r="AC185" s="443"/>
      <c r="AD185" s="443"/>
      <c r="AE185" s="443"/>
      <c r="AF185" s="443"/>
      <c r="AG185" s="443"/>
      <c r="AH185" s="443"/>
      <c r="AI185" s="443"/>
      <c r="AJ185" s="443"/>
      <c r="AK185" s="443"/>
    </row>
    <row r="186" spans="1:37" ht="10.5" customHeight="1">
      <c r="A186" s="328" t="s">
        <v>494</v>
      </c>
      <c r="B186" s="450">
        <v>208.38735200000019</v>
      </c>
      <c r="C186" s="450">
        <v>195.93834684229523</v>
      </c>
      <c r="D186" s="450">
        <v>510.8408707626204</v>
      </c>
      <c r="E186" s="441">
        <v>0</v>
      </c>
      <c r="F186" s="450">
        <v>408.0767586855527</v>
      </c>
      <c r="G186" s="450">
        <v>110.955499622356</v>
      </c>
      <c r="H186" s="450">
        <v>1434.19882791282</v>
      </c>
      <c r="I186" s="450"/>
      <c r="J186" s="450">
        <v>16.739999999999998</v>
      </c>
      <c r="K186" s="441">
        <v>0</v>
      </c>
      <c r="L186" s="441">
        <v>0</v>
      </c>
      <c r="M186" s="450">
        <v>1450.93882791282</v>
      </c>
      <c r="Z186" s="443"/>
      <c r="AA186" s="443"/>
      <c r="AB186" s="443"/>
      <c r="AC186" s="443"/>
      <c r="AD186" s="443"/>
      <c r="AE186" s="443"/>
      <c r="AF186" s="443"/>
      <c r="AG186" s="443"/>
      <c r="AH186" s="443"/>
      <c r="AI186" s="443"/>
      <c r="AJ186" s="443"/>
      <c r="AK186" s="443"/>
    </row>
    <row r="187" spans="1:37" ht="10.5" customHeight="1">
      <c r="A187" s="423" t="s">
        <v>500</v>
      </c>
      <c r="B187" s="449">
        <v>3752.6886479999998</v>
      </c>
      <c r="C187" s="449">
        <v>2565.4417483238676</v>
      </c>
      <c r="D187" s="449">
        <v>15976.499915128412</v>
      </c>
      <c r="E187" s="449">
        <v>0</v>
      </c>
      <c r="F187" s="449">
        <v>6060.4893733144454</v>
      </c>
      <c r="G187" s="449">
        <v>2950.9054052114807</v>
      </c>
      <c r="H187" s="449">
        <v>31306.025089978208</v>
      </c>
      <c r="I187" s="449"/>
      <c r="J187" s="449">
        <v>919.45900000000006</v>
      </c>
      <c r="K187" s="449">
        <v>0</v>
      </c>
      <c r="L187" s="449">
        <v>1939.1148680000001</v>
      </c>
      <c r="M187" s="449">
        <v>34164.598957978204</v>
      </c>
      <c r="Z187" s="443"/>
      <c r="AA187" s="443"/>
      <c r="AB187" s="443"/>
      <c r="AC187" s="443"/>
      <c r="AD187" s="443"/>
      <c r="AE187" s="443"/>
      <c r="AF187" s="443"/>
      <c r="AG187" s="443"/>
      <c r="AH187" s="443"/>
      <c r="AI187" s="443"/>
      <c r="AJ187" s="443"/>
      <c r="AK187" s="443"/>
    </row>
    <row r="188" spans="1:37" ht="10.5" customHeight="1">
      <c r="A188" s="323" t="s">
        <v>501</v>
      </c>
      <c r="B188" s="441"/>
      <c r="C188" s="441"/>
      <c r="D188" s="441"/>
      <c r="E188" s="441"/>
      <c r="F188" s="441"/>
      <c r="G188" s="441"/>
      <c r="H188" s="441"/>
      <c r="I188" s="441"/>
      <c r="J188" s="441"/>
      <c r="K188" s="441"/>
      <c r="L188" s="441"/>
      <c r="M188" s="441"/>
      <c r="Z188" s="443"/>
      <c r="AA188" s="443"/>
      <c r="AB188" s="443"/>
      <c r="AC188" s="443"/>
      <c r="AD188" s="443"/>
      <c r="AE188" s="443"/>
      <c r="AF188" s="443"/>
      <c r="AG188" s="443"/>
      <c r="AH188" s="443"/>
      <c r="AI188" s="443"/>
      <c r="AJ188" s="443"/>
      <c r="AK188" s="443"/>
    </row>
    <row r="189" spans="1:37" ht="10.5" customHeight="1">
      <c r="A189" s="328" t="s">
        <v>502</v>
      </c>
      <c r="B189" s="441">
        <v>364157.52456035704</v>
      </c>
      <c r="C189" s="441">
        <v>12791.753620921114</v>
      </c>
      <c r="D189" s="441">
        <v>340227.663</v>
      </c>
      <c r="E189" s="441">
        <v>211247.8205367073</v>
      </c>
      <c r="F189" s="441">
        <v>32183.929862895802</v>
      </c>
      <c r="G189" s="441">
        <v>16131.974332247872</v>
      </c>
      <c r="H189" s="441">
        <v>976740.66591312899</v>
      </c>
      <c r="I189" s="451"/>
      <c r="J189" s="441">
        <v>4843.9989999999998</v>
      </c>
      <c r="K189" s="441">
        <v>2648.5490306581578</v>
      </c>
      <c r="L189" s="441">
        <v>1939.1148680000001</v>
      </c>
      <c r="M189" s="441">
        <v>986172.3288117873</v>
      </c>
      <c r="Z189" s="443"/>
      <c r="AA189" s="443"/>
      <c r="AB189" s="443"/>
      <c r="AC189" s="443"/>
      <c r="AD189" s="443"/>
      <c r="AE189" s="443"/>
      <c r="AF189" s="443"/>
      <c r="AG189" s="443"/>
      <c r="AH189" s="443"/>
      <c r="AI189" s="443"/>
      <c r="AJ189" s="443"/>
      <c r="AK189" s="443"/>
    </row>
    <row r="190" spans="1:37" ht="10.5" customHeight="1">
      <c r="A190" s="328" t="s">
        <v>499</v>
      </c>
      <c r="B190" s="441">
        <v>131787.64339997381</v>
      </c>
      <c r="C190" s="441">
        <v>4644.1596400954295</v>
      </c>
      <c r="D190" s="441">
        <v>157064.30779367784</v>
      </c>
      <c r="E190" s="441">
        <v>79999.105642214723</v>
      </c>
      <c r="F190" s="441">
        <v>7939.9954607499985</v>
      </c>
      <c r="G190" s="441">
        <v>3061.8609048338367</v>
      </c>
      <c r="H190" s="441">
        <v>384497.07284154563</v>
      </c>
      <c r="I190" s="451"/>
      <c r="J190" s="441">
        <v>4843.9989999999998</v>
      </c>
      <c r="K190" s="441">
        <v>2648.5490306581578</v>
      </c>
      <c r="L190" s="441">
        <v>1939.1148680000001</v>
      </c>
      <c r="M190" s="441">
        <v>393928.73574020376</v>
      </c>
      <c r="N190" s="333"/>
      <c r="Z190" s="443"/>
      <c r="AA190" s="443"/>
      <c r="AB190" s="443"/>
      <c r="AC190" s="443"/>
      <c r="AD190" s="443"/>
      <c r="AE190" s="443"/>
      <c r="AF190" s="443"/>
      <c r="AG190" s="443"/>
      <c r="AH190" s="443"/>
      <c r="AI190" s="443"/>
      <c r="AJ190" s="443"/>
      <c r="AK190" s="443"/>
    </row>
    <row r="191" spans="1:37" ht="10.5" customHeight="1">
      <c r="A191" s="328" t="s">
        <v>494</v>
      </c>
      <c r="B191" s="441">
        <v>6098.3049102190507</v>
      </c>
      <c r="C191" s="441">
        <v>550.37902560924749</v>
      </c>
      <c r="D191" s="441">
        <v>3330.2447121810092</v>
      </c>
      <c r="E191" s="441">
        <v>6317.4639580041985</v>
      </c>
      <c r="F191" s="441">
        <v>512.48472994219856</v>
      </c>
      <c r="G191" s="441">
        <v>110.955499622356</v>
      </c>
      <c r="H191" s="441">
        <v>16919.832835578054</v>
      </c>
      <c r="I191" s="441"/>
      <c r="J191" s="441">
        <v>23.057411281429495</v>
      </c>
      <c r="K191" s="441">
        <v>89.564459973947578</v>
      </c>
      <c r="L191" s="441">
        <v>0</v>
      </c>
      <c r="M191" s="441">
        <v>17032.454706833432</v>
      </c>
      <c r="Z191" s="443"/>
      <c r="AA191" s="443"/>
      <c r="AB191" s="443"/>
      <c r="AC191" s="443"/>
      <c r="AD191" s="443"/>
      <c r="AE191" s="443"/>
      <c r="AF191" s="443"/>
      <c r="AG191" s="443"/>
      <c r="AH191" s="443"/>
      <c r="AI191" s="443"/>
      <c r="AJ191" s="443"/>
      <c r="AK191" s="443"/>
    </row>
    <row r="192" spans="1:37" ht="10.5" customHeight="1">
      <c r="A192" s="328" t="s">
        <v>495</v>
      </c>
      <c r="B192" s="441">
        <v>125689.33848975475</v>
      </c>
      <c r="C192" s="441">
        <v>4093.7806144861815</v>
      </c>
      <c r="D192" s="441">
        <v>153734.06308149683</v>
      </c>
      <c r="E192" s="441">
        <v>73681.641684210525</v>
      </c>
      <c r="F192" s="441">
        <v>7427.5107308077995</v>
      </c>
      <c r="G192" s="441">
        <v>2950.9054052114807</v>
      </c>
      <c r="H192" s="441">
        <v>367577.24000596756</v>
      </c>
      <c r="I192" s="441"/>
      <c r="J192" s="441">
        <v>4820.9415887185705</v>
      </c>
      <c r="K192" s="441">
        <v>2558.9845706842102</v>
      </c>
      <c r="L192" s="441">
        <v>1939.1148680000001</v>
      </c>
      <c r="M192" s="441">
        <v>376896.28103337035</v>
      </c>
      <c r="Z192" s="443"/>
      <c r="AA192" s="443"/>
      <c r="AB192" s="443"/>
      <c r="AC192" s="443"/>
      <c r="AD192" s="443"/>
      <c r="AE192" s="443"/>
      <c r="AF192" s="443"/>
      <c r="AG192" s="443"/>
      <c r="AH192" s="443"/>
      <c r="AI192" s="443"/>
      <c r="AJ192" s="443"/>
      <c r="AK192" s="443"/>
    </row>
    <row r="193" spans="1:37" ht="10.5" customHeight="1">
      <c r="A193" s="328" t="s">
        <v>496</v>
      </c>
      <c r="B193" s="441"/>
      <c r="C193" s="441"/>
      <c r="D193" s="441"/>
      <c r="E193" s="441"/>
      <c r="F193" s="441"/>
      <c r="G193" s="441"/>
      <c r="H193" s="441"/>
      <c r="I193" s="441"/>
      <c r="J193" s="441"/>
      <c r="K193" s="441"/>
      <c r="L193" s="441"/>
      <c r="M193" s="441">
        <v>3497.1021796315795</v>
      </c>
      <c r="Z193" s="443"/>
      <c r="AA193" s="443"/>
      <c r="AB193" s="443"/>
      <c r="AC193" s="443"/>
      <c r="AD193" s="443"/>
      <c r="AE193" s="443"/>
      <c r="AF193" s="443"/>
      <c r="AG193" s="443"/>
      <c r="AH193" s="443"/>
      <c r="AI193" s="443"/>
      <c r="AJ193" s="443"/>
      <c r="AK193" s="443"/>
    </row>
    <row r="194" spans="1:37" ht="10.5" customHeight="1" thickBot="1">
      <c r="A194" s="425" t="s">
        <v>497</v>
      </c>
      <c r="B194" s="452"/>
      <c r="C194" s="452"/>
      <c r="D194" s="452"/>
      <c r="E194" s="452"/>
      <c r="F194" s="452"/>
      <c r="G194" s="452"/>
      <c r="H194" s="452"/>
      <c r="I194" s="452"/>
      <c r="J194" s="452"/>
      <c r="K194" s="452"/>
      <c r="L194" s="452"/>
      <c r="M194" s="452">
        <v>373399.17885373876</v>
      </c>
      <c r="Z194" s="443"/>
      <c r="AA194" s="443"/>
      <c r="AB194" s="443"/>
      <c r="AC194" s="443"/>
      <c r="AD194" s="443"/>
      <c r="AE194" s="443"/>
      <c r="AF194" s="443">
        <f t="shared" ref="AF194:AK194" si="0">+H194-T194</f>
        <v>0</v>
      </c>
      <c r="AG194" s="443">
        <f t="shared" si="0"/>
        <v>0</v>
      </c>
      <c r="AH194" s="443">
        <f t="shared" si="0"/>
        <v>0</v>
      </c>
      <c r="AI194" s="443">
        <f t="shared" si="0"/>
        <v>0</v>
      </c>
      <c r="AJ194" s="443">
        <f t="shared" si="0"/>
        <v>0</v>
      </c>
      <c r="AK194" s="443">
        <f t="shared" si="0"/>
        <v>373399.17885373876</v>
      </c>
    </row>
    <row r="195" spans="1:37" ht="10.5" customHeight="1" thickTop="1">
      <c r="A195" s="439">
        <v>2005</v>
      </c>
      <c r="B195" s="453"/>
      <c r="C195" s="453"/>
      <c r="D195" s="453"/>
      <c r="E195" s="453"/>
      <c r="F195" s="453"/>
      <c r="G195" s="453"/>
      <c r="H195" s="453"/>
      <c r="I195" s="453"/>
      <c r="J195" s="453"/>
      <c r="K195" s="453"/>
      <c r="L195" s="453"/>
      <c r="M195" s="453"/>
      <c r="Z195" s="443"/>
      <c r="AA195" s="443"/>
      <c r="AB195" s="443"/>
      <c r="AC195" s="443"/>
      <c r="AD195" s="443"/>
      <c r="AE195" s="443"/>
      <c r="AF195" s="443"/>
      <c r="AG195" s="443"/>
      <c r="AH195" s="443"/>
      <c r="AI195" s="443"/>
      <c r="AJ195" s="443"/>
      <c r="AK195" s="443"/>
    </row>
    <row r="196" spans="1:37" ht="10.5" customHeight="1">
      <c r="A196" s="323" t="s">
        <v>507</v>
      </c>
      <c r="B196" s="441"/>
      <c r="C196" s="441"/>
      <c r="D196" s="441"/>
      <c r="E196" s="441"/>
      <c r="F196" s="441"/>
      <c r="G196" s="441"/>
      <c r="H196" s="441"/>
      <c r="I196" s="441"/>
      <c r="J196" s="441"/>
      <c r="K196" s="441"/>
      <c r="L196" s="441"/>
      <c r="M196" s="441"/>
      <c r="Z196" s="443"/>
      <c r="AA196" s="443"/>
      <c r="AB196" s="443"/>
      <c r="AC196" s="443"/>
      <c r="AD196" s="443"/>
      <c r="AE196" s="443"/>
      <c r="AF196" s="443"/>
      <c r="AG196" s="443"/>
      <c r="AH196" s="443"/>
      <c r="AI196" s="443"/>
      <c r="AJ196" s="443"/>
      <c r="AK196" s="443"/>
    </row>
    <row r="197" spans="1:37" ht="10.5" customHeight="1">
      <c r="A197" s="328" t="s">
        <v>492</v>
      </c>
      <c r="B197" s="441">
        <v>368134.26561580726</v>
      </c>
      <c r="C197" s="441">
        <v>10268.436829880389</v>
      </c>
      <c r="D197" s="441">
        <v>295642.83434868115</v>
      </c>
      <c r="E197" s="441">
        <v>213661.14089945226</v>
      </c>
      <c r="F197" s="441">
        <v>9515.4218886329254</v>
      </c>
      <c r="G197" s="441">
        <v>0</v>
      </c>
      <c r="H197" s="441">
        <v>897222.09958245407</v>
      </c>
      <c r="I197" s="441"/>
      <c r="J197" s="441">
        <v>3825.9</v>
      </c>
      <c r="K197" s="451">
        <v>2873.3944274999994</v>
      </c>
      <c r="L197" s="441">
        <v>0</v>
      </c>
      <c r="M197" s="451">
        <v>903921.39400995406</v>
      </c>
      <c r="Z197" s="443"/>
      <c r="AA197" s="443"/>
      <c r="AB197" s="443"/>
      <c r="AC197" s="443"/>
      <c r="AD197" s="443"/>
      <c r="AE197" s="443"/>
      <c r="AF197" s="443"/>
      <c r="AG197" s="443"/>
      <c r="AH197" s="443"/>
      <c r="AI197" s="443"/>
      <c r="AJ197" s="443"/>
      <c r="AK197" s="443"/>
    </row>
    <row r="198" spans="1:37" ht="10.5" customHeight="1">
      <c r="A198" s="328" t="s">
        <v>493</v>
      </c>
      <c r="B198" s="451">
        <v>130689.98794506279</v>
      </c>
      <c r="C198" s="451">
        <v>2921.1573130587808</v>
      </c>
      <c r="D198" s="441">
        <v>137482.74212305597</v>
      </c>
      <c r="E198" s="441">
        <v>81618.102843119996</v>
      </c>
      <c r="F198" s="451">
        <v>2744.4839038999999</v>
      </c>
      <c r="G198" s="441">
        <v>0</v>
      </c>
      <c r="H198" s="441">
        <v>355456.47412819753</v>
      </c>
      <c r="I198" s="441"/>
      <c r="J198" s="441">
        <v>3825.9</v>
      </c>
      <c r="K198" s="451">
        <v>2873.3944274999994</v>
      </c>
      <c r="L198" s="441">
        <v>0</v>
      </c>
      <c r="M198" s="451">
        <v>362155.76855569758</v>
      </c>
      <c r="Z198" s="443"/>
      <c r="AA198" s="443"/>
      <c r="AB198" s="443"/>
      <c r="AC198" s="443"/>
      <c r="AD198" s="443"/>
      <c r="AE198" s="443"/>
      <c r="AF198" s="443"/>
      <c r="AG198" s="443"/>
      <c r="AH198" s="443"/>
      <c r="AI198" s="443"/>
      <c r="AJ198" s="443"/>
      <c r="AK198" s="443"/>
    </row>
    <row r="199" spans="1:37" ht="10.5" customHeight="1">
      <c r="A199" s="328" t="s">
        <v>494</v>
      </c>
      <c r="B199" s="451">
        <v>5913.9300393335143</v>
      </c>
      <c r="C199" s="451">
        <v>530.21641154212421</v>
      </c>
      <c r="D199" s="441">
        <v>2958.514822055964</v>
      </c>
      <c r="E199" s="441">
        <v>6445.3148431199952</v>
      </c>
      <c r="F199" s="451">
        <v>258.05991404676524</v>
      </c>
      <c r="G199" s="441">
        <v>0</v>
      </c>
      <c r="H199" s="441">
        <v>16106.03603009833</v>
      </c>
      <c r="I199" s="441"/>
      <c r="J199" s="441">
        <v>5.3641360170554435</v>
      </c>
      <c r="K199" s="451">
        <v>97.167927499999678</v>
      </c>
      <c r="L199" s="441">
        <v>0</v>
      </c>
      <c r="M199" s="451">
        <v>16208.568093615384</v>
      </c>
      <c r="Z199" s="443"/>
      <c r="AA199" s="443"/>
      <c r="AB199" s="443"/>
      <c r="AC199" s="443"/>
      <c r="AD199" s="443"/>
      <c r="AE199" s="443"/>
      <c r="AF199" s="443"/>
      <c r="AG199" s="443"/>
      <c r="AH199" s="443"/>
      <c r="AI199" s="443"/>
      <c r="AJ199" s="443"/>
      <c r="AK199" s="443"/>
    </row>
    <row r="200" spans="1:37" ht="10.5" customHeight="1">
      <c r="A200" s="328" t="s">
        <v>495</v>
      </c>
      <c r="B200" s="451">
        <v>124776.05790572928</v>
      </c>
      <c r="C200" s="451">
        <v>2390.9409015166566</v>
      </c>
      <c r="D200" s="441">
        <v>134524.22730100001</v>
      </c>
      <c r="E200" s="441">
        <v>75172.788</v>
      </c>
      <c r="F200" s="451">
        <v>2486.4239898532346</v>
      </c>
      <c r="G200" s="441">
        <v>0</v>
      </c>
      <c r="H200" s="441">
        <v>339350.4380980992</v>
      </c>
      <c r="I200" s="441"/>
      <c r="J200" s="441">
        <v>3820.5358639829446</v>
      </c>
      <c r="K200" s="441">
        <v>2776.2264999999998</v>
      </c>
      <c r="L200" s="441">
        <v>0</v>
      </c>
      <c r="M200" s="441">
        <v>345947.20046208211</v>
      </c>
      <c r="Z200" s="443"/>
      <c r="AA200" s="443"/>
      <c r="AB200" s="443"/>
      <c r="AC200" s="443"/>
      <c r="AD200" s="443"/>
      <c r="AE200" s="443"/>
      <c r="AF200" s="443"/>
      <c r="AG200" s="443"/>
      <c r="AH200" s="443"/>
      <c r="AI200" s="443"/>
      <c r="AJ200" s="443"/>
      <c r="AK200" s="443"/>
    </row>
    <row r="201" spans="1:37" ht="10.5" customHeight="1">
      <c r="A201" s="328" t="s">
        <v>496</v>
      </c>
      <c r="B201" s="441"/>
      <c r="C201" s="441"/>
      <c r="D201" s="441"/>
      <c r="E201" s="441"/>
      <c r="F201" s="441"/>
      <c r="G201" s="441"/>
      <c r="H201" s="441"/>
      <c r="I201" s="441"/>
      <c r="J201" s="441"/>
      <c r="K201" s="441"/>
      <c r="L201" s="441"/>
      <c r="M201" s="441">
        <v>3706.8240499999997</v>
      </c>
      <c r="Z201" s="443"/>
      <c r="AA201" s="443"/>
      <c r="AB201" s="443"/>
      <c r="AC201" s="443"/>
      <c r="AD201" s="443"/>
      <c r="AE201" s="443"/>
      <c r="AF201" s="443"/>
      <c r="AG201" s="443"/>
      <c r="AH201" s="443"/>
      <c r="AI201" s="443"/>
      <c r="AJ201" s="443"/>
      <c r="AK201" s="443"/>
    </row>
    <row r="202" spans="1:37" ht="10.5" customHeight="1">
      <c r="A202" s="423" t="s">
        <v>497</v>
      </c>
      <c r="B202" s="449"/>
      <c r="C202" s="449"/>
      <c r="D202" s="449"/>
      <c r="E202" s="449"/>
      <c r="F202" s="449"/>
      <c r="G202" s="449"/>
      <c r="H202" s="449"/>
      <c r="I202" s="449"/>
      <c r="J202" s="449"/>
      <c r="K202" s="449"/>
      <c r="L202" s="449"/>
      <c r="M202" s="449">
        <v>342240.37641208211</v>
      </c>
      <c r="Z202" s="443"/>
      <c r="AA202" s="443"/>
      <c r="AB202" s="443"/>
      <c r="AC202" s="443"/>
      <c r="AD202" s="443"/>
      <c r="AE202" s="443"/>
      <c r="AF202" s="443"/>
      <c r="AG202" s="443"/>
      <c r="AH202" s="443"/>
      <c r="AI202" s="443"/>
      <c r="AJ202" s="443"/>
      <c r="AK202" s="443"/>
    </row>
    <row r="203" spans="1:37" ht="10.5" customHeight="1">
      <c r="A203" s="323" t="s">
        <v>498</v>
      </c>
      <c r="B203" s="441"/>
      <c r="C203" s="441"/>
      <c r="D203" s="441"/>
      <c r="E203" s="441"/>
      <c r="F203" s="441"/>
      <c r="G203" s="441"/>
      <c r="H203" s="441"/>
      <c r="I203" s="441"/>
      <c r="J203" s="441"/>
      <c r="K203" s="441"/>
      <c r="L203" s="441"/>
      <c r="M203" s="441"/>
      <c r="Z203" s="443"/>
      <c r="AA203" s="443"/>
      <c r="AB203" s="443"/>
      <c r="AC203" s="443"/>
      <c r="AD203" s="443"/>
      <c r="AE203" s="443"/>
      <c r="AF203" s="443"/>
      <c r="AG203" s="443"/>
      <c r="AH203" s="443"/>
      <c r="AI203" s="443"/>
      <c r="AJ203" s="443"/>
      <c r="AK203" s="443"/>
    </row>
    <row r="204" spans="1:37" ht="10.5" customHeight="1">
      <c r="A204" s="328" t="s">
        <v>492</v>
      </c>
      <c r="B204" s="441">
        <v>10711.697099060882</v>
      </c>
      <c r="C204" s="441">
        <v>5453.7563707022764</v>
      </c>
      <c r="D204" s="441">
        <v>32729.312999999995</v>
      </c>
      <c r="E204" s="441">
        <v>0</v>
      </c>
      <c r="F204" s="441">
        <v>29474.889492227132</v>
      </c>
      <c r="G204" s="441">
        <v>21326.598240177547</v>
      </c>
      <c r="H204" s="441">
        <v>99696.254202167838</v>
      </c>
      <c r="I204" s="441"/>
      <c r="J204" s="441">
        <v>1095.6289999999999</v>
      </c>
      <c r="K204" s="441">
        <v>0</v>
      </c>
      <c r="L204" s="441">
        <v>2912.0966100000005</v>
      </c>
      <c r="M204" s="441">
        <v>103703.97981216785</v>
      </c>
      <c r="Z204" s="443"/>
      <c r="AA204" s="443"/>
      <c r="AB204" s="443"/>
      <c r="AC204" s="443"/>
      <c r="AD204" s="443"/>
      <c r="AE204" s="443"/>
      <c r="AF204" s="443"/>
      <c r="AG204" s="443"/>
      <c r="AH204" s="443"/>
      <c r="AI204" s="443"/>
      <c r="AJ204" s="443"/>
      <c r="AK204" s="443"/>
    </row>
    <row r="205" spans="1:37" ht="10.5" customHeight="1">
      <c r="A205" s="328" t="s">
        <v>499</v>
      </c>
      <c r="B205" s="441">
        <v>3947.0029999999997</v>
      </c>
      <c r="C205" s="441">
        <v>2416.9940900000001</v>
      </c>
      <c r="D205" s="441">
        <v>15159.249</v>
      </c>
      <c r="E205" s="441">
        <v>0</v>
      </c>
      <c r="F205" s="451">
        <v>6940.6985899999963</v>
      </c>
      <c r="G205" s="441">
        <v>3675.8783499999995</v>
      </c>
      <c r="H205" s="451">
        <v>32139.823029999996</v>
      </c>
      <c r="I205" s="451"/>
      <c r="J205" s="441">
        <v>1095.6289999999999</v>
      </c>
      <c r="K205" s="441">
        <v>0</v>
      </c>
      <c r="L205" s="441">
        <v>2912.0966100000005</v>
      </c>
      <c r="M205" s="451">
        <v>36147.548639999994</v>
      </c>
      <c r="Z205" s="443"/>
      <c r="AA205" s="443"/>
      <c r="AB205" s="443"/>
      <c r="AC205" s="443"/>
      <c r="AD205" s="443"/>
      <c r="AE205" s="443"/>
      <c r="AF205" s="443"/>
      <c r="AG205" s="443"/>
      <c r="AH205" s="443"/>
      <c r="AI205" s="443"/>
      <c r="AJ205" s="443"/>
      <c r="AK205" s="443"/>
    </row>
    <row r="206" spans="1:37" ht="10.5" customHeight="1">
      <c r="A206" s="328" t="s">
        <v>494</v>
      </c>
      <c r="B206" s="450">
        <v>209.85768000000007</v>
      </c>
      <c r="C206" s="450">
        <v>157.48095049999984</v>
      </c>
      <c r="D206" s="450">
        <v>469.81309999999939</v>
      </c>
      <c r="E206" s="441">
        <v>0</v>
      </c>
      <c r="F206" s="454">
        <v>472.48766999111831</v>
      </c>
      <c r="G206" s="450">
        <v>132.61395409999977</v>
      </c>
      <c r="H206" s="454">
        <v>1442.2533545911174</v>
      </c>
      <c r="I206" s="450"/>
      <c r="J206" s="450">
        <v>166.1225</v>
      </c>
      <c r="K206" s="441">
        <v>0</v>
      </c>
      <c r="L206" s="441">
        <v>0</v>
      </c>
      <c r="M206" s="454">
        <v>1608.3758545911173</v>
      </c>
      <c r="Z206" s="443"/>
      <c r="AA206" s="443"/>
      <c r="AB206" s="443"/>
      <c r="AC206" s="443"/>
      <c r="AD206" s="443"/>
      <c r="AE206" s="443"/>
      <c r="AF206" s="443"/>
      <c r="AG206" s="443"/>
      <c r="AH206" s="443"/>
      <c r="AI206" s="443"/>
      <c r="AJ206" s="443"/>
      <c r="AK206" s="443"/>
    </row>
    <row r="207" spans="1:37" ht="10.5" customHeight="1">
      <c r="A207" s="423" t="s">
        <v>500</v>
      </c>
      <c r="B207" s="449">
        <v>3737.1453199999996</v>
      </c>
      <c r="C207" s="449">
        <v>2259.5131395000003</v>
      </c>
      <c r="D207" s="449">
        <v>14689.4359</v>
      </c>
      <c r="E207" s="449">
        <v>0</v>
      </c>
      <c r="F207" s="455">
        <v>6468.210920008878</v>
      </c>
      <c r="G207" s="449">
        <v>3543.2643958999997</v>
      </c>
      <c r="H207" s="455">
        <v>30697.569675408879</v>
      </c>
      <c r="I207" s="449"/>
      <c r="J207" s="449">
        <v>929.50649999999985</v>
      </c>
      <c r="K207" s="449">
        <v>0</v>
      </c>
      <c r="L207" s="449">
        <v>2912.0966100000005</v>
      </c>
      <c r="M207" s="455">
        <v>34539.172785408882</v>
      </c>
      <c r="Z207" s="443"/>
      <c r="AA207" s="443"/>
      <c r="AB207" s="443"/>
      <c r="AC207" s="443"/>
      <c r="AD207" s="443"/>
      <c r="AE207" s="443"/>
      <c r="AF207" s="443"/>
      <c r="AG207" s="443"/>
      <c r="AH207" s="443"/>
      <c r="AI207" s="443"/>
      <c r="AJ207" s="443"/>
      <c r="AK207" s="443"/>
    </row>
    <row r="208" spans="1:37" ht="10.5" customHeight="1">
      <c r="A208" s="323" t="s">
        <v>501</v>
      </c>
      <c r="B208" s="441"/>
      <c r="C208" s="441"/>
      <c r="D208" s="441"/>
      <c r="E208" s="441"/>
      <c r="F208" s="441"/>
      <c r="G208" s="441"/>
      <c r="H208" s="441"/>
      <c r="I208" s="441"/>
      <c r="J208" s="441"/>
      <c r="K208" s="441"/>
      <c r="L208" s="441"/>
      <c r="M208" s="441"/>
      <c r="Z208" s="443"/>
      <c r="AA208" s="443"/>
      <c r="AB208" s="443"/>
      <c r="AC208" s="443"/>
      <c r="AD208" s="443"/>
      <c r="AE208" s="443"/>
      <c r="AF208" s="443"/>
      <c r="AG208" s="443"/>
      <c r="AH208" s="443"/>
      <c r="AI208" s="443"/>
      <c r="AJ208" s="443"/>
      <c r="AK208" s="443"/>
    </row>
    <row r="209" spans="1:37" ht="10.5" customHeight="1">
      <c r="A209" s="328" t="s">
        <v>502</v>
      </c>
      <c r="B209" s="441">
        <v>378845.96271486813</v>
      </c>
      <c r="C209" s="441">
        <v>15722.193200582666</v>
      </c>
      <c r="D209" s="441">
        <v>328372.14734868112</v>
      </c>
      <c r="E209" s="441">
        <v>213661.14089945226</v>
      </c>
      <c r="F209" s="441">
        <v>38990.311380860061</v>
      </c>
      <c r="G209" s="441">
        <v>21326.598240177547</v>
      </c>
      <c r="H209" s="441">
        <v>996918.35378462193</v>
      </c>
      <c r="I209" s="441"/>
      <c r="J209" s="441">
        <v>4921.5290000000005</v>
      </c>
      <c r="K209" s="451">
        <v>2873.3944274999994</v>
      </c>
      <c r="L209" s="441">
        <v>2912.0966100000005</v>
      </c>
      <c r="M209" s="451">
        <v>1007625.3738221219</v>
      </c>
      <c r="Z209" s="443"/>
      <c r="AA209" s="443"/>
      <c r="AB209" s="443"/>
      <c r="AC209" s="443"/>
      <c r="AD209" s="443"/>
      <c r="AE209" s="443"/>
      <c r="AF209" s="443"/>
      <c r="AG209" s="443"/>
      <c r="AH209" s="443"/>
      <c r="AI209" s="443"/>
      <c r="AJ209" s="443"/>
      <c r="AK209" s="443"/>
    </row>
    <row r="210" spans="1:37" ht="10.5" customHeight="1">
      <c r="A210" s="328" t="s">
        <v>499</v>
      </c>
      <c r="B210" s="451">
        <v>134636.9909450628</v>
      </c>
      <c r="C210" s="451">
        <v>5338.1514030587805</v>
      </c>
      <c r="D210" s="441">
        <v>152641.99112305598</v>
      </c>
      <c r="E210" s="441">
        <v>81618.102843119996</v>
      </c>
      <c r="F210" s="451">
        <v>9685.1824938999962</v>
      </c>
      <c r="G210" s="441">
        <v>3675.8783499999995</v>
      </c>
      <c r="H210" s="451">
        <v>387596.2971581975</v>
      </c>
      <c r="I210" s="451"/>
      <c r="J210" s="441">
        <v>4921.5290000000005</v>
      </c>
      <c r="K210" s="451">
        <v>2873.3944274999994</v>
      </c>
      <c r="L210" s="441">
        <v>2912.0966100000005</v>
      </c>
      <c r="M210" s="451">
        <v>398303.31719569757</v>
      </c>
      <c r="Z210" s="443"/>
      <c r="AA210" s="443"/>
      <c r="AB210" s="443"/>
      <c r="AC210" s="443"/>
      <c r="AD210" s="443"/>
      <c r="AE210" s="443"/>
      <c r="AF210" s="443"/>
      <c r="AG210" s="443"/>
      <c r="AH210" s="443"/>
      <c r="AI210" s="443"/>
      <c r="AJ210" s="443"/>
      <c r="AK210" s="443"/>
    </row>
    <row r="211" spans="1:37" ht="10.5" customHeight="1">
      <c r="A211" s="328" t="s">
        <v>494</v>
      </c>
      <c r="B211" s="451">
        <v>6123.7877193335144</v>
      </c>
      <c r="C211" s="451">
        <v>687.69736204212404</v>
      </c>
      <c r="D211" s="441">
        <v>3428.3279220559634</v>
      </c>
      <c r="E211" s="441">
        <v>6445.3148431199952</v>
      </c>
      <c r="F211" s="451">
        <v>730.54758403788355</v>
      </c>
      <c r="G211" s="441">
        <v>132.61395409999977</v>
      </c>
      <c r="H211" s="451">
        <v>17548.289384689448</v>
      </c>
      <c r="I211" s="451"/>
      <c r="J211" s="441">
        <v>171.4866360170555</v>
      </c>
      <c r="K211" s="451">
        <v>97.167927499999678</v>
      </c>
      <c r="L211" s="441">
        <v>0</v>
      </c>
      <c r="M211" s="451">
        <v>17816.943948206503</v>
      </c>
      <c r="Z211" s="443"/>
      <c r="AA211" s="443"/>
      <c r="AB211" s="443"/>
      <c r="AC211" s="443"/>
      <c r="AD211" s="443"/>
      <c r="AE211" s="443"/>
      <c r="AF211" s="443"/>
      <c r="AG211" s="443"/>
      <c r="AH211" s="443"/>
      <c r="AI211" s="443"/>
      <c r="AJ211" s="443"/>
      <c r="AK211" s="443"/>
    </row>
    <row r="212" spans="1:37" ht="10.5" customHeight="1">
      <c r="A212" s="328" t="s">
        <v>495</v>
      </c>
      <c r="B212" s="451">
        <v>128513.20322572927</v>
      </c>
      <c r="C212" s="451">
        <v>4650.4540410166574</v>
      </c>
      <c r="D212" s="441">
        <v>149213.66320100002</v>
      </c>
      <c r="E212" s="441">
        <v>75172.788</v>
      </c>
      <c r="F212" s="451">
        <v>8954.6349098621122</v>
      </c>
      <c r="G212" s="441">
        <v>3543.2643958999997</v>
      </c>
      <c r="H212" s="451">
        <v>370048.00777350808</v>
      </c>
      <c r="I212" s="441"/>
      <c r="J212" s="441">
        <v>4750.0423639829442</v>
      </c>
      <c r="K212" s="441">
        <v>2776.2264999999998</v>
      </c>
      <c r="L212" s="441">
        <v>2912.0966100000005</v>
      </c>
      <c r="M212" s="451">
        <v>380486.37324749096</v>
      </c>
      <c r="Z212" s="443"/>
      <c r="AA212" s="443"/>
      <c r="AB212" s="443"/>
      <c r="AC212" s="443"/>
      <c r="AD212" s="443"/>
      <c r="AE212" s="443"/>
      <c r="AF212" s="443"/>
      <c r="AG212" s="443"/>
      <c r="AH212" s="443"/>
      <c r="AI212" s="443"/>
      <c r="AJ212" s="443"/>
      <c r="AK212" s="443"/>
    </row>
    <row r="213" spans="1:37" ht="10.5" customHeight="1">
      <c r="A213" s="328" t="s">
        <v>496</v>
      </c>
      <c r="B213" s="441"/>
      <c r="C213" s="441"/>
      <c r="D213" s="441"/>
      <c r="E213" s="441"/>
      <c r="F213" s="441"/>
      <c r="G213" s="441"/>
      <c r="H213" s="441"/>
      <c r="I213" s="441"/>
      <c r="J213" s="441"/>
      <c r="K213" s="441"/>
      <c r="L213" s="441"/>
      <c r="M213" s="441">
        <v>3706.8240499999997</v>
      </c>
      <c r="Z213" s="443"/>
      <c r="AA213" s="443"/>
      <c r="AB213" s="443"/>
      <c r="AC213" s="443"/>
      <c r="AD213" s="443"/>
      <c r="AE213" s="443"/>
      <c r="AF213" s="443"/>
      <c r="AG213" s="443"/>
      <c r="AH213" s="443"/>
      <c r="AI213" s="443"/>
      <c r="AJ213" s="443"/>
      <c r="AK213" s="443"/>
    </row>
    <row r="214" spans="1:37" ht="10.5" customHeight="1" thickBot="1">
      <c r="A214" s="425" t="s">
        <v>497</v>
      </c>
      <c r="B214" s="452"/>
      <c r="C214" s="452"/>
      <c r="D214" s="452"/>
      <c r="E214" s="452"/>
      <c r="F214" s="452"/>
      <c r="G214" s="452"/>
      <c r="H214" s="452"/>
      <c r="I214" s="452"/>
      <c r="J214" s="452"/>
      <c r="K214" s="452"/>
      <c r="L214" s="452"/>
      <c r="M214" s="456">
        <v>376779.54919749097</v>
      </c>
      <c r="Z214" s="443"/>
      <c r="AA214" s="443"/>
      <c r="AB214" s="443"/>
      <c r="AC214" s="443"/>
      <c r="AD214" s="443"/>
      <c r="AE214" s="443"/>
      <c r="AF214" s="443"/>
      <c r="AG214" s="443"/>
      <c r="AH214" s="443"/>
      <c r="AI214" s="443"/>
      <c r="AJ214" s="443"/>
      <c r="AK214" s="443"/>
    </row>
    <row r="215" spans="1:37" s="340" customFormat="1" ht="13.5" customHeight="1" thickTop="1">
      <c r="A215" s="439">
        <v>2006</v>
      </c>
      <c r="B215" s="453"/>
      <c r="C215" s="453"/>
      <c r="D215" s="453"/>
      <c r="E215" s="453"/>
      <c r="F215" s="453"/>
      <c r="G215" s="453"/>
      <c r="H215" s="453"/>
      <c r="I215" s="453"/>
      <c r="J215" s="453"/>
      <c r="K215" s="453"/>
      <c r="L215" s="453"/>
      <c r="M215" s="453"/>
    </row>
    <row r="216" spans="1:37" ht="10.5" customHeight="1">
      <c r="A216" s="323" t="s">
        <v>507</v>
      </c>
      <c r="B216" s="441"/>
      <c r="C216" s="441"/>
      <c r="D216" s="441"/>
      <c r="E216" s="441"/>
      <c r="F216" s="441"/>
      <c r="G216" s="441"/>
      <c r="H216" s="441"/>
      <c r="I216" s="441"/>
      <c r="J216" s="441"/>
      <c r="K216" s="441"/>
      <c r="L216" s="441"/>
      <c r="M216" s="441"/>
    </row>
    <row r="217" spans="1:37" ht="10.5" customHeight="1">
      <c r="A217" s="328" t="s">
        <v>492</v>
      </c>
      <c r="B217" s="441">
        <v>407027.19359205291</v>
      </c>
      <c r="C217" s="441">
        <v>11751.045318303004</v>
      </c>
      <c r="D217" s="441">
        <v>278148.92368514871</v>
      </c>
      <c r="E217" s="441">
        <v>199237.06280346774</v>
      </c>
      <c r="F217" s="441">
        <v>8503.7299742651612</v>
      </c>
      <c r="G217" s="441">
        <v>0</v>
      </c>
      <c r="H217" s="441">
        <v>904667.95537323761</v>
      </c>
      <c r="I217" s="441"/>
      <c r="J217" s="441">
        <v>3693.299258</v>
      </c>
      <c r="K217" s="441">
        <v>3852.6022349999998</v>
      </c>
      <c r="L217" s="441">
        <v>0</v>
      </c>
      <c r="M217" s="441">
        <v>912213.85686623759</v>
      </c>
      <c r="O217" s="330"/>
      <c r="P217" s="330"/>
      <c r="Q217" s="330"/>
      <c r="R217" s="330"/>
      <c r="S217" s="330"/>
      <c r="T217" s="330"/>
      <c r="U217" s="330"/>
      <c r="V217" s="330"/>
      <c r="W217" s="330"/>
      <c r="X217" s="330"/>
      <c r="Y217" s="330"/>
      <c r="Z217" s="330"/>
      <c r="AA217" s="330"/>
      <c r="AB217" s="330"/>
      <c r="AC217" s="330"/>
      <c r="AD217" s="330"/>
      <c r="AE217" s="330"/>
      <c r="AF217" s="330"/>
      <c r="AG217" s="330"/>
      <c r="AH217" s="330"/>
      <c r="AI217" s="330"/>
      <c r="AJ217" s="330"/>
      <c r="AK217" s="330"/>
    </row>
    <row r="218" spans="1:37" ht="10.5" customHeight="1">
      <c r="A218" s="328" t="s">
        <v>493</v>
      </c>
      <c r="B218" s="451">
        <v>145311.14019007739</v>
      </c>
      <c r="C218" s="451">
        <v>3358.643967753716</v>
      </c>
      <c r="D218" s="441">
        <v>126637.23964240288</v>
      </c>
      <c r="E218" s="441">
        <v>75450.656932527243</v>
      </c>
      <c r="F218" s="451">
        <v>2928.4829752862515</v>
      </c>
      <c r="G218" s="441">
        <v>0</v>
      </c>
      <c r="H218" s="451">
        <v>353686.16370804748</v>
      </c>
      <c r="I218" s="441"/>
      <c r="J218" s="441">
        <v>3693.299258</v>
      </c>
      <c r="K218" s="441">
        <v>3852.6022349999998</v>
      </c>
      <c r="L218" s="441">
        <v>0</v>
      </c>
      <c r="M218" s="451">
        <v>361232.06520104746</v>
      </c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30"/>
      <c r="AB218" s="330"/>
      <c r="AC218" s="330"/>
      <c r="AD218" s="330"/>
      <c r="AE218" s="330"/>
      <c r="AF218" s="330"/>
      <c r="AG218" s="330"/>
      <c r="AH218" s="330"/>
      <c r="AI218" s="330"/>
      <c r="AJ218" s="330"/>
      <c r="AK218" s="330"/>
    </row>
    <row r="219" spans="1:37" ht="10.5" customHeight="1">
      <c r="A219" s="328" t="s">
        <v>494</v>
      </c>
      <c r="B219" s="451">
        <v>7163.7057942331303</v>
      </c>
      <c r="C219" s="451">
        <v>592.10165979093199</v>
      </c>
      <c r="D219" s="441">
        <v>2633.813690040377</v>
      </c>
      <c r="E219" s="441">
        <v>6213.5009325272404</v>
      </c>
      <c r="F219" s="451">
        <v>285.18503951190405</v>
      </c>
      <c r="G219" s="441">
        <v>0</v>
      </c>
      <c r="H219" s="451">
        <v>16888.307116103533</v>
      </c>
      <c r="I219" s="441"/>
      <c r="J219" s="441">
        <v>12.880782000000181</v>
      </c>
      <c r="K219" s="441">
        <v>130.28123499999992</v>
      </c>
      <c r="L219" s="441">
        <v>0</v>
      </c>
      <c r="M219" s="451">
        <v>17031.469133103532</v>
      </c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30"/>
      <c r="AB219" s="330"/>
      <c r="AC219" s="330"/>
      <c r="AD219" s="330"/>
      <c r="AE219" s="330"/>
      <c r="AF219" s="330"/>
      <c r="AG219" s="330"/>
      <c r="AH219" s="330"/>
      <c r="AI219" s="330"/>
      <c r="AJ219" s="330"/>
      <c r="AK219" s="330"/>
    </row>
    <row r="220" spans="1:37" ht="10.5" customHeight="1">
      <c r="A220" s="328" t="s">
        <v>495</v>
      </c>
      <c r="B220" s="451">
        <v>138147.43439584426</v>
      </c>
      <c r="C220" s="451">
        <v>2766.542307962784</v>
      </c>
      <c r="D220" s="441">
        <v>124003.42595236251</v>
      </c>
      <c r="E220" s="441">
        <v>69237.156000000003</v>
      </c>
      <c r="F220" s="451">
        <v>2643.2979357743475</v>
      </c>
      <c r="G220" s="441">
        <v>0</v>
      </c>
      <c r="H220" s="451">
        <v>336797.85659194394</v>
      </c>
      <c r="I220" s="441"/>
      <c r="J220" s="441">
        <v>3680.4184759999998</v>
      </c>
      <c r="K220" s="441">
        <v>3722.3209999999999</v>
      </c>
      <c r="L220" s="441">
        <v>0</v>
      </c>
      <c r="M220" s="451">
        <v>344200.59606794396</v>
      </c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30"/>
      <c r="AB220" s="330"/>
      <c r="AC220" s="330"/>
      <c r="AD220" s="330"/>
      <c r="AE220" s="330"/>
      <c r="AF220" s="330"/>
      <c r="AG220" s="330"/>
      <c r="AH220" s="330"/>
      <c r="AI220" s="330"/>
      <c r="AJ220" s="330"/>
      <c r="AK220" s="330"/>
    </row>
    <row r="221" spans="1:37" ht="10.5" customHeight="1">
      <c r="A221" s="328" t="s">
        <v>496</v>
      </c>
      <c r="B221" s="441"/>
      <c r="C221" s="441"/>
      <c r="D221" s="441"/>
      <c r="E221" s="441"/>
      <c r="F221" s="441"/>
      <c r="G221" s="441"/>
      <c r="H221" s="441"/>
      <c r="I221" s="441"/>
      <c r="J221" s="441"/>
      <c r="K221" s="441"/>
      <c r="L221" s="441"/>
      <c r="M221" s="441">
        <v>4917.84</v>
      </c>
      <c r="O221" s="330"/>
      <c r="P221" s="330"/>
      <c r="Q221" s="330"/>
      <c r="R221" s="330"/>
      <c r="S221" s="330"/>
      <c r="T221" s="330"/>
      <c r="U221" s="330"/>
      <c r="V221" s="330"/>
      <c r="W221" s="330"/>
      <c r="X221" s="330"/>
      <c r="Y221" s="330"/>
      <c r="Z221" s="330"/>
      <c r="AA221" s="330"/>
      <c r="AB221" s="330"/>
      <c r="AC221" s="330"/>
      <c r="AD221" s="330"/>
      <c r="AE221" s="330"/>
      <c r="AF221" s="330"/>
      <c r="AG221" s="330"/>
      <c r="AH221" s="330"/>
      <c r="AI221" s="330"/>
      <c r="AJ221" s="330"/>
      <c r="AK221" s="330"/>
    </row>
    <row r="222" spans="1:37" ht="10.5" customHeight="1">
      <c r="A222" s="423" t="s">
        <v>497</v>
      </c>
      <c r="B222" s="449"/>
      <c r="C222" s="449"/>
      <c r="D222" s="449"/>
      <c r="E222" s="449"/>
      <c r="F222" s="449"/>
      <c r="G222" s="449"/>
      <c r="H222" s="449"/>
      <c r="I222" s="449"/>
      <c r="J222" s="449"/>
      <c r="K222" s="449"/>
      <c r="L222" s="449"/>
      <c r="M222" s="455">
        <v>339282.75606794393</v>
      </c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30"/>
      <c r="Z222" s="330"/>
      <c r="AA222" s="330"/>
      <c r="AB222" s="330"/>
      <c r="AC222" s="330"/>
      <c r="AD222" s="330"/>
      <c r="AE222" s="330"/>
      <c r="AF222" s="330"/>
      <c r="AG222" s="330"/>
      <c r="AH222" s="330"/>
      <c r="AI222" s="330"/>
      <c r="AJ222" s="330"/>
      <c r="AK222" s="330"/>
    </row>
    <row r="223" spans="1:37" ht="10.5" customHeight="1">
      <c r="A223" s="323" t="s">
        <v>498</v>
      </c>
      <c r="B223" s="441"/>
      <c r="C223" s="441"/>
      <c r="D223" s="441"/>
      <c r="E223" s="441"/>
      <c r="F223" s="441"/>
      <c r="G223" s="441"/>
      <c r="H223" s="441"/>
      <c r="I223" s="441"/>
      <c r="J223" s="441"/>
      <c r="K223" s="441"/>
      <c r="L223" s="441"/>
      <c r="M223" s="441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30"/>
      <c r="AB223" s="330"/>
      <c r="AC223" s="330"/>
      <c r="AD223" s="330"/>
      <c r="AE223" s="330"/>
      <c r="AF223" s="330"/>
      <c r="AG223" s="330"/>
      <c r="AH223" s="330"/>
      <c r="AI223" s="330"/>
      <c r="AJ223" s="330"/>
      <c r="AK223" s="330"/>
    </row>
    <row r="224" spans="1:37" ht="11.5" customHeight="1">
      <c r="A224" s="328" t="s">
        <v>492</v>
      </c>
      <c r="B224" s="451">
        <v>10990.89541918125</v>
      </c>
      <c r="C224" s="451">
        <v>6146.1441956988838</v>
      </c>
      <c r="D224" s="451">
        <v>30105.373410000007</v>
      </c>
      <c r="E224" s="441">
        <v>0</v>
      </c>
      <c r="F224" s="451">
        <v>31848.57415732132</v>
      </c>
      <c r="G224" s="451">
        <v>17411.989887654821</v>
      </c>
      <c r="H224" s="451">
        <v>96502.977069856279</v>
      </c>
      <c r="I224" s="441"/>
      <c r="J224" s="451">
        <v>899.85299999999995</v>
      </c>
      <c r="K224" s="441">
        <v>0</v>
      </c>
      <c r="L224" s="441">
        <v>4235.7526003999992</v>
      </c>
      <c r="M224" s="451">
        <v>101638.58267025628</v>
      </c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30"/>
      <c r="AB224" s="330"/>
      <c r="AC224" s="330"/>
      <c r="AD224" s="330"/>
      <c r="AE224" s="330"/>
      <c r="AF224" s="330"/>
      <c r="AG224" s="330"/>
      <c r="AH224" s="330"/>
      <c r="AI224" s="330"/>
      <c r="AJ224" s="330"/>
      <c r="AK224" s="330"/>
    </row>
    <row r="225" spans="1:37" ht="10.5" customHeight="1">
      <c r="A225" s="328" t="s">
        <v>499</v>
      </c>
      <c r="B225" s="451">
        <v>3902.5950000000003</v>
      </c>
      <c r="C225" s="451">
        <v>2450.3803648934645</v>
      </c>
      <c r="D225" s="451">
        <v>14190.624374695259</v>
      </c>
      <c r="E225" s="441">
        <v>0</v>
      </c>
      <c r="F225" s="451">
        <v>7009.668099600005</v>
      </c>
      <c r="G225" s="451">
        <v>3371.4059604112795</v>
      </c>
      <c r="H225" s="451">
        <v>30924.673799600012</v>
      </c>
      <c r="I225" s="441"/>
      <c r="J225" s="451">
        <v>899.85300000000007</v>
      </c>
      <c r="K225" s="441">
        <v>0</v>
      </c>
      <c r="L225" s="441">
        <v>4235.7526003999992</v>
      </c>
      <c r="M225" s="451">
        <v>36060.279400000014</v>
      </c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30"/>
      <c r="AB225" s="330"/>
      <c r="AC225" s="330"/>
      <c r="AD225" s="330"/>
      <c r="AE225" s="330"/>
      <c r="AF225" s="330"/>
      <c r="AG225" s="330"/>
      <c r="AH225" s="330"/>
      <c r="AI225" s="330"/>
      <c r="AJ225" s="330"/>
      <c r="AK225" s="330"/>
    </row>
    <row r="226" spans="1:37" ht="10.5" customHeight="1">
      <c r="A226" s="328" t="s">
        <v>494</v>
      </c>
      <c r="B226" s="454">
        <v>209.58737599999995</v>
      </c>
      <c r="C226" s="454">
        <v>155.51450670779968</v>
      </c>
      <c r="D226" s="454">
        <v>439.79074945528009</v>
      </c>
      <c r="E226" s="441">
        <v>0</v>
      </c>
      <c r="F226" s="454">
        <v>533.71317892847037</v>
      </c>
      <c r="G226" s="454">
        <v>119.15627964756413</v>
      </c>
      <c r="H226" s="454">
        <v>1457.7620907391174</v>
      </c>
      <c r="I226" s="450"/>
      <c r="J226" s="450">
        <v>14.420350000000099</v>
      </c>
      <c r="K226" s="441">
        <v>0</v>
      </c>
      <c r="L226" s="441">
        <v>0</v>
      </c>
      <c r="M226" s="454">
        <v>1472.1824407391175</v>
      </c>
      <c r="N226" s="443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30"/>
      <c r="AB226" s="330"/>
      <c r="AC226" s="330"/>
      <c r="AD226" s="330"/>
      <c r="AE226" s="330"/>
      <c r="AF226" s="330"/>
      <c r="AG226" s="330"/>
      <c r="AH226" s="330"/>
      <c r="AI226" s="330"/>
      <c r="AJ226" s="330"/>
      <c r="AK226" s="330"/>
    </row>
    <row r="227" spans="1:37" ht="10.5" customHeight="1">
      <c r="A227" s="423" t="s">
        <v>500</v>
      </c>
      <c r="B227" s="455">
        <v>3693.0076240000003</v>
      </c>
      <c r="C227" s="455">
        <v>2294.8658581856648</v>
      </c>
      <c r="D227" s="455">
        <v>13750.833625239979</v>
      </c>
      <c r="E227" s="449">
        <v>0</v>
      </c>
      <c r="F227" s="455">
        <v>6475.9549206715346</v>
      </c>
      <c r="G227" s="455">
        <v>3252.2496807637153</v>
      </c>
      <c r="H227" s="455">
        <v>29466.911708860895</v>
      </c>
      <c r="I227" s="449"/>
      <c r="J227" s="449">
        <v>885.43264999999997</v>
      </c>
      <c r="K227" s="449">
        <v>0</v>
      </c>
      <c r="L227" s="449">
        <v>4235.7526003999992</v>
      </c>
      <c r="M227" s="455">
        <v>34588.096959260889</v>
      </c>
      <c r="O227" s="330"/>
      <c r="P227" s="330"/>
      <c r="Q227" s="330"/>
      <c r="R227" s="330"/>
      <c r="S227" s="330"/>
      <c r="T227" s="330"/>
      <c r="U227" s="330"/>
      <c r="V227" s="330"/>
      <c r="W227" s="330"/>
      <c r="X227" s="330"/>
      <c r="Y227" s="330"/>
      <c r="Z227" s="330"/>
      <c r="AA227" s="330"/>
      <c r="AB227" s="330"/>
      <c r="AC227" s="330"/>
      <c r="AD227" s="330"/>
      <c r="AE227" s="330"/>
      <c r="AF227" s="330"/>
      <c r="AG227" s="330"/>
      <c r="AH227" s="330"/>
      <c r="AI227" s="330"/>
      <c r="AJ227" s="330"/>
      <c r="AK227" s="330"/>
    </row>
    <row r="228" spans="1:37" ht="10.5" customHeight="1">
      <c r="A228" s="323" t="s">
        <v>501</v>
      </c>
      <c r="B228" s="441"/>
      <c r="C228" s="441"/>
      <c r="D228" s="441"/>
      <c r="E228" s="441"/>
      <c r="F228" s="441"/>
      <c r="G228" s="441"/>
      <c r="H228" s="441"/>
      <c r="I228" s="441"/>
      <c r="J228" s="441"/>
      <c r="K228" s="441"/>
      <c r="L228" s="441"/>
      <c r="M228" s="441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330"/>
      <c r="AB228" s="330"/>
      <c r="AC228" s="330"/>
      <c r="AD228" s="330"/>
      <c r="AE228" s="330"/>
      <c r="AF228" s="330"/>
      <c r="AG228" s="330"/>
      <c r="AH228" s="330"/>
      <c r="AI228" s="330"/>
      <c r="AJ228" s="330"/>
      <c r="AK228" s="330"/>
    </row>
    <row r="229" spans="1:37" ht="10.5" customHeight="1">
      <c r="A229" s="328" t="s">
        <v>502</v>
      </c>
      <c r="B229" s="451">
        <v>418018.08901123417</v>
      </c>
      <c r="C229" s="451">
        <v>17897.18951400189</v>
      </c>
      <c r="D229" s="451">
        <v>308254.29709514871</v>
      </c>
      <c r="E229" s="441">
        <v>199237.06280346774</v>
      </c>
      <c r="F229" s="451">
        <v>40352.304131586483</v>
      </c>
      <c r="G229" s="451">
        <v>17411.989887654821</v>
      </c>
      <c r="H229" s="451">
        <v>1001170.9324430939</v>
      </c>
      <c r="I229" s="441"/>
      <c r="J229" s="441">
        <v>4593.1522580000001</v>
      </c>
      <c r="K229" s="441">
        <v>3852.6022349999998</v>
      </c>
      <c r="L229" s="441">
        <v>4235.7526003999992</v>
      </c>
      <c r="M229" s="451">
        <v>1013852.4395364939</v>
      </c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30"/>
      <c r="Z229" s="330"/>
      <c r="AA229" s="330"/>
      <c r="AB229" s="330"/>
      <c r="AC229" s="330"/>
      <c r="AD229" s="330"/>
      <c r="AE229" s="330"/>
      <c r="AF229" s="330"/>
      <c r="AG229" s="330"/>
      <c r="AH229" s="330"/>
      <c r="AI229" s="330"/>
      <c r="AJ229" s="330"/>
      <c r="AK229" s="330"/>
    </row>
    <row r="230" spans="1:37" ht="10.5" customHeight="1">
      <c r="A230" s="328" t="s">
        <v>499</v>
      </c>
      <c r="B230" s="451">
        <v>149213.73519007739</v>
      </c>
      <c r="C230" s="451">
        <v>5809.0243326471809</v>
      </c>
      <c r="D230" s="451">
        <v>140827.86401709815</v>
      </c>
      <c r="E230" s="441">
        <v>75450.656932527243</v>
      </c>
      <c r="F230" s="451">
        <v>9938.1510748862565</v>
      </c>
      <c r="G230" s="451">
        <v>3371.4059604112795</v>
      </c>
      <c r="H230" s="451">
        <v>384610.83750764746</v>
      </c>
      <c r="I230" s="441"/>
      <c r="J230" s="441">
        <v>4593.1522580000001</v>
      </c>
      <c r="K230" s="441">
        <v>3852.6022349999998</v>
      </c>
      <c r="L230" s="441">
        <v>4235.7526003999992</v>
      </c>
      <c r="M230" s="451">
        <v>397292.34460104746</v>
      </c>
      <c r="N230" s="333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30"/>
      <c r="AB230" s="330"/>
      <c r="AC230" s="330"/>
      <c r="AD230" s="330"/>
      <c r="AE230" s="330"/>
      <c r="AF230" s="330"/>
      <c r="AG230" s="330"/>
      <c r="AH230" s="330"/>
      <c r="AI230" s="330"/>
      <c r="AJ230" s="330"/>
      <c r="AK230" s="330"/>
    </row>
    <row r="231" spans="1:37" ht="10.5" customHeight="1">
      <c r="A231" s="328" t="s">
        <v>494</v>
      </c>
      <c r="B231" s="451">
        <v>7373.2931702331298</v>
      </c>
      <c r="C231" s="451">
        <v>747.61616649873167</v>
      </c>
      <c r="D231" s="451">
        <v>3073.6044394956571</v>
      </c>
      <c r="E231" s="441">
        <v>6213.5009325272404</v>
      </c>
      <c r="F231" s="451">
        <v>818.89821844037442</v>
      </c>
      <c r="G231" s="451">
        <v>119.15627964756413</v>
      </c>
      <c r="H231" s="451">
        <v>18346.069206842651</v>
      </c>
      <c r="I231" s="441"/>
      <c r="J231" s="441">
        <v>27.30113200000028</v>
      </c>
      <c r="K231" s="441">
        <v>130.28123499999992</v>
      </c>
      <c r="L231" s="441">
        <v>0</v>
      </c>
      <c r="M231" s="451">
        <v>18503.65157384265</v>
      </c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30"/>
      <c r="AB231" s="330"/>
      <c r="AC231" s="330"/>
      <c r="AD231" s="330"/>
      <c r="AE231" s="330"/>
      <c r="AF231" s="330"/>
      <c r="AG231" s="330"/>
      <c r="AH231" s="330"/>
      <c r="AI231" s="330"/>
      <c r="AJ231" s="330"/>
      <c r="AK231" s="330"/>
    </row>
    <row r="232" spans="1:37" ht="10.5" customHeight="1">
      <c r="A232" s="328" t="s">
        <v>495</v>
      </c>
      <c r="B232" s="451">
        <v>141840.44201984425</v>
      </c>
      <c r="C232" s="451">
        <v>5061.4081661484488</v>
      </c>
      <c r="D232" s="451">
        <v>137754.2595776025</v>
      </c>
      <c r="E232" s="441">
        <v>69237.156000000003</v>
      </c>
      <c r="F232" s="451">
        <v>9119.2528564458826</v>
      </c>
      <c r="G232" s="451">
        <v>3252.2496807637153</v>
      </c>
      <c r="H232" s="451">
        <v>366264.76830080483</v>
      </c>
      <c r="I232" s="441"/>
      <c r="J232" s="451">
        <v>4565.8511259999996</v>
      </c>
      <c r="K232" s="441">
        <v>3722.3209999999999</v>
      </c>
      <c r="L232" s="441">
        <v>4235.7526003999992</v>
      </c>
      <c r="M232" s="451">
        <v>378788.69302720483</v>
      </c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30"/>
      <c r="AB232" s="330"/>
      <c r="AC232" s="330"/>
      <c r="AD232" s="330"/>
      <c r="AE232" s="330"/>
      <c r="AF232" s="330"/>
      <c r="AG232" s="330"/>
      <c r="AH232" s="330"/>
      <c r="AI232" s="330"/>
      <c r="AJ232" s="330"/>
      <c r="AK232" s="330"/>
    </row>
    <row r="233" spans="1:37" ht="10.5" customHeight="1">
      <c r="A233" s="328" t="s">
        <v>496</v>
      </c>
      <c r="B233" s="441"/>
      <c r="C233" s="441"/>
      <c r="D233" s="441"/>
      <c r="E233" s="441"/>
      <c r="F233" s="441"/>
      <c r="G233" s="441"/>
      <c r="H233" s="441"/>
      <c r="I233" s="441"/>
      <c r="J233" s="441"/>
      <c r="K233" s="441"/>
      <c r="L233" s="441"/>
      <c r="M233" s="441">
        <v>4917.84</v>
      </c>
      <c r="O233" s="330"/>
      <c r="P233" s="330"/>
      <c r="Q233" s="330"/>
      <c r="R233" s="330"/>
      <c r="S233" s="330"/>
      <c r="T233" s="330"/>
      <c r="U233" s="330"/>
      <c r="V233" s="330"/>
      <c r="W233" s="330"/>
      <c r="X233" s="330"/>
      <c r="Y233" s="330"/>
      <c r="Z233" s="330"/>
      <c r="AA233" s="330"/>
      <c r="AB233" s="330"/>
      <c r="AC233" s="330"/>
      <c r="AD233" s="330"/>
      <c r="AE233" s="330"/>
      <c r="AF233" s="330"/>
      <c r="AG233" s="330"/>
      <c r="AH233" s="330"/>
      <c r="AI233" s="330"/>
      <c r="AJ233" s="330"/>
      <c r="AK233" s="330"/>
    </row>
    <row r="234" spans="1:37" ht="10.5" customHeight="1" thickBot="1">
      <c r="A234" s="425" t="s">
        <v>497</v>
      </c>
      <c r="B234" s="452"/>
      <c r="C234" s="452"/>
      <c r="D234" s="452"/>
      <c r="E234" s="452"/>
      <c r="F234" s="452"/>
      <c r="G234" s="452"/>
      <c r="H234" s="452"/>
      <c r="I234" s="452"/>
      <c r="J234" s="452"/>
      <c r="K234" s="452"/>
      <c r="L234" s="452"/>
      <c r="M234" s="456">
        <v>373870.85302720481</v>
      </c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330"/>
      <c r="AB234" s="330"/>
      <c r="AC234" s="330"/>
      <c r="AD234" s="330"/>
      <c r="AE234" s="330"/>
      <c r="AF234" s="330"/>
      <c r="AG234" s="330"/>
      <c r="AH234" s="330"/>
      <c r="AI234" s="330"/>
      <c r="AJ234" s="330"/>
      <c r="AK234" s="330"/>
    </row>
    <row r="235" spans="1:37" ht="10.5" customHeight="1" thickTop="1">
      <c r="A235" s="457"/>
      <c r="B235" s="450"/>
      <c r="C235" s="450"/>
      <c r="D235" s="450"/>
      <c r="E235" s="450"/>
      <c r="F235" s="450"/>
      <c r="G235" s="450"/>
      <c r="H235" s="450"/>
      <c r="I235" s="450"/>
      <c r="J235" s="450"/>
      <c r="K235" s="450"/>
      <c r="L235" s="450"/>
      <c r="M235" s="450"/>
      <c r="Z235" s="443"/>
      <c r="AA235" s="443"/>
      <c r="AB235" s="443"/>
      <c r="AC235" s="443"/>
      <c r="AD235" s="443"/>
      <c r="AE235" s="443"/>
      <c r="AF235" s="443"/>
      <c r="AG235" s="443"/>
      <c r="AH235" s="443"/>
      <c r="AI235" s="443"/>
      <c r="AJ235" s="443"/>
      <c r="AK235" s="443"/>
    </row>
    <row r="236" spans="1:37" s="306" customFormat="1" ht="11.25" customHeight="1">
      <c r="A236" s="458"/>
      <c r="B236" s="333"/>
      <c r="C236" s="333"/>
      <c r="D236" s="333"/>
      <c r="E236" s="333"/>
      <c r="F236" s="333"/>
      <c r="G236" s="333"/>
      <c r="H236" s="333"/>
      <c r="I236" s="333"/>
      <c r="J236" s="333"/>
      <c r="K236" s="333"/>
      <c r="L236" s="333"/>
      <c r="M236" s="333"/>
    </row>
    <row r="237" spans="1:37" s="310" customFormat="1" ht="21.75" customHeight="1">
      <c r="A237" s="304" t="s">
        <v>508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</row>
    <row r="238" spans="1:37" s="310" customFormat="1" thickBot="1">
      <c r="A238" s="1783" t="s">
        <v>373</v>
      </c>
      <c r="B238" s="1783"/>
      <c r="C238" s="1783"/>
      <c r="D238" s="1783"/>
      <c r="E238" s="1783"/>
      <c r="F238" s="1783"/>
      <c r="G238" s="1783"/>
      <c r="H238" s="1783"/>
      <c r="I238" s="1783"/>
      <c r="J238" s="1783"/>
      <c r="K238" s="1783"/>
      <c r="L238" s="1783"/>
      <c r="M238" s="1783"/>
    </row>
    <row r="239" spans="1:37" ht="14.25" customHeight="1" thickTop="1">
      <c r="A239" s="396"/>
      <c r="B239" s="1778" t="s">
        <v>477</v>
      </c>
      <c r="C239" s="1778"/>
      <c r="D239" s="1778"/>
      <c r="E239" s="1778"/>
      <c r="F239" s="1778"/>
      <c r="G239" s="1778"/>
      <c r="H239" s="1778"/>
      <c r="I239" s="396"/>
      <c r="J239" s="1778" t="s">
        <v>478</v>
      </c>
      <c r="K239" s="1778"/>
      <c r="L239" s="1778"/>
      <c r="M239" s="1778"/>
    </row>
    <row r="240" spans="1:37" ht="10.5" customHeight="1">
      <c r="A240" s="323"/>
      <c r="B240" s="400" t="s">
        <v>126</v>
      </c>
      <c r="C240" s="400" t="s">
        <v>187</v>
      </c>
      <c r="D240" s="400" t="s">
        <v>14</v>
      </c>
      <c r="E240" s="400" t="s">
        <v>0</v>
      </c>
      <c r="F240" s="400" t="s">
        <v>479</v>
      </c>
      <c r="G240" s="400" t="s">
        <v>374</v>
      </c>
      <c r="H240" s="400" t="s">
        <v>133</v>
      </c>
      <c r="I240" s="400"/>
      <c r="J240" s="400" t="s">
        <v>480</v>
      </c>
      <c r="K240" s="400" t="s">
        <v>480</v>
      </c>
      <c r="L240" s="400" t="s">
        <v>114</v>
      </c>
      <c r="M240" s="401" t="s">
        <v>133</v>
      </c>
    </row>
    <row r="241" spans="1:37" ht="10.5" customHeight="1">
      <c r="B241" s="324"/>
      <c r="C241" s="324"/>
      <c r="D241" s="324"/>
      <c r="E241" s="324"/>
      <c r="F241" s="400" t="s">
        <v>481</v>
      </c>
      <c r="G241" s="407" t="s">
        <v>482</v>
      </c>
      <c r="H241" s="324"/>
      <c r="I241" s="324"/>
      <c r="J241" s="400" t="s">
        <v>483</v>
      </c>
      <c r="K241" s="400" t="s">
        <v>484</v>
      </c>
      <c r="L241" s="407" t="s">
        <v>485</v>
      </c>
      <c r="M241" s="400" t="s">
        <v>486</v>
      </c>
    </row>
    <row r="242" spans="1:37" ht="10.5" customHeight="1">
      <c r="A242" s="437"/>
      <c r="B242" s="414"/>
      <c r="C242" s="414"/>
      <c r="D242" s="414"/>
      <c r="E242" s="414"/>
      <c r="F242" s="438" t="s">
        <v>487</v>
      </c>
      <c r="G242" s="414"/>
      <c r="H242" s="414"/>
      <c r="I242" s="414"/>
      <c r="J242" s="415" t="s">
        <v>488</v>
      </c>
      <c r="K242" s="415" t="s">
        <v>489</v>
      </c>
      <c r="L242" s="414"/>
      <c r="M242" s="415" t="s">
        <v>490</v>
      </c>
    </row>
    <row r="243" spans="1:37" s="340" customFormat="1" ht="13.5" customHeight="1">
      <c r="A243" s="439">
        <v>2007</v>
      </c>
      <c r="B243" s="453"/>
      <c r="C243" s="453"/>
      <c r="D243" s="453"/>
      <c r="E243" s="453"/>
      <c r="F243" s="453"/>
      <c r="G243" s="453"/>
      <c r="H243" s="453"/>
      <c r="I243" s="453"/>
      <c r="J243" s="453"/>
      <c r="K243" s="453"/>
      <c r="L243" s="453"/>
      <c r="M243" s="453"/>
    </row>
    <row r="244" spans="1:37" ht="10.5" customHeight="1">
      <c r="A244" s="323" t="s">
        <v>509</v>
      </c>
      <c r="B244" s="441"/>
      <c r="C244" s="441"/>
      <c r="D244" s="441"/>
      <c r="E244" s="441"/>
      <c r="F244" s="441"/>
      <c r="G244" s="441"/>
      <c r="H244" s="441"/>
      <c r="I244" s="441"/>
      <c r="J244" s="441"/>
      <c r="K244" s="441"/>
      <c r="L244" s="441"/>
      <c r="M244" s="441"/>
    </row>
    <row r="245" spans="1:37" ht="10.5" customHeight="1">
      <c r="A245" s="328" t="s">
        <v>492</v>
      </c>
      <c r="B245" s="441">
        <v>371396.18674674298</v>
      </c>
      <c r="C245" s="441">
        <v>8718.2145783364922</v>
      </c>
      <c r="D245" s="441">
        <v>319836.46584224253</v>
      </c>
      <c r="E245" s="451">
        <v>163244.47683045061</v>
      </c>
      <c r="F245" s="441">
        <v>7271.2271900000005</v>
      </c>
      <c r="G245" s="441">
        <v>0</v>
      </c>
      <c r="H245" s="451">
        <v>870466.57118777256</v>
      </c>
      <c r="I245" s="441"/>
      <c r="J245" s="441">
        <v>4143.5790100000004</v>
      </c>
      <c r="K245" s="441">
        <v>3859.226181</v>
      </c>
      <c r="L245" s="451">
        <v>3568.836785</v>
      </c>
      <c r="M245" s="451">
        <v>882038.2131637726</v>
      </c>
      <c r="O245" s="330"/>
      <c r="P245" s="330"/>
      <c r="Q245" s="330"/>
      <c r="R245" s="330"/>
      <c r="S245" s="330"/>
      <c r="T245" s="330"/>
      <c r="U245" s="330"/>
      <c r="V245" s="330"/>
      <c r="W245" s="330"/>
      <c r="X245" s="330"/>
      <c r="Y245" s="330"/>
      <c r="Z245" s="330"/>
      <c r="AA245" s="330"/>
      <c r="AB245" s="330"/>
      <c r="AC245" s="330"/>
      <c r="AD245" s="330"/>
      <c r="AE245" s="330"/>
      <c r="AF245" s="330"/>
      <c r="AG245" s="330"/>
      <c r="AH245" s="330"/>
      <c r="AI245" s="330"/>
      <c r="AJ245" s="330"/>
      <c r="AK245" s="330"/>
    </row>
    <row r="246" spans="1:37" ht="10.5" customHeight="1">
      <c r="A246" s="328" t="s">
        <v>493</v>
      </c>
      <c r="B246" s="451">
        <v>132675.3202097828</v>
      </c>
      <c r="C246" s="451">
        <v>2400.7626921524643</v>
      </c>
      <c r="D246" s="441">
        <v>149345.94597440778</v>
      </c>
      <c r="E246" s="441">
        <v>63028.342696935004</v>
      </c>
      <c r="F246" s="451">
        <v>2387.9862899598402</v>
      </c>
      <c r="G246" s="441">
        <v>0</v>
      </c>
      <c r="H246" s="451">
        <v>349838.35786323791</v>
      </c>
      <c r="I246" s="441"/>
      <c r="J246" s="441">
        <v>4143.5790100000004</v>
      </c>
      <c r="K246" s="441">
        <v>3859.226181</v>
      </c>
      <c r="L246" s="451">
        <v>3568.836785</v>
      </c>
      <c r="M246" s="451">
        <v>361409.99983923789</v>
      </c>
      <c r="O246" s="330"/>
      <c r="P246" s="330"/>
      <c r="Q246" s="330"/>
      <c r="R246" s="330"/>
      <c r="S246" s="330"/>
      <c r="T246" s="330"/>
      <c r="U246" s="330"/>
      <c r="V246" s="330"/>
      <c r="W246" s="330"/>
      <c r="X246" s="330"/>
      <c r="Y246" s="330"/>
      <c r="Z246" s="330"/>
      <c r="AA246" s="330"/>
      <c r="AB246" s="330"/>
      <c r="AC246" s="330"/>
      <c r="AD246" s="330"/>
      <c r="AE246" s="330"/>
      <c r="AF246" s="330"/>
      <c r="AG246" s="330"/>
      <c r="AH246" s="330"/>
      <c r="AI246" s="330"/>
      <c r="AJ246" s="330"/>
      <c r="AK246" s="330"/>
    </row>
    <row r="247" spans="1:37" ht="10.5" customHeight="1">
      <c r="A247" s="328" t="s">
        <v>494</v>
      </c>
      <c r="B247" s="451">
        <v>6737.3748676843679</v>
      </c>
      <c r="C247" s="451">
        <v>404.80367306255289</v>
      </c>
      <c r="D247" s="441">
        <v>2894.0643509609217</v>
      </c>
      <c r="E247" s="441">
        <v>5779.4476969349998</v>
      </c>
      <c r="F247" s="451">
        <v>239.7560913704192</v>
      </c>
      <c r="G247" s="441">
        <v>0</v>
      </c>
      <c r="H247" s="451">
        <v>16055.446680013207</v>
      </c>
      <c r="I247" s="441"/>
      <c r="J247" s="441">
        <v>29.823910000000069</v>
      </c>
      <c r="K247" s="441">
        <v>13.46018099999992</v>
      </c>
      <c r="L247" s="441">
        <v>0</v>
      </c>
      <c r="M247" s="451">
        <v>16098.730771013206</v>
      </c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30"/>
      <c r="Z247" s="330"/>
      <c r="AA247" s="330"/>
      <c r="AB247" s="330"/>
      <c r="AC247" s="330"/>
      <c r="AD247" s="330"/>
      <c r="AE247" s="330"/>
      <c r="AF247" s="330"/>
      <c r="AG247" s="330"/>
      <c r="AH247" s="330"/>
      <c r="AI247" s="330"/>
      <c r="AJ247" s="330"/>
      <c r="AK247" s="330"/>
    </row>
    <row r="248" spans="1:37" ht="10.5" customHeight="1">
      <c r="A248" s="328" t="s">
        <v>495</v>
      </c>
      <c r="B248" s="451">
        <v>125937.94534209844</v>
      </c>
      <c r="C248" s="451">
        <v>1995.9590190899114</v>
      </c>
      <c r="D248" s="441">
        <v>146451.88162344685</v>
      </c>
      <c r="E248" s="441">
        <v>57248.895000000004</v>
      </c>
      <c r="F248" s="451">
        <v>2148.230198589421</v>
      </c>
      <c r="G248" s="441">
        <v>0</v>
      </c>
      <c r="H248" s="441">
        <v>333782.9111832247</v>
      </c>
      <c r="I248" s="441"/>
      <c r="J248" s="441">
        <v>4113.7551000000003</v>
      </c>
      <c r="K248" s="441">
        <v>3845.7660000000001</v>
      </c>
      <c r="L248" s="451">
        <v>3568.836785</v>
      </c>
      <c r="M248" s="451">
        <v>345311.2690682247</v>
      </c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30"/>
      <c r="AB248" s="330"/>
      <c r="AC248" s="330"/>
      <c r="AD248" s="330"/>
      <c r="AE248" s="330"/>
      <c r="AF248" s="330"/>
      <c r="AG248" s="330"/>
      <c r="AH248" s="330"/>
      <c r="AI248" s="330"/>
      <c r="AJ248" s="330"/>
      <c r="AK248" s="330"/>
    </row>
    <row r="249" spans="1:37" ht="10.5" customHeight="1">
      <c r="A249" s="328" t="s">
        <v>496</v>
      </c>
      <c r="B249" s="441"/>
      <c r="C249" s="441"/>
      <c r="D249" s="441"/>
      <c r="E249" s="441"/>
      <c r="F249" s="441"/>
      <c r="G249" s="441"/>
      <c r="H249" s="441"/>
      <c r="I249" s="441"/>
      <c r="J249" s="441"/>
      <c r="K249" s="441"/>
      <c r="L249" s="441"/>
      <c r="M249" s="441">
        <v>5071.2659999999996</v>
      </c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30"/>
      <c r="AB249" s="330"/>
      <c r="AC249" s="330"/>
      <c r="AD249" s="330"/>
      <c r="AE249" s="330"/>
      <c r="AF249" s="330"/>
      <c r="AG249" s="330"/>
      <c r="AH249" s="330"/>
      <c r="AI249" s="330"/>
      <c r="AJ249" s="330"/>
      <c r="AK249" s="330"/>
    </row>
    <row r="250" spans="1:37" ht="10.5" customHeight="1">
      <c r="A250" s="423" t="s">
        <v>497</v>
      </c>
      <c r="B250" s="449"/>
      <c r="C250" s="449"/>
      <c r="D250" s="449"/>
      <c r="E250" s="449"/>
      <c r="F250" s="449"/>
      <c r="G250" s="449"/>
      <c r="H250" s="449"/>
      <c r="I250" s="449"/>
      <c r="J250" s="449"/>
      <c r="K250" s="449"/>
      <c r="L250" s="449"/>
      <c r="M250" s="455">
        <v>340240.0030682247</v>
      </c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30"/>
      <c r="AB250" s="330"/>
      <c r="AC250" s="330"/>
      <c r="AD250" s="330"/>
      <c r="AE250" s="330"/>
      <c r="AF250" s="330"/>
      <c r="AG250" s="330"/>
      <c r="AH250" s="330"/>
      <c r="AI250" s="330"/>
      <c r="AJ250" s="330"/>
      <c r="AK250" s="330"/>
    </row>
    <row r="251" spans="1:37" ht="10.5" customHeight="1">
      <c r="A251" s="323" t="s">
        <v>510</v>
      </c>
      <c r="B251" s="441"/>
      <c r="C251" s="441"/>
      <c r="D251" s="441"/>
      <c r="E251" s="441"/>
      <c r="F251" s="441"/>
      <c r="G251" s="441"/>
      <c r="H251" s="441"/>
      <c r="I251" s="441"/>
      <c r="J251" s="441"/>
      <c r="K251" s="441"/>
      <c r="L251" s="441"/>
      <c r="M251" s="441"/>
      <c r="O251" s="330"/>
      <c r="P251" s="330"/>
      <c r="Q251" s="330"/>
      <c r="R251" s="330"/>
      <c r="S251" s="330"/>
      <c r="T251" s="330"/>
      <c r="U251" s="330"/>
      <c r="V251" s="330"/>
      <c r="W251" s="330"/>
      <c r="X251" s="330"/>
      <c r="Y251" s="330"/>
      <c r="Z251" s="330"/>
      <c r="AA251" s="330"/>
      <c r="AB251" s="330"/>
      <c r="AC251" s="330"/>
      <c r="AD251" s="330"/>
      <c r="AE251" s="330"/>
      <c r="AF251" s="330"/>
      <c r="AG251" s="330"/>
      <c r="AH251" s="330"/>
      <c r="AI251" s="330"/>
      <c r="AJ251" s="330"/>
      <c r="AK251" s="330"/>
    </row>
    <row r="252" spans="1:37" ht="11.5" customHeight="1">
      <c r="A252" s="328" t="s">
        <v>492</v>
      </c>
      <c r="B252" s="451">
        <v>10820.381323806476</v>
      </c>
      <c r="C252" s="451">
        <v>5921.1672025114676</v>
      </c>
      <c r="D252" s="451">
        <v>32898.230000000003</v>
      </c>
      <c r="E252" s="441">
        <v>0</v>
      </c>
      <c r="F252" s="451">
        <v>33194.307534110594</v>
      </c>
      <c r="G252" s="451">
        <v>14135.292809734256</v>
      </c>
      <c r="H252" s="451">
        <v>96969.378870162807</v>
      </c>
      <c r="I252" s="441"/>
      <c r="J252" s="441">
        <v>945.57699999999977</v>
      </c>
      <c r="K252" s="441">
        <v>0</v>
      </c>
      <c r="L252" s="451">
        <v>1719.0346999999992</v>
      </c>
      <c r="M252" s="451">
        <v>99633.990570162816</v>
      </c>
      <c r="O252" s="330"/>
      <c r="P252" s="330"/>
      <c r="Q252" s="330"/>
      <c r="R252" s="330"/>
      <c r="S252" s="330"/>
      <c r="T252" s="330"/>
      <c r="U252" s="330"/>
      <c r="V252" s="330"/>
      <c r="W252" s="330"/>
      <c r="X252" s="330"/>
      <c r="Y252" s="330"/>
      <c r="Z252" s="330"/>
      <c r="AA252" s="330"/>
      <c r="AB252" s="330"/>
      <c r="AC252" s="330"/>
      <c r="AD252" s="330"/>
      <c r="AE252" s="330"/>
      <c r="AF252" s="330"/>
      <c r="AG252" s="330"/>
      <c r="AH252" s="330"/>
      <c r="AI252" s="330"/>
      <c r="AJ252" s="330"/>
      <c r="AK252" s="330"/>
    </row>
    <row r="253" spans="1:37" ht="10.5" customHeight="1">
      <c r="A253" s="328" t="s">
        <v>499</v>
      </c>
      <c r="B253" s="451">
        <v>3869.7619999999997</v>
      </c>
      <c r="C253" s="451">
        <v>2331.1226537924636</v>
      </c>
      <c r="D253" s="451">
        <v>16437.823011263517</v>
      </c>
      <c r="E253" s="441">
        <v>0</v>
      </c>
      <c r="F253" s="451">
        <v>7588.9023000000025</v>
      </c>
      <c r="G253" s="451">
        <v>2742.1051059440215</v>
      </c>
      <c r="H253" s="451">
        <v>32969.715071000006</v>
      </c>
      <c r="I253" s="441"/>
      <c r="J253" s="441">
        <v>945.57699999999988</v>
      </c>
      <c r="K253" s="441">
        <v>0</v>
      </c>
      <c r="L253" s="451">
        <v>1719.0346999999992</v>
      </c>
      <c r="M253" s="451">
        <v>35634.326771</v>
      </c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30"/>
      <c r="AB253" s="330"/>
      <c r="AC253" s="330"/>
      <c r="AD253" s="330"/>
      <c r="AE253" s="330"/>
      <c r="AF253" s="330"/>
      <c r="AG253" s="330"/>
      <c r="AH253" s="330"/>
      <c r="AI253" s="330"/>
      <c r="AJ253" s="330"/>
      <c r="AK253" s="330"/>
    </row>
    <row r="254" spans="1:37" ht="10.5" customHeight="1">
      <c r="A254" s="328" t="s">
        <v>494</v>
      </c>
      <c r="B254" s="454">
        <v>207.32742399999961</v>
      </c>
      <c r="C254" s="454">
        <v>159.78979072282391</v>
      </c>
      <c r="D254" s="454">
        <v>509.41794401799416</v>
      </c>
      <c r="E254" s="441">
        <v>0</v>
      </c>
      <c r="F254" s="454">
        <v>614.9436599368928</v>
      </c>
      <c r="G254" s="454">
        <v>92.479800373133912</v>
      </c>
      <c r="H254" s="454">
        <v>1583.9586190508489</v>
      </c>
      <c r="I254" s="450"/>
      <c r="J254" s="450">
        <v>16.014349999999808</v>
      </c>
      <c r="K254" s="441">
        <v>0</v>
      </c>
      <c r="L254" s="441">
        <v>0</v>
      </c>
      <c r="M254" s="454">
        <v>1599.9729690508489</v>
      </c>
      <c r="N254" s="443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30"/>
      <c r="AB254" s="330"/>
      <c r="AC254" s="330"/>
      <c r="AD254" s="330"/>
      <c r="AE254" s="330"/>
      <c r="AF254" s="330"/>
      <c r="AG254" s="330"/>
      <c r="AH254" s="330"/>
      <c r="AI254" s="330"/>
      <c r="AJ254" s="330"/>
      <c r="AK254" s="330"/>
    </row>
    <row r="255" spans="1:37" ht="10.5" customHeight="1">
      <c r="A255" s="423" t="s">
        <v>500</v>
      </c>
      <c r="B255" s="455">
        <v>3662.4345760000001</v>
      </c>
      <c r="C255" s="455">
        <v>2171.3328630696396</v>
      </c>
      <c r="D255" s="455">
        <v>15928.405067245523</v>
      </c>
      <c r="E255" s="449">
        <v>0</v>
      </c>
      <c r="F255" s="455">
        <v>6973.9586400631097</v>
      </c>
      <c r="G255" s="455">
        <v>2649.6253055708876</v>
      </c>
      <c r="H255" s="455">
        <v>31385.756451949157</v>
      </c>
      <c r="I255" s="449"/>
      <c r="J255" s="449">
        <v>929.56265000000008</v>
      </c>
      <c r="K255" s="449">
        <v>0</v>
      </c>
      <c r="L255" s="455">
        <v>1719.0346999999992</v>
      </c>
      <c r="M255" s="455">
        <v>34034.353801949153</v>
      </c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330"/>
      <c r="Z255" s="330"/>
      <c r="AA255" s="330"/>
      <c r="AB255" s="330"/>
      <c r="AC255" s="330"/>
      <c r="AD255" s="330"/>
      <c r="AE255" s="330"/>
      <c r="AF255" s="330"/>
      <c r="AG255" s="330"/>
      <c r="AH255" s="330"/>
      <c r="AI255" s="330"/>
      <c r="AJ255" s="330"/>
      <c r="AK255" s="330"/>
    </row>
    <row r="256" spans="1:37" ht="10.5" customHeight="1">
      <c r="A256" s="323" t="s">
        <v>501</v>
      </c>
      <c r="B256" s="441"/>
      <c r="C256" s="441"/>
      <c r="D256" s="441"/>
      <c r="E256" s="441"/>
      <c r="F256" s="441"/>
      <c r="G256" s="441"/>
      <c r="H256" s="441"/>
      <c r="I256" s="441"/>
      <c r="J256" s="441"/>
      <c r="K256" s="441"/>
      <c r="L256" s="441"/>
      <c r="M256" s="441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30"/>
      <c r="AB256" s="330"/>
      <c r="AC256" s="330"/>
      <c r="AD256" s="330"/>
      <c r="AE256" s="330"/>
      <c r="AF256" s="330"/>
      <c r="AG256" s="330"/>
      <c r="AH256" s="330"/>
      <c r="AI256" s="330"/>
      <c r="AJ256" s="330"/>
      <c r="AK256" s="330"/>
    </row>
    <row r="257" spans="1:37" ht="10.5" customHeight="1">
      <c r="A257" s="328" t="s">
        <v>502</v>
      </c>
      <c r="B257" s="451">
        <v>382216.56807054946</v>
      </c>
      <c r="C257" s="451">
        <v>14639.38178084796</v>
      </c>
      <c r="D257" s="451">
        <v>352734.69584224257</v>
      </c>
      <c r="E257" s="451">
        <v>163244.47683045061</v>
      </c>
      <c r="F257" s="451">
        <v>40465.534724110592</v>
      </c>
      <c r="G257" s="451">
        <v>14135.292809734256</v>
      </c>
      <c r="H257" s="451">
        <v>967435.95005793532</v>
      </c>
      <c r="I257" s="441"/>
      <c r="J257" s="441">
        <v>5089.1560100000006</v>
      </c>
      <c r="K257" s="441">
        <v>3859.226181</v>
      </c>
      <c r="L257" s="451">
        <v>5287.8714849999997</v>
      </c>
      <c r="M257" s="451">
        <v>981672.20373393537</v>
      </c>
      <c r="O257" s="330"/>
      <c r="P257" s="330"/>
      <c r="Q257" s="330"/>
      <c r="R257" s="330"/>
      <c r="S257" s="330"/>
      <c r="T257" s="330"/>
      <c r="U257" s="330"/>
      <c r="V257" s="330"/>
      <c r="W257" s="330"/>
      <c r="X257" s="330"/>
      <c r="Y257" s="330"/>
      <c r="Z257" s="330"/>
      <c r="AA257" s="330"/>
      <c r="AB257" s="330"/>
      <c r="AC257" s="330"/>
      <c r="AD257" s="330"/>
      <c r="AE257" s="330"/>
      <c r="AF257" s="330"/>
      <c r="AG257" s="330"/>
      <c r="AH257" s="330"/>
      <c r="AI257" s="330"/>
      <c r="AJ257" s="330"/>
      <c r="AK257" s="330"/>
    </row>
    <row r="258" spans="1:37" ht="10.5" customHeight="1">
      <c r="A258" s="328" t="s">
        <v>499</v>
      </c>
      <c r="B258" s="441">
        <v>136545.08220978279</v>
      </c>
      <c r="C258" s="451">
        <v>4731.8853459449274</v>
      </c>
      <c r="D258" s="451">
        <v>165783.76898567128</v>
      </c>
      <c r="E258" s="441">
        <v>63028.342696935004</v>
      </c>
      <c r="F258" s="451">
        <v>9976.8885899598426</v>
      </c>
      <c r="G258" s="451">
        <v>2742.1051059440215</v>
      </c>
      <c r="H258" s="451">
        <v>382808.07293423789</v>
      </c>
      <c r="I258" s="441"/>
      <c r="J258" s="441">
        <v>5089.1560100000006</v>
      </c>
      <c r="K258" s="441">
        <v>3859.226181</v>
      </c>
      <c r="L258" s="451">
        <v>5287.8714849999997</v>
      </c>
      <c r="M258" s="451">
        <v>397044.32661023788</v>
      </c>
      <c r="N258" s="333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30"/>
      <c r="AB258" s="330"/>
      <c r="AC258" s="330"/>
      <c r="AD258" s="330"/>
      <c r="AE258" s="330"/>
      <c r="AF258" s="330"/>
      <c r="AG258" s="330"/>
      <c r="AH258" s="330"/>
      <c r="AI258" s="330"/>
      <c r="AJ258" s="330"/>
      <c r="AK258" s="330"/>
    </row>
    <row r="259" spans="1:37" ht="10.5" customHeight="1">
      <c r="A259" s="328" t="s">
        <v>494</v>
      </c>
      <c r="B259" s="451">
        <v>6944.7022916843671</v>
      </c>
      <c r="C259" s="451">
        <v>564.5934637853768</v>
      </c>
      <c r="D259" s="451">
        <v>3403.4822949789159</v>
      </c>
      <c r="E259" s="441">
        <v>5779.4476969349998</v>
      </c>
      <c r="F259" s="451">
        <v>854.699751307312</v>
      </c>
      <c r="G259" s="451">
        <v>92.479800373133912</v>
      </c>
      <c r="H259" s="451">
        <v>17639.405299064056</v>
      </c>
      <c r="I259" s="441"/>
      <c r="J259" s="441">
        <v>45.838259999999877</v>
      </c>
      <c r="K259" s="441">
        <v>13.46018099999992</v>
      </c>
      <c r="L259" s="441">
        <v>0</v>
      </c>
      <c r="M259" s="451">
        <v>17698.703740064055</v>
      </c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30"/>
      <c r="AB259" s="330"/>
      <c r="AC259" s="330"/>
      <c r="AD259" s="330"/>
      <c r="AE259" s="330"/>
      <c r="AF259" s="330"/>
      <c r="AG259" s="330"/>
      <c r="AH259" s="330"/>
      <c r="AI259" s="330"/>
      <c r="AJ259" s="330"/>
      <c r="AK259" s="330"/>
    </row>
    <row r="260" spans="1:37" ht="10.5" customHeight="1">
      <c r="A260" s="328" t="s">
        <v>495</v>
      </c>
      <c r="B260" s="451">
        <v>129600.37991809844</v>
      </c>
      <c r="C260" s="451">
        <v>4167.2918821595513</v>
      </c>
      <c r="D260" s="451">
        <v>162380.28669069239</v>
      </c>
      <c r="E260" s="441">
        <v>57248.895000000004</v>
      </c>
      <c r="F260" s="451">
        <v>9122.1888386525316</v>
      </c>
      <c r="G260" s="451">
        <v>2649.6253055708876</v>
      </c>
      <c r="H260" s="451">
        <v>365168.66763517389</v>
      </c>
      <c r="I260" s="441"/>
      <c r="J260" s="441">
        <v>5043.3177500000002</v>
      </c>
      <c r="K260" s="441">
        <v>3845.7660000000001</v>
      </c>
      <c r="L260" s="451">
        <v>5287.8714849999997</v>
      </c>
      <c r="M260" s="451">
        <v>379345.62287017389</v>
      </c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30"/>
      <c r="AB260" s="330"/>
      <c r="AC260" s="330"/>
      <c r="AD260" s="330"/>
      <c r="AE260" s="330"/>
      <c r="AF260" s="330"/>
      <c r="AG260" s="330"/>
      <c r="AH260" s="330"/>
      <c r="AI260" s="330"/>
      <c r="AJ260" s="330"/>
      <c r="AK260" s="330"/>
    </row>
    <row r="261" spans="1:37" ht="10.5" customHeight="1">
      <c r="A261" s="328" t="s">
        <v>496</v>
      </c>
      <c r="B261" s="441"/>
      <c r="C261" s="441"/>
      <c r="D261" s="441"/>
      <c r="E261" s="441"/>
      <c r="F261" s="441"/>
      <c r="G261" s="441"/>
      <c r="H261" s="441"/>
      <c r="I261" s="441"/>
      <c r="J261" s="441"/>
      <c r="K261" s="441"/>
      <c r="L261" s="441"/>
      <c r="M261" s="441">
        <v>5071.2659999999996</v>
      </c>
      <c r="O261" s="330"/>
      <c r="P261" s="330"/>
      <c r="Q261" s="330"/>
      <c r="R261" s="330"/>
      <c r="S261" s="330"/>
      <c r="T261" s="330"/>
      <c r="U261" s="330"/>
      <c r="V261" s="330"/>
      <c r="W261" s="330"/>
      <c r="X261" s="330"/>
      <c r="Y261" s="330"/>
      <c r="Z261" s="330"/>
      <c r="AA261" s="330"/>
      <c r="AB261" s="330"/>
      <c r="AC261" s="330"/>
      <c r="AD261" s="330"/>
      <c r="AE261" s="330"/>
      <c r="AF261" s="330"/>
      <c r="AG261" s="330"/>
      <c r="AH261" s="330"/>
      <c r="AI261" s="330"/>
      <c r="AJ261" s="330"/>
      <c r="AK261" s="330"/>
    </row>
    <row r="262" spans="1:37" ht="10.5" customHeight="1" thickBot="1">
      <c r="A262" s="425" t="s">
        <v>497</v>
      </c>
      <c r="B262" s="452"/>
      <c r="C262" s="452"/>
      <c r="D262" s="452"/>
      <c r="E262" s="452"/>
      <c r="F262" s="452"/>
      <c r="G262" s="452"/>
      <c r="H262" s="452"/>
      <c r="I262" s="452"/>
      <c r="J262" s="452"/>
      <c r="K262" s="452"/>
      <c r="L262" s="452"/>
      <c r="M262" s="456">
        <v>374274.35687017388</v>
      </c>
      <c r="O262" s="330"/>
      <c r="P262" s="330"/>
      <c r="Q262" s="330"/>
      <c r="R262" s="330"/>
      <c r="S262" s="330"/>
      <c r="T262" s="330"/>
      <c r="U262" s="330"/>
      <c r="V262" s="330"/>
      <c r="W262" s="330"/>
      <c r="X262" s="330"/>
      <c r="Y262" s="330"/>
      <c r="Z262" s="330"/>
      <c r="AA262" s="330"/>
      <c r="AB262" s="330"/>
      <c r="AC262" s="330"/>
      <c r="AD262" s="330"/>
      <c r="AE262" s="330"/>
      <c r="AF262" s="330"/>
      <c r="AG262" s="330"/>
      <c r="AH262" s="330"/>
      <c r="AI262" s="330"/>
      <c r="AJ262" s="330"/>
      <c r="AK262" s="330"/>
    </row>
    <row r="263" spans="1:37" s="340" customFormat="1" ht="13.5" customHeight="1" thickTop="1">
      <c r="A263" s="439">
        <v>2008</v>
      </c>
      <c r="B263" s="453"/>
      <c r="C263" s="453"/>
      <c r="D263" s="453"/>
      <c r="E263" s="453"/>
      <c r="F263" s="453"/>
      <c r="G263" s="453"/>
      <c r="H263" s="453"/>
      <c r="I263" s="453"/>
      <c r="J263" s="453"/>
      <c r="K263" s="453"/>
      <c r="L263" s="453"/>
      <c r="M263" s="453"/>
    </row>
    <row r="264" spans="1:37" ht="10.5" customHeight="1">
      <c r="A264" s="323" t="s">
        <v>509</v>
      </c>
      <c r="B264" s="441"/>
      <c r="C264" s="441"/>
      <c r="D264" s="441"/>
      <c r="E264" s="441"/>
      <c r="F264" s="441"/>
      <c r="G264" s="441"/>
      <c r="H264" s="441"/>
      <c r="I264" s="441"/>
      <c r="J264" s="441"/>
      <c r="K264" s="441"/>
      <c r="L264" s="441"/>
      <c r="M264" s="441"/>
    </row>
    <row r="265" spans="1:37" ht="10.5" customHeight="1">
      <c r="A265" s="328" t="s">
        <v>492</v>
      </c>
      <c r="B265" s="441">
        <v>336620.66668592318</v>
      </c>
      <c r="C265" s="441">
        <v>13485.672854073357</v>
      </c>
      <c r="D265" s="441">
        <v>344183.66171231715</v>
      </c>
      <c r="E265" s="441">
        <v>138508.48088968734</v>
      </c>
      <c r="F265" s="441">
        <v>8721.740239956458</v>
      </c>
      <c r="G265" s="441">
        <v>0</v>
      </c>
      <c r="H265" s="441">
        <v>841520.22238195734</v>
      </c>
      <c r="I265" s="441"/>
      <c r="J265" s="441">
        <v>4223.812807199999</v>
      </c>
      <c r="K265" s="441">
        <v>4088.9413800000007</v>
      </c>
      <c r="L265" s="441">
        <v>5357.3023684669988</v>
      </c>
      <c r="M265" s="441">
        <v>855190.2789376243</v>
      </c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30"/>
      <c r="AB265" s="330"/>
      <c r="AC265" s="330"/>
      <c r="AD265" s="330"/>
      <c r="AE265" s="330"/>
      <c r="AF265" s="330"/>
      <c r="AG265" s="330"/>
      <c r="AH265" s="330"/>
      <c r="AI265" s="330"/>
      <c r="AJ265" s="330"/>
      <c r="AK265" s="330"/>
    </row>
    <row r="266" spans="1:37" ht="10.5" customHeight="1">
      <c r="A266" s="328" t="s">
        <v>493</v>
      </c>
      <c r="B266" s="441">
        <v>121251.34408201941</v>
      </c>
      <c r="C266" s="441">
        <v>3666.9736194967227</v>
      </c>
      <c r="D266" s="441">
        <v>161578.75647814601</v>
      </c>
      <c r="E266" s="441">
        <v>52485.808334757006</v>
      </c>
      <c r="F266" s="441">
        <v>2631.2958548751403</v>
      </c>
      <c r="G266" s="441">
        <v>0</v>
      </c>
      <c r="H266" s="441">
        <v>341614.17836929427</v>
      </c>
      <c r="I266" s="441"/>
      <c r="J266" s="441">
        <v>4223.812807199999</v>
      </c>
      <c r="K266" s="441">
        <v>4088.9413800000007</v>
      </c>
      <c r="L266" s="441">
        <v>5357.3023684669988</v>
      </c>
      <c r="M266" s="441">
        <v>355284.23492496123</v>
      </c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30"/>
      <c r="AB266" s="330"/>
      <c r="AC266" s="330"/>
      <c r="AD266" s="330"/>
      <c r="AE266" s="330"/>
      <c r="AF266" s="330"/>
      <c r="AG266" s="330"/>
      <c r="AH266" s="330"/>
      <c r="AI266" s="330"/>
      <c r="AJ266" s="330"/>
      <c r="AK266" s="330"/>
    </row>
    <row r="267" spans="1:37" ht="10.5" customHeight="1">
      <c r="A267" s="328" t="s">
        <v>494</v>
      </c>
      <c r="B267" s="441">
        <v>6158.540217035581</v>
      </c>
      <c r="C267" s="441">
        <v>629.16849946139291</v>
      </c>
      <c r="D267" s="441">
        <v>2777.1464659068151</v>
      </c>
      <c r="E267" s="441">
        <v>4812.7393347570032</v>
      </c>
      <c r="F267" s="441">
        <v>264.1925214242583</v>
      </c>
      <c r="G267" s="441">
        <v>0</v>
      </c>
      <c r="H267" s="441">
        <v>14641.787038585055</v>
      </c>
      <c r="I267" s="441"/>
      <c r="J267" s="441">
        <v>14.731783582659773</v>
      </c>
      <c r="K267" s="441">
        <v>14.261380000000827</v>
      </c>
      <c r="L267" s="441">
        <v>0</v>
      </c>
      <c r="M267" s="441">
        <v>14670.780202167716</v>
      </c>
      <c r="O267" s="330"/>
      <c r="P267" s="330"/>
      <c r="Q267" s="330"/>
      <c r="R267" s="330"/>
      <c r="S267" s="330"/>
      <c r="T267" s="330"/>
      <c r="U267" s="330"/>
      <c r="V267" s="330"/>
      <c r="W267" s="330"/>
      <c r="X267" s="330"/>
      <c r="Y267" s="330"/>
      <c r="Z267" s="330"/>
      <c r="AA267" s="330"/>
      <c r="AB267" s="330"/>
      <c r="AC267" s="330"/>
      <c r="AD267" s="330"/>
      <c r="AE267" s="330"/>
      <c r="AF267" s="330"/>
      <c r="AG267" s="330"/>
      <c r="AH267" s="330"/>
      <c r="AI267" s="330"/>
      <c r="AJ267" s="330"/>
      <c r="AK267" s="330"/>
    </row>
    <row r="268" spans="1:37" ht="10.5" customHeight="1">
      <c r="A268" s="328" t="s">
        <v>495</v>
      </c>
      <c r="B268" s="441">
        <v>115092.80386498383</v>
      </c>
      <c r="C268" s="441">
        <v>3037.8051200353298</v>
      </c>
      <c r="D268" s="441">
        <v>158801.61001223919</v>
      </c>
      <c r="E268" s="441">
        <v>47673.069000000003</v>
      </c>
      <c r="F268" s="441">
        <v>2367.103333450882</v>
      </c>
      <c r="G268" s="441">
        <v>0</v>
      </c>
      <c r="H268" s="441">
        <v>326972.39133070922</v>
      </c>
      <c r="I268" s="441"/>
      <c r="J268" s="441">
        <v>4209.0810236173393</v>
      </c>
      <c r="K268" s="441">
        <v>4074.68</v>
      </c>
      <c r="L268" s="441">
        <v>5357.3023684669988</v>
      </c>
      <c r="M268" s="441">
        <v>340613.45472279354</v>
      </c>
      <c r="O268" s="330"/>
      <c r="P268" s="330"/>
      <c r="Q268" s="330"/>
      <c r="R268" s="330"/>
      <c r="S268" s="330"/>
      <c r="T268" s="330"/>
      <c r="U268" s="330"/>
      <c r="V268" s="330"/>
      <c r="W268" s="330"/>
      <c r="X268" s="330"/>
      <c r="Y268" s="330"/>
      <c r="Z268" s="330"/>
      <c r="AA268" s="330"/>
      <c r="AB268" s="330"/>
      <c r="AC268" s="330"/>
      <c r="AD268" s="330"/>
      <c r="AE268" s="330"/>
      <c r="AF268" s="330"/>
      <c r="AG268" s="330"/>
      <c r="AH268" s="330"/>
      <c r="AI268" s="330"/>
      <c r="AJ268" s="330"/>
      <c r="AK268" s="330"/>
    </row>
    <row r="269" spans="1:37" ht="10.5" customHeight="1">
      <c r="A269" s="328" t="s">
        <v>496</v>
      </c>
      <c r="B269" s="441"/>
      <c r="C269" s="441"/>
      <c r="D269" s="441"/>
      <c r="E269" s="441"/>
      <c r="F269" s="441"/>
      <c r="G269" s="441"/>
      <c r="H269" s="441"/>
      <c r="I269" s="441"/>
      <c r="J269" s="441"/>
      <c r="K269" s="441"/>
      <c r="L269" s="441"/>
      <c r="M269" s="441">
        <v>5371.3050000000003</v>
      </c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30"/>
      <c r="AB269" s="330"/>
      <c r="AC269" s="330"/>
      <c r="AD269" s="330"/>
      <c r="AE269" s="330"/>
      <c r="AF269" s="330"/>
      <c r="AG269" s="330"/>
      <c r="AH269" s="330"/>
      <c r="AI269" s="330"/>
      <c r="AJ269" s="330"/>
      <c r="AK269" s="330"/>
    </row>
    <row r="270" spans="1:37" ht="10.5" customHeight="1">
      <c r="A270" s="423" t="s">
        <v>497</v>
      </c>
      <c r="B270" s="449"/>
      <c r="C270" s="449"/>
      <c r="D270" s="449"/>
      <c r="E270" s="449"/>
      <c r="F270" s="449"/>
      <c r="G270" s="449"/>
      <c r="H270" s="449"/>
      <c r="I270" s="449"/>
      <c r="J270" s="449"/>
      <c r="K270" s="449"/>
      <c r="L270" s="449"/>
      <c r="M270" s="449">
        <v>335242.14972279355</v>
      </c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30"/>
      <c r="AB270" s="330"/>
      <c r="AC270" s="330"/>
      <c r="AD270" s="330"/>
      <c r="AE270" s="330"/>
      <c r="AF270" s="330"/>
      <c r="AG270" s="330"/>
      <c r="AH270" s="330"/>
      <c r="AI270" s="330"/>
      <c r="AJ270" s="330"/>
      <c r="AK270" s="330"/>
    </row>
    <row r="271" spans="1:37" ht="10.5" customHeight="1">
      <c r="A271" s="323" t="s">
        <v>510</v>
      </c>
      <c r="B271" s="441"/>
      <c r="C271" s="441"/>
      <c r="D271" s="441"/>
      <c r="E271" s="441"/>
      <c r="F271" s="441"/>
      <c r="G271" s="441"/>
      <c r="H271" s="441"/>
      <c r="I271" s="441"/>
      <c r="J271" s="441"/>
      <c r="K271" s="441"/>
      <c r="L271" s="441"/>
      <c r="M271" s="441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30"/>
      <c r="AB271" s="330"/>
      <c r="AC271" s="330"/>
      <c r="AD271" s="330"/>
      <c r="AE271" s="330"/>
      <c r="AF271" s="330"/>
      <c r="AG271" s="330"/>
      <c r="AH271" s="330"/>
      <c r="AI271" s="330"/>
      <c r="AJ271" s="330"/>
      <c r="AK271" s="330"/>
    </row>
    <row r="272" spans="1:37" ht="11.5" customHeight="1">
      <c r="A272" s="328" t="s">
        <v>492</v>
      </c>
      <c r="B272" s="441">
        <v>11055.399929066696</v>
      </c>
      <c r="C272" s="441">
        <v>7050.7234104464787</v>
      </c>
      <c r="D272" s="441">
        <v>33031.927304999997</v>
      </c>
      <c r="E272" s="441">
        <v>0</v>
      </c>
      <c r="F272" s="441">
        <v>32344.554763677097</v>
      </c>
      <c r="G272" s="441">
        <v>11348.130274892907</v>
      </c>
      <c r="H272" s="441">
        <v>94830.735683083185</v>
      </c>
      <c r="I272" s="441"/>
      <c r="J272" s="441">
        <v>944.12199999999996</v>
      </c>
      <c r="K272" s="441">
        <v>0</v>
      </c>
      <c r="L272" s="441">
        <v>1756.95</v>
      </c>
      <c r="M272" s="441">
        <v>97531.807683083185</v>
      </c>
      <c r="T272" s="330"/>
      <c r="U272" s="330"/>
      <c r="V272" s="330"/>
      <c r="W272" s="330"/>
      <c r="X272" s="330"/>
      <c r="Y272" s="330"/>
      <c r="Z272" s="330"/>
      <c r="AA272" s="330"/>
      <c r="AB272" s="330"/>
      <c r="AC272" s="330"/>
      <c r="AD272" s="330"/>
      <c r="AE272" s="330"/>
      <c r="AF272" s="330"/>
      <c r="AG272" s="330"/>
      <c r="AH272" s="330"/>
      <c r="AI272" s="330"/>
      <c r="AJ272" s="330"/>
      <c r="AK272" s="330"/>
    </row>
    <row r="273" spans="1:37" ht="10.5" customHeight="1">
      <c r="A273" s="328" t="s">
        <v>499</v>
      </c>
      <c r="B273" s="441">
        <v>4063.2869000000001</v>
      </c>
      <c r="C273" s="441">
        <v>2434.0878562624562</v>
      </c>
      <c r="D273" s="441">
        <v>15170.196937211573</v>
      </c>
      <c r="E273" s="441">
        <v>0</v>
      </c>
      <c r="F273" s="441">
        <v>7703.5211838240002</v>
      </c>
      <c r="G273" s="441">
        <v>2292.9094265259737</v>
      </c>
      <c r="H273" s="441">
        <v>31664.002303824</v>
      </c>
      <c r="I273" s="441"/>
      <c r="J273" s="441">
        <v>944.12199999999996</v>
      </c>
      <c r="K273" s="441">
        <v>0</v>
      </c>
      <c r="L273" s="441">
        <v>1756.95</v>
      </c>
      <c r="M273" s="441">
        <v>34365.074303823996</v>
      </c>
      <c r="T273" s="330"/>
      <c r="U273" s="330"/>
      <c r="V273" s="330"/>
      <c r="W273" s="330"/>
      <c r="X273" s="330"/>
      <c r="Y273" s="330"/>
      <c r="Z273" s="330"/>
      <c r="AA273" s="330"/>
      <c r="AB273" s="330"/>
      <c r="AC273" s="330"/>
      <c r="AD273" s="330"/>
      <c r="AE273" s="330"/>
      <c r="AF273" s="330"/>
      <c r="AG273" s="330"/>
      <c r="AH273" s="330"/>
      <c r="AI273" s="330"/>
      <c r="AJ273" s="330"/>
      <c r="AK273" s="330"/>
    </row>
    <row r="274" spans="1:37" ht="10.5" customHeight="1">
      <c r="A274" s="328" t="s">
        <v>494</v>
      </c>
      <c r="B274" s="450">
        <v>215.38437919999978</v>
      </c>
      <c r="C274" s="450">
        <v>167.6108159062801</v>
      </c>
      <c r="D274" s="450">
        <v>469.87673485050618</v>
      </c>
      <c r="E274" s="441">
        <v>0</v>
      </c>
      <c r="F274" s="450">
        <v>701.9292124731146</v>
      </c>
      <c r="G274" s="450">
        <v>74.616211314485554</v>
      </c>
      <c r="H274" s="450">
        <v>1629.4173537443821</v>
      </c>
      <c r="I274" s="450"/>
      <c r="J274" s="450">
        <v>16.875600000000077</v>
      </c>
      <c r="K274" s="441">
        <v>0</v>
      </c>
      <c r="L274" s="441">
        <v>0</v>
      </c>
      <c r="M274" s="450">
        <v>1646.2929537443822</v>
      </c>
      <c r="T274" s="330"/>
      <c r="U274" s="330"/>
      <c r="V274" s="330"/>
      <c r="W274" s="330"/>
      <c r="X274" s="330"/>
      <c r="Y274" s="330"/>
      <c r="Z274" s="330"/>
      <c r="AA274" s="330"/>
      <c r="AB274" s="330"/>
      <c r="AC274" s="330"/>
      <c r="AD274" s="330"/>
      <c r="AE274" s="330"/>
      <c r="AF274" s="330"/>
      <c r="AG274" s="330"/>
      <c r="AH274" s="330"/>
      <c r="AI274" s="330"/>
      <c r="AJ274" s="330"/>
      <c r="AK274" s="330"/>
    </row>
    <row r="275" spans="1:37" ht="10.5" customHeight="1">
      <c r="A275" s="423" t="s">
        <v>500</v>
      </c>
      <c r="B275" s="449">
        <v>3847.9025208000003</v>
      </c>
      <c r="C275" s="449">
        <v>2266.4770403561761</v>
      </c>
      <c r="D275" s="449">
        <v>14700.320202361067</v>
      </c>
      <c r="E275" s="449">
        <v>0</v>
      </c>
      <c r="F275" s="449">
        <v>7001.5919713508856</v>
      </c>
      <c r="G275" s="449">
        <v>2218.2932152114881</v>
      </c>
      <c r="H275" s="449">
        <v>30034.584950079618</v>
      </c>
      <c r="I275" s="449"/>
      <c r="J275" s="449">
        <v>927.24639999999988</v>
      </c>
      <c r="K275" s="449">
        <v>0</v>
      </c>
      <c r="L275" s="449">
        <v>1756.95</v>
      </c>
      <c r="M275" s="449">
        <v>32718.781350079618</v>
      </c>
      <c r="T275" s="330"/>
      <c r="U275" s="330"/>
      <c r="V275" s="330"/>
      <c r="W275" s="330"/>
      <c r="X275" s="330"/>
      <c r="Y275" s="330"/>
      <c r="Z275" s="330"/>
      <c r="AA275" s="330"/>
      <c r="AB275" s="330"/>
      <c r="AC275" s="330"/>
      <c r="AD275" s="330"/>
      <c r="AE275" s="330"/>
      <c r="AF275" s="330"/>
      <c r="AG275" s="330"/>
      <c r="AH275" s="330"/>
      <c r="AI275" s="330"/>
      <c r="AJ275" s="330"/>
      <c r="AK275" s="330"/>
    </row>
    <row r="276" spans="1:37" ht="10.5" customHeight="1">
      <c r="A276" s="323" t="s">
        <v>501</v>
      </c>
      <c r="B276" s="441"/>
      <c r="C276" s="441"/>
      <c r="D276" s="441"/>
      <c r="E276" s="441"/>
      <c r="F276" s="441"/>
      <c r="G276" s="441"/>
      <c r="H276" s="441"/>
      <c r="I276" s="441"/>
      <c r="J276" s="441"/>
      <c r="K276" s="441"/>
      <c r="L276" s="441"/>
      <c r="M276" s="441"/>
      <c r="T276" s="330"/>
      <c r="U276" s="330"/>
      <c r="V276" s="330"/>
      <c r="W276" s="330"/>
      <c r="X276" s="330"/>
      <c r="Y276" s="330"/>
      <c r="Z276" s="330"/>
      <c r="AA276" s="330"/>
      <c r="AB276" s="330"/>
      <c r="AC276" s="330"/>
      <c r="AD276" s="330"/>
      <c r="AE276" s="330"/>
      <c r="AF276" s="330"/>
      <c r="AG276" s="330"/>
      <c r="AH276" s="330"/>
      <c r="AI276" s="330"/>
      <c r="AJ276" s="330"/>
      <c r="AK276" s="330"/>
    </row>
    <row r="277" spans="1:37" ht="10.5" customHeight="1">
      <c r="A277" s="328" t="s">
        <v>502</v>
      </c>
      <c r="B277" s="441">
        <v>347676.06661498989</v>
      </c>
      <c r="C277" s="441">
        <v>20536.396264519833</v>
      </c>
      <c r="D277" s="441">
        <v>377215.58901731716</v>
      </c>
      <c r="E277" s="441">
        <v>138508.48088968734</v>
      </c>
      <c r="F277" s="441">
        <v>41066.295003633553</v>
      </c>
      <c r="G277" s="441">
        <v>11348.130274892907</v>
      </c>
      <c r="H277" s="441">
        <v>933781.61115875968</v>
      </c>
      <c r="I277" s="441"/>
      <c r="J277" s="441">
        <v>5167.9348071999993</v>
      </c>
      <c r="K277" s="441">
        <v>4088.9413800000007</v>
      </c>
      <c r="L277" s="441">
        <v>7114.2523684669986</v>
      </c>
      <c r="M277" s="441">
        <v>952722.08662070753</v>
      </c>
      <c r="T277" s="330"/>
      <c r="U277" s="330"/>
      <c r="V277" s="330"/>
      <c r="W277" s="330"/>
      <c r="X277" s="330"/>
      <c r="Y277" s="330"/>
      <c r="Z277" s="330"/>
      <c r="AA277" s="330"/>
      <c r="AB277" s="330"/>
      <c r="AC277" s="330"/>
      <c r="AD277" s="330"/>
      <c r="AE277" s="330"/>
      <c r="AF277" s="330"/>
      <c r="AG277" s="330"/>
      <c r="AH277" s="330"/>
      <c r="AI277" s="330"/>
      <c r="AJ277" s="330"/>
      <c r="AK277" s="330"/>
    </row>
    <row r="278" spans="1:37" ht="10.5" customHeight="1">
      <c r="A278" s="328" t="s">
        <v>499</v>
      </c>
      <c r="B278" s="441">
        <v>125314.63098201941</v>
      </c>
      <c r="C278" s="441">
        <v>6101.0614757591793</v>
      </c>
      <c r="D278" s="441">
        <v>176748.9534153576</v>
      </c>
      <c r="E278" s="441">
        <v>52485.808334757006</v>
      </c>
      <c r="F278" s="441">
        <v>10334.817038699141</v>
      </c>
      <c r="G278" s="441">
        <v>2292.9094265259737</v>
      </c>
      <c r="H278" s="441">
        <v>373278.18067311827</v>
      </c>
      <c r="I278" s="441"/>
      <c r="J278" s="441">
        <v>5167.9348071999993</v>
      </c>
      <c r="K278" s="441">
        <v>4088.9413800000007</v>
      </c>
      <c r="L278" s="441">
        <v>7114.2523684669986</v>
      </c>
      <c r="M278" s="441">
        <v>389649.30922878522</v>
      </c>
      <c r="N278" s="333"/>
      <c r="O278" s="330"/>
      <c r="P278" s="330"/>
      <c r="Q278" s="330"/>
      <c r="R278" s="330"/>
      <c r="S278" s="330"/>
      <c r="T278" s="330"/>
      <c r="U278" s="330"/>
      <c r="V278" s="330"/>
      <c r="W278" s="330"/>
      <c r="X278" s="330"/>
      <c r="Y278" s="330"/>
      <c r="Z278" s="330"/>
      <c r="AA278" s="330"/>
      <c r="AB278" s="330"/>
      <c r="AC278" s="330"/>
      <c r="AD278" s="330"/>
      <c r="AE278" s="330"/>
      <c r="AF278" s="330"/>
      <c r="AG278" s="330"/>
      <c r="AH278" s="330"/>
      <c r="AI278" s="330"/>
      <c r="AJ278" s="330"/>
      <c r="AK278" s="330"/>
    </row>
    <row r="279" spans="1:37" ht="10.5" customHeight="1">
      <c r="A279" s="328" t="s">
        <v>494</v>
      </c>
      <c r="B279" s="441">
        <v>6373.9245962355808</v>
      </c>
      <c r="C279" s="441">
        <v>796.77931536767301</v>
      </c>
      <c r="D279" s="441">
        <v>3247.0232007573213</v>
      </c>
      <c r="E279" s="441">
        <v>4812.7393347570032</v>
      </c>
      <c r="F279" s="441">
        <v>966.12173389737291</v>
      </c>
      <c r="G279" s="441">
        <v>74.616211314485554</v>
      </c>
      <c r="H279" s="441">
        <v>16271.204392329437</v>
      </c>
      <c r="I279" s="441"/>
      <c r="J279" s="441">
        <v>31.60738358265985</v>
      </c>
      <c r="K279" s="441">
        <v>14.261380000000827</v>
      </c>
      <c r="L279" s="441">
        <v>0</v>
      </c>
      <c r="M279" s="441">
        <v>16317.073155912098</v>
      </c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330"/>
      <c r="Z279" s="330"/>
      <c r="AA279" s="330"/>
      <c r="AB279" s="330"/>
      <c r="AC279" s="330"/>
      <c r="AD279" s="330"/>
      <c r="AE279" s="330"/>
      <c r="AF279" s="330"/>
      <c r="AG279" s="330"/>
      <c r="AH279" s="330"/>
      <c r="AI279" s="330"/>
      <c r="AJ279" s="330"/>
      <c r="AK279" s="330"/>
    </row>
    <row r="280" spans="1:37" ht="10.5" customHeight="1">
      <c r="A280" s="328" t="s">
        <v>495</v>
      </c>
      <c r="B280" s="441">
        <v>118940.70638578382</v>
      </c>
      <c r="C280" s="441">
        <v>5304.2821603915054</v>
      </c>
      <c r="D280" s="441">
        <v>173501.93021460026</v>
      </c>
      <c r="E280" s="441">
        <v>47673.069000000003</v>
      </c>
      <c r="F280" s="441">
        <v>9368.6953048017676</v>
      </c>
      <c r="G280" s="441">
        <v>2218.2932152114881</v>
      </c>
      <c r="H280" s="441">
        <v>357006.97628078883</v>
      </c>
      <c r="I280" s="441"/>
      <c r="J280" s="441">
        <v>5136.3274236173393</v>
      </c>
      <c r="K280" s="441">
        <v>4074.68</v>
      </c>
      <c r="L280" s="441">
        <v>7114.2523684669986</v>
      </c>
      <c r="M280" s="441">
        <v>373332.23607287317</v>
      </c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30"/>
      <c r="AB280" s="330"/>
      <c r="AC280" s="330"/>
      <c r="AD280" s="330"/>
      <c r="AE280" s="330"/>
      <c r="AF280" s="330"/>
      <c r="AG280" s="330"/>
      <c r="AH280" s="330"/>
      <c r="AI280" s="330"/>
      <c r="AJ280" s="330"/>
      <c r="AK280" s="330"/>
    </row>
    <row r="281" spans="1:37" ht="10.5" customHeight="1">
      <c r="A281" s="328" t="s">
        <v>496</v>
      </c>
      <c r="B281" s="441"/>
      <c r="C281" s="441"/>
      <c r="D281" s="441"/>
      <c r="E281" s="441"/>
      <c r="F281" s="441"/>
      <c r="G281" s="441"/>
      <c r="H281" s="441"/>
      <c r="I281" s="441"/>
      <c r="J281" s="441"/>
      <c r="K281" s="441"/>
      <c r="L281" s="441"/>
      <c r="M281" s="441">
        <v>5371.3050000000003</v>
      </c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30"/>
      <c r="AB281" s="330"/>
      <c r="AC281" s="330"/>
      <c r="AD281" s="330"/>
      <c r="AE281" s="330"/>
      <c r="AF281" s="330"/>
      <c r="AG281" s="330"/>
      <c r="AH281" s="330"/>
      <c r="AI281" s="330"/>
      <c r="AJ281" s="330"/>
      <c r="AK281" s="330"/>
    </row>
    <row r="282" spans="1:37" ht="10.5" customHeight="1" thickBot="1">
      <c r="A282" s="425" t="s">
        <v>497</v>
      </c>
      <c r="B282" s="452"/>
      <c r="C282" s="452"/>
      <c r="D282" s="452"/>
      <c r="E282" s="452"/>
      <c r="F282" s="452"/>
      <c r="G282" s="452"/>
      <c r="H282" s="452"/>
      <c r="I282" s="452"/>
      <c r="J282" s="452"/>
      <c r="K282" s="452"/>
      <c r="L282" s="452"/>
      <c r="M282" s="452">
        <v>367960.93107287318</v>
      </c>
      <c r="O282" s="330"/>
      <c r="P282" s="330"/>
      <c r="Q282" s="330"/>
      <c r="R282" s="330"/>
      <c r="S282" s="330"/>
      <c r="T282" s="330"/>
      <c r="U282" s="330"/>
      <c r="V282" s="330"/>
      <c r="W282" s="330"/>
      <c r="X282" s="330"/>
      <c r="Y282" s="330"/>
      <c r="Z282" s="330"/>
      <c r="AA282" s="330"/>
      <c r="AB282" s="330"/>
      <c r="AC282" s="330"/>
      <c r="AD282" s="330"/>
      <c r="AE282" s="330"/>
      <c r="AF282" s="330"/>
      <c r="AG282" s="330"/>
      <c r="AH282" s="330"/>
      <c r="AI282" s="330"/>
      <c r="AJ282" s="330"/>
      <c r="AK282" s="330"/>
    </row>
    <row r="283" spans="1:37" ht="14" thickTop="1">
      <c r="A283" s="457"/>
      <c r="B283" s="459"/>
      <c r="C283" s="459"/>
      <c r="D283" s="459"/>
      <c r="E283" s="459"/>
      <c r="F283" s="459"/>
      <c r="G283" s="459"/>
      <c r="H283" s="459"/>
      <c r="I283" s="459"/>
      <c r="J283" s="459"/>
      <c r="K283" s="459"/>
      <c r="L283" s="459"/>
      <c r="M283" s="459"/>
    </row>
    <row r="284" spans="1:37" ht="14" thickBot="1">
      <c r="A284" s="460" t="s">
        <v>272</v>
      </c>
      <c r="B284" s="461"/>
      <c r="C284" s="1781">
        <v>2004</v>
      </c>
      <c r="D284" s="1781"/>
      <c r="E284" s="1782">
        <v>2005</v>
      </c>
      <c r="F284" s="1782"/>
      <c r="G284" s="1781">
        <v>2006</v>
      </c>
      <c r="H284" s="1781"/>
      <c r="I284" s="462"/>
      <c r="J284" s="1782">
        <v>2007</v>
      </c>
      <c r="K284" s="1782"/>
      <c r="L284" s="1781">
        <v>2008</v>
      </c>
      <c r="M284" s="1781"/>
    </row>
    <row r="285" spans="1:37" s="340" customFormat="1" ht="11.5" customHeight="1" thickTop="1">
      <c r="A285" s="334"/>
      <c r="B285" s="316"/>
      <c r="C285" s="463" t="s">
        <v>511</v>
      </c>
      <c r="D285" s="463" t="s">
        <v>512</v>
      </c>
      <c r="E285" s="463" t="s">
        <v>511</v>
      </c>
      <c r="F285" s="463" t="s">
        <v>512</v>
      </c>
      <c r="G285" s="463" t="s">
        <v>511</v>
      </c>
      <c r="H285" s="463" t="s">
        <v>512</v>
      </c>
      <c r="I285" s="463"/>
      <c r="J285" s="463" t="s">
        <v>511</v>
      </c>
      <c r="K285" s="463" t="s">
        <v>512</v>
      </c>
      <c r="L285" s="463" t="s">
        <v>511</v>
      </c>
      <c r="M285" s="463" t="s">
        <v>512</v>
      </c>
    </row>
    <row r="286" spans="1:37" ht="10.5" customHeight="1">
      <c r="C286" s="463" t="s">
        <v>513</v>
      </c>
      <c r="D286" s="463"/>
      <c r="E286" s="463" t="s">
        <v>513</v>
      </c>
      <c r="F286" s="463"/>
      <c r="G286" s="463" t="s">
        <v>513</v>
      </c>
      <c r="H286" s="463"/>
      <c r="I286" s="463"/>
      <c r="J286" s="463" t="s">
        <v>513</v>
      </c>
      <c r="K286" s="463"/>
      <c r="L286" s="463" t="s">
        <v>513</v>
      </c>
      <c r="M286" s="463"/>
    </row>
    <row r="287" spans="1:37" ht="10.5" customHeight="1">
      <c r="C287" s="463" t="s">
        <v>514</v>
      </c>
      <c r="D287" s="463"/>
      <c r="E287" s="463" t="s">
        <v>514</v>
      </c>
      <c r="F287" s="463"/>
      <c r="G287" s="463" t="s">
        <v>514</v>
      </c>
      <c r="H287" s="463"/>
      <c r="I287" s="463"/>
      <c r="J287" s="463" t="s">
        <v>514</v>
      </c>
      <c r="K287" s="463"/>
      <c r="L287" s="463" t="s">
        <v>514</v>
      </c>
      <c r="M287" s="463"/>
    </row>
    <row r="288" spans="1:37" s="340" customFormat="1" ht="11.5" customHeight="1">
      <c r="A288" s="437"/>
      <c r="B288" s="464"/>
      <c r="C288" s="465" t="s">
        <v>515</v>
      </c>
      <c r="D288" s="466"/>
      <c r="E288" s="465" t="s">
        <v>515</v>
      </c>
      <c r="F288" s="466"/>
      <c r="G288" s="465" t="s">
        <v>515</v>
      </c>
      <c r="H288" s="467"/>
      <c r="I288" s="465"/>
      <c r="J288" s="465" t="s">
        <v>515</v>
      </c>
      <c r="K288" s="467"/>
      <c r="L288" s="465" t="s">
        <v>515</v>
      </c>
      <c r="M288" s="467"/>
    </row>
    <row r="289" spans="1:13" ht="10.5" customHeight="1">
      <c r="A289" s="380" t="s">
        <v>516</v>
      </c>
      <c r="B289" s="340"/>
      <c r="C289" s="468"/>
      <c r="D289" s="468"/>
      <c r="E289" s="468"/>
      <c r="F289" s="468"/>
      <c r="G289" s="468"/>
      <c r="H289" s="468"/>
      <c r="I289" s="468"/>
      <c r="J289" s="468"/>
      <c r="K289" s="468"/>
      <c r="L289" s="468"/>
      <c r="M289" s="468"/>
    </row>
    <row r="290" spans="1:13" ht="10.5" customHeight="1">
      <c r="A290" s="328" t="s">
        <v>517</v>
      </c>
      <c r="C290" s="444">
        <v>140575.74328143988</v>
      </c>
      <c r="D290" s="444">
        <v>131182</v>
      </c>
      <c r="E290" s="444">
        <v>143149.37128507753</v>
      </c>
      <c r="F290" s="444">
        <v>130689</v>
      </c>
      <c r="G290" s="469">
        <v>159740.50677552022</v>
      </c>
      <c r="H290" s="444">
        <v>118495</v>
      </c>
      <c r="I290" s="469">
        <v>118495</v>
      </c>
      <c r="J290" s="454">
        <v>146984.01516630291</v>
      </c>
      <c r="K290" s="444">
        <v>139826</v>
      </c>
      <c r="L290" s="450">
        <v>130394.37003453728</v>
      </c>
      <c r="M290" s="444">
        <v>158734</v>
      </c>
    </row>
    <row r="291" spans="1:13" s="340" customFormat="1" ht="11.5" customHeight="1">
      <c r="A291" s="423" t="s">
        <v>495</v>
      </c>
      <c r="B291" s="464"/>
      <c r="C291" s="445">
        <v>133606.57323177886</v>
      </c>
      <c r="D291" s="445">
        <v>128983</v>
      </c>
      <c r="E291" s="445">
        <v>135998.6500980992</v>
      </c>
      <c r="F291" s="445">
        <v>128179</v>
      </c>
      <c r="G291" s="470">
        <v>151162.70059194393</v>
      </c>
      <c r="H291" s="445">
        <v>116398</v>
      </c>
      <c r="I291" s="445">
        <v>116398</v>
      </c>
      <c r="J291" s="449">
        <v>138973.01618322468</v>
      </c>
      <c r="K291" s="445">
        <v>137561</v>
      </c>
      <c r="L291" s="449">
        <v>123074.3223307092</v>
      </c>
      <c r="M291" s="445">
        <v>156225</v>
      </c>
    </row>
    <row r="292" spans="1:13" ht="10.5" customHeight="1">
      <c r="A292" s="380" t="s">
        <v>518</v>
      </c>
      <c r="B292" s="340"/>
      <c r="C292" s="471"/>
      <c r="D292" s="471"/>
      <c r="E292" s="471"/>
      <c r="F292" s="471"/>
      <c r="G292" s="471"/>
      <c r="H292" s="471"/>
      <c r="I292" s="471"/>
      <c r="J292" s="453"/>
      <c r="K292" s="471"/>
      <c r="L292" s="306"/>
      <c r="M292" s="314"/>
    </row>
    <row r="293" spans="1:13" ht="10.5" customHeight="1">
      <c r="A293" s="328" t="s">
        <v>517</v>
      </c>
      <c r="C293" s="469">
        <v>20888.223917891028</v>
      </c>
      <c r="D293" s="444">
        <v>11852</v>
      </c>
      <c r="E293" s="352">
        <v>20347.823029999996</v>
      </c>
      <c r="F293" s="352">
        <v>11792</v>
      </c>
      <c r="G293" s="454">
        <v>19363.673799600012</v>
      </c>
      <c r="H293" s="352">
        <v>11561</v>
      </c>
      <c r="I293" s="472">
        <v>11561</v>
      </c>
      <c r="J293" s="454">
        <v>21453.715071000006</v>
      </c>
      <c r="K293" s="352">
        <v>11516</v>
      </c>
      <c r="L293" s="333">
        <v>20655.002303824</v>
      </c>
      <c r="M293" s="352">
        <v>11009</v>
      </c>
    </row>
    <row r="294" spans="1:13" ht="10.5" customHeight="1">
      <c r="A294" s="423" t="s">
        <v>495</v>
      </c>
      <c r="B294" s="464"/>
      <c r="C294" s="470">
        <v>20046.025089978208</v>
      </c>
      <c r="D294" s="445">
        <v>11260</v>
      </c>
      <c r="E294" s="344">
        <v>19493.569675408879</v>
      </c>
      <c r="F294" s="344">
        <v>11204</v>
      </c>
      <c r="G294" s="455">
        <v>18482.911708860895</v>
      </c>
      <c r="H294" s="344">
        <v>10984</v>
      </c>
      <c r="I294" s="473">
        <v>10984</v>
      </c>
      <c r="J294" s="455">
        <v>20444.756451949157</v>
      </c>
      <c r="K294" s="344">
        <v>10941</v>
      </c>
      <c r="L294" s="335">
        <v>19574.584950079618</v>
      </c>
      <c r="M294" s="344">
        <v>10460</v>
      </c>
    </row>
    <row r="295" spans="1:13" ht="10.5" customHeight="1">
      <c r="A295" s="380" t="s">
        <v>501</v>
      </c>
      <c r="B295" s="340"/>
      <c r="C295" s="447"/>
      <c r="D295" s="447"/>
      <c r="E295" s="474"/>
      <c r="F295" s="474"/>
      <c r="G295" s="453"/>
      <c r="H295" s="474"/>
      <c r="I295" s="471"/>
      <c r="J295" s="453"/>
      <c r="K295" s="474"/>
      <c r="L295" s="330"/>
      <c r="M295" s="329"/>
    </row>
    <row r="296" spans="1:13" ht="10.5" customHeight="1">
      <c r="A296" s="328" t="s">
        <v>517</v>
      </c>
      <c r="C296" s="475">
        <v>161463.96719933092</v>
      </c>
      <c r="D296" s="442">
        <v>143034</v>
      </c>
      <c r="E296" s="329">
        <v>163497.19431507753</v>
      </c>
      <c r="F296" s="329">
        <v>142481</v>
      </c>
      <c r="G296" s="451">
        <v>179104.18057512023</v>
      </c>
      <c r="H296" s="329">
        <v>130056</v>
      </c>
      <c r="I296" s="476">
        <v>130056</v>
      </c>
      <c r="J296" s="451">
        <v>168437.73023730292</v>
      </c>
      <c r="K296" s="329">
        <v>151342</v>
      </c>
      <c r="L296" s="333">
        <v>151049.37233836128</v>
      </c>
      <c r="M296" s="352">
        <v>169743</v>
      </c>
    </row>
    <row r="297" spans="1:13" ht="11.25" customHeight="1" thickBot="1">
      <c r="A297" s="425" t="s">
        <v>495</v>
      </c>
      <c r="B297" s="477"/>
      <c r="C297" s="478">
        <v>153652.59832175708</v>
      </c>
      <c r="D297" s="446">
        <v>140243</v>
      </c>
      <c r="E297" s="479">
        <v>155492.21977350808</v>
      </c>
      <c r="F297" s="479">
        <v>139383</v>
      </c>
      <c r="G297" s="456">
        <v>169645.61230080482</v>
      </c>
      <c r="H297" s="479">
        <v>127382</v>
      </c>
      <c r="I297" s="480">
        <v>127382</v>
      </c>
      <c r="J297" s="456">
        <v>159417.77263517384</v>
      </c>
      <c r="K297" s="479">
        <v>148502</v>
      </c>
      <c r="L297" s="426">
        <v>142648.90728078882</v>
      </c>
      <c r="M297" s="479">
        <v>166685</v>
      </c>
    </row>
    <row r="298" spans="1:13" ht="10.5" customHeight="1" thickTop="1">
      <c r="A298" s="457"/>
      <c r="B298" s="316"/>
      <c r="C298" s="450"/>
      <c r="D298" s="450"/>
      <c r="E298" s="450"/>
      <c r="F298" s="450"/>
      <c r="G298" s="450"/>
      <c r="H298" s="450"/>
      <c r="I298" s="481"/>
      <c r="J298" s="482"/>
      <c r="K298" s="482"/>
      <c r="L298" s="482"/>
      <c r="M298" s="482"/>
    </row>
    <row r="299" spans="1:13" s="306" customFormat="1" ht="10.5" customHeight="1">
      <c r="A299" s="388" t="s">
        <v>519</v>
      </c>
      <c r="B299" s="324"/>
      <c r="C299" s="324"/>
      <c r="D299" s="324"/>
      <c r="E299" s="324"/>
      <c r="F299" s="324"/>
      <c r="G299" s="324"/>
      <c r="H299" s="324"/>
      <c r="I299" s="324"/>
      <c r="J299" s="334"/>
      <c r="K299" s="334"/>
      <c r="L299" s="334"/>
      <c r="M299" s="334"/>
    </row>
    <row r="300" spans="1:13" s="310" customFormat="1" ht="10.5" customHeight="1">
      <c r="A300" s="388" t="s">
        <v>520</v>
      </c>
      <c r="B300" s="483"/>
      <c r="C300" s="483"/>
      <c r="D300" s="483"/>
      <c r="E300" s="483"/>
      <c r="F300" s="483"/>
      <c r="G300" s="483"/>
      <c r="H300" s="483"/>
      <c r="I300" s="483"/>
      <c r="J300" s="483"/>
      <c r="K300" s="483"/>
      <c r="L300" s="483"/>
      <c r="M300" s="483"/>
    </row>
    <row r="301" spans="1:13" s="306" customFormat="1" ht="10.5" customHeight="1">
      <c r="A301" s="388" t="s">
        <v>521</v>
      </c>
      <c r="B301" s="334"/>
      <c r="C301" s="334"/>
      <c r="D301" s="334"/>
      <c r="E301" s="334"/>
      <c r="F301" s="334"/>
      <c r="G301" s="334"/>
      <c r="H301" s="334"/>
      <c r="I301" s="334"/>
      <c r="J301" s="334"/>
      <c r="K301" s="334"/>
      <c r="L301" s="334"/>
      <c r="M301" s="334"/>
    </row>
    <row r="302" spans="1:13" s="306" customFormat="1" ht="10.5" customHeight="1">
      <c r="A302" s="388" t="s">
        <v>522</v>
      </c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</row>
    <row r="303" spans="1:13" s="310" customFormat="1" ht="10.5" customHeight="1">
      <c r="A303" s="388" t="s">
        <v>468</v>
      </c>
      <c r="B303" s="483"/>
      <c r="C303" s="483"/>
      <c r="D303" s="483"/>
      <c r="E303" s="483"/>
      <c r="F303" s="483"/>
      <c r="G303" s="483"/>
      <c r="H303" s="483"/>
      <c r="I303" s="483"/>
      <c r="J303" s="483"/>
      <c r="K303" s="483"/>
      <c r="L303" s="483"/>
      <c r="M303" s="483"/>
    </row>
    <row r="304" spans="1:13" s="306" customFormat="1" ht="10.5" customHeight="1">
      <c r="A304" s="388" t="s">
        <v>523</v>
      </c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</row>
    <row r="305" spans="1:1" s="306" customFormat="1" ht="10.5" customHeight="1">
      <c r="A305" s="388" t="s">
        <v>524</v>
      </c>
    </row>
  </sheetData>
  <mergeCells count="17">
    <mergeCell ref="B111:H111"/>
    <mergeCell ref="J111:M111"/>
    <mergeCell ref="A238:M238"/>
    <mergeCell ref="B239:H239"/>
    <mergeCell ref="J239:M239"/>
    <mergeCell ref="C284:D284"/>
    <mergeCell ref="E284:F284"/>
    <mergeCell ref="G284:H284"/>
    <mergeCell ref="J284:K284"/>
    <mergeCell ref="L284:M284"/>
    <mergeCell ref="B67:H67"/>
    <mergeCell ref="J67:M67"/>
    <mergeCell ref="B3:H3"/>
    <mergeCell ref="J3:M3"/>
    <mergeCell ref="N3:Z3"/>
    <mergeCell ref="O4:U4"/>
    <mergeCell ref="W4:Y4"/>
  </mergeCells>
  <pageMargins left="0.51181102362204722" right="0.51181102362204722" top="0.51181102362204722" bottom="0.39370078740157483" header="0.27559055118110237" footer="0.19685039370078741"/>
  <pageSetup paperSize="9" scale="30" orientation="portrait"/>
  <headerFooter alignWithMargins="0">
    <oddHeader>&amp;R&amp;"Arial,Bold"ELECTRICITY</oddHeader>
    <oddFooter>&amp;C&amp;P</oddFooter>
  </headerFooter>
  <rowBreaks count="1" manualBreakCount="1">
    <brk id="235" max="12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 enableFormatConditionsCalculation="0">
    <pageSetUpPr fitToPage="1"/>
  </sheetPr>
  <dimension ref="A1:AJ72"/>
  <sheetViews>
    <sheetView workbookViewId="0"/>
  </sheetViews>
  <sheetFormatPr baseColWidth="10" defaultColWidth="8.83203125" defaultRowHeight="13" x14ac:dyDescent="0"/>
  <cols>
    <col min="1" max="1" width="19.1640625" style="125" customWidth="1"/>
    <col min="2" max="3" width="8.5" style="125" customWidth="1"/>
    <col min="4" max="4" width="16.5" style="125" customWidth="1"/>
    <col min="5" max="5" width="15" style="125" customWidth="1"/>
    <col min="6" max="6" width="8.83203125" style="125"/>
    <col min="7" max="7" width="13.83203125" style="125" customWidth="1"/>
    <col min="8" max="8" width="3.5" style="125" hidden="1" customWidth="1"/>
    <col min="9" max="9" width="2.5" style="125" customWidth="1"/>
    <col min="10" max="10" width="13.6640625" style="125" customWidth="1"/>
    <col min="11" max="11" width="11.5" style="125" customWidth="1"/>
    <col min="12" max="14" width="12" style="125" customWidth="1"/>
    <col min="15" max="15" width="12.33203125" style="125" customWidth="1"/>
    <col min="16" max="16" width="2.5" style="125" customWidth="1"/>
    <col min="17" max="17" width="22" style="186" customWidth="1"/>
    <col min="18" max="256" width="8.83203125" style="125"/>
    <col min="257" max="257" width="19.1640625" style="125" customWidth="1"/>
    <col min="258" max="259" width="8.5" style="125" customWidth="1"/>
    <col min="260" max="260" width="16.5" style="125" customWidth="1"/>
    <col min="261" max="261" width="15" style="125" customWidth="1"/>
    <col min="262" max="262" width="8.83203125" style="125"/>
    <col min="263" max="263" width="13.83203125" style="125" customWidth="1"/>
    <col min="264" max="264" width="0" style="125" hidden="1" customWidth="1"/>
    <col min="265" max="265" width="2.5" style="125" customWidth="1"/>
    <col min="266" max="266" width="13.6640625" style="125" customWidth="1"/>
    <col min="267" max="267" width="11.5" style="125" customWidth="1"/>
    <col min="268" max="270" width="12" style="125" customWidth="1"/>
    <col min="271" max="271" width="12.33203125" style="125" customWidth="1"/>
    <col min="272" max="272" width="2.5" style="125" customWidth="1"/>
    <col min="273" max="273" width="22" style="125" customWidth="1"/>
    <col min="274" max="512" width="8.83203125" style="125"/>
    <col min="513" max="513" width="19.1640625" style="125" customWidth="1"/>
    <col min="514" max="515" width="8.5" style="125" customWidth="1"/>
    <col min="516" max="516" width="16.5" style="125" customWidth="1"/>
    <col min="517" max="517" width="15" style="125" customWidth="1"/>
    <col min="518" max="518" width="8.83203125" style="125"/>
    <col min="519" max="519" width="13.83203125" style="125" customWidth="1"/>
    <col min="520" max="520" width="0" style="125" hidden="1" customWidth="1"/>
    <col min="521" max="521" width="2.5" style="125" customWidth="1"/>
    <col min="522" max="522" width="13.6640625" style="125" customWidth="1"/>
    <col min="523" max="523" width="11.5" style="125" customWidth="1"/>
    <col min="524" max="526" width="12" style="125" customWidth="1"/>
    <col min="527" max="527" width="12.33203125" style="125" customWidth="1"/>
    <col min="528" max="528" width="2.5" style="125" customWidth="1"/>
    <col min="529" max="529" width="22" style="125" customWidth="1"/>
    <col min="530" max="768" width="8.83203125" style="125"/>
    <col min="769" max="769" width="19.1640625" style="125" customWidth="1"/>
    <col min="770" max="771" width="8.5" style="125" customWidth="1"/>
    <col min="772" max="772" width="16.5" style="125" customWidth="1"/>
    <col min="773" max="773" width="15" style="125" customWidth="1"/>
    <col min="774" max="774" width="8.83203125" style="125"/>
    <col min="775" max="775" width="13.83203125" style="125" customWidth="1"/>
    <col min="776" max="776" width="0" style="125" hidden="1" customWidth="1"/>
    <col min="777" max="777" width="2.5" style="125" customWidth="1"/>
    <col min="778" max="778" width="13.6640625" style="125" customWidth="1"/>
    <col min="779" max="779" width="11.5" style="125" customWidth="1"/>
    <col min="780" max="782" width="12" style="125" customWidth="1"/>
    <col min="783" max="783" width="12.33203125" style="125" customWidth="1"/>
    <col min="784" max="784" width="2.5" style="125" customWidth="1"/>
    <col min="785" max="785" width="22" style="125" customWidth="1"/>
    <col min="786" max="1024" width="8.83203125" style="125"/>
    <col min="1025" max="1025" width="19.1640625" style="125" customWidth="1"/>
    <col min="1026" max="1027" width="8.5" style="125" customWidth="1"/>
    <col min="1028" max="1028" width="16.5" style="125" customWidth="1"/>
    <col min="1029" max="1029" width="15" style="125" customWidth="1"/>
    <col min="1030" max="1030" width="8.83203125" style="125"/>
    <col min="1031" max="1031" width="13.83203125" style="125" customWidth="1"/>
    <col min="1032" max="1032" width="0" style="125" hidden="1" customWidth="1"/>
    <col min="1033" max="1033" width="2.5" style="125" customWidth="1"/>
    <col min="1034" max="1034" width="13.6640625" style="125" customWidth="1"/>
    <col min="1035" max="1035" width="11.5" style="125" customWidth="1"/>
    <col min="1036" max="1038" width="12" style="125" customWidth="1"/>
    <col min="1039" max="1039" width="12.33203125" style="125" customWidth="1"/>
    <col min="1040" max="1040" width="2.5" style="125" customWidth="1"/>
    <col min="1041" max="1041" width="22" style="125" customWidth="1"/>
    <col min="1042" max="1280" width="8.83203125" style="125"/>
    <col min="1281" max="1281" width="19.1640625" style="125" customWidth="1"/>
    <col min="1282" max="1283" width="8.5" style="125" customWidth="1"/>
    <col min="1284" max="1284" width="16.5" style="125" customWidth="1"/>
    <col min="1285" max="1285" width="15" style="125" customWidth="1"/>
    <col min="1286" max="1286" width="8.83203125" style="125"/>
    <col min="1287" max="1287" width="13.83203125" style="125" customWidth="1"/>
    <col min="1288" max="1288" width="0" style="125" hidden="1" customWidth="1"/>
    <col min="1289" max="1289" width="2.5" style="125" customWidth="1"/>
    <col min="1290" max="1290" width="13.6640625" style="125" customWidth="1"/>
    <col min="1291" max="1291" width="11.5" style="125" customWidth="1"/>
    <col min="1292" max="1294" width="12" style="125" customWidth="1"/>
    <col min="1295" max="1295" width="12.33203125" style="125" customWidth="1"/>
    <col min="1296" max="1296" width="2.5" style="125" customWidth="1"/>
    <col min="1297" max="1297" width="22" style="125" customWidth="1"/>
    <col min="1298" max="1536" width="8.83203125" style="125"/>
    <col min="1537" max="1537" width="19.1640625" style="125" customWidth="1"/>
    <col min="1538" max="1539" width="8.5" style="125" customWidth="1"/>
    <col min="1540" max="1540" width="16.5" style="125" customWidth="1"/>
    <col min="1541" max="1541" width="15" style="125" customWidth="1"/>
    <col min="1542" max="1542" width="8.83203125" style="125"/>
    <col min="1543" max="1543" width="13.83203125" style="125" customWidth="1"/>
    <col min="1544" max="1544" width="0" style="125" hidden="1" customWidth="1"/>
    <col min="1545" max="1545" width="2.5" style="125" customWidth="1"/>
    <col min="1546" max="1546" width="13.6640625" style="125" customWidth="1"/>
    <col min="1547" max="1547" width="11.5" style="125" customWidth="1"/>
    <col min="1548" max="1550" width="12" style="125" customWidth="1"/>
    <col min="1551" max="1551" width="12.33203125" style="125" customWidth="1"/>
    <col min="1552" max="1552" width="2.5" style="125" customWidth="1"/>
    <col min="1553" max="1553" width="22" style="125" customWidth="1"/>
    <col min="1554" max="1792" width="8.83203125" style="125"/>
    <col min="1793" max="1793" width="19.1640625" style="125" customWidth="1"/>
    <col min="1794" max="1795" width="8.5" style="125" customWidth="1"/>
    <col min="1796" max="1796" width="16.5" style="125" customWidth="1"/>
    <col min="1797" max="1797" width="15" style="125" customWidth="1"/>
    <col min="1798" max="1798" width="8.83203125" style="125"/>
    <col min="1799" max="1799" width="13.83203125" style="125" customWidth="1"/>
    <col min="1800" max="1800" width="0" style="125" hidden="1" customWidth="1"/>
    <col min="1801" max="1801" width="2.5" style="125" customWidth="1"/>
    <col min="1802" max="1802" width="13.6640625" style="125" customWidth="1"/>
    <col min="1803" max="1803" width="11.5" style="125" customWidth="1"/>
    <col min="1804" max="1806" width="12" style="125" customWidth="1"/>
    <col min="1807" max="1807" width="12.33203125" style="125" customWidth="1"/>
    <col min="1808" max="1808" width="2.5" style="125" customWidth="1"/>
    <col min="1809" max="1809" width="22" style="125" customWidth="1"/>
    <col min="1810" max="2048" width="8.83203125" style="125"/>
    <col min="2049" max="2049" width="19.1640625" style="125" customWidth="1"/>
    <col min="2050" max="2051" width="8.5" style="125" customWidth="1"/>
    <col min="2052" max="2052" width="16.5" style="125" customWidth="1"/>
    <col min="2053" max="2053" width="15" style="125" customWidth="1"/>
    <col min="2054" max="2054" width="8.83203125" style="125"/>
    <col min="2055" max="2055" width="13.83203125" style="125" customWidth="1"/>
    <col min="2056" max="2056" width="0" style="125" hidden="1" customWidth="1"/>
    <col min="2057" max="2057" width="2.5" style="125" customWidth="1"/>
    <col min="2058" max="2058" width="13.6640625" style="125" customWidth="1"/>
    <col min="2059" max="2059" width="11.5" style="125" customWidth="1"/>
    <col min="2060" max="2062" width="12" style="125" customWidth="1"/>
    <col min="2063" max="2063" width="12.33203125" style="125" customWidth="1"/>
    <col min="2064" max="2064" width="2.5" style="125" customWidth="1"/>
    <col min="2065" max="2065" width="22" style="125" customWidth="1"/>
    <col min="2066" max="2304" width="8.83203125" style="125"/>
    <col min="2305" max="2305" width="19.1640625" style="125" customWidth="1"/>
    <col min="2306" max="2307" width="8.5" style="125" customWidth="1"/>
    <col min="2308" max="2308" width="16.5" style="125" customWidth="1"/>
    <col min="2309" max="2309" width="15" style="125" customWidth="1"/>
    <col min="2310" max="2310" width="8.83203125" style="125"/>
    <col min="2311" max="2311" width="13.83203125" style="125" customWidth="1"/>
    <col min="2312" max="2312" width="0" style="125" hidden="1" customWidth="1"/>
    <col min="2313" max="2313" width="2.5" style="125" customWidth="1"/>
    <col min="2314" max="2314" width="13.6640625" style="125" customWidth="1"/>
    <col min="2315" max="2315" width="11.5" style="125" customWidth="1"/>
    <col min="2316" max="2318" width="12" style="125" customWidth="1"/>
    <col min="2319" max="2319" width="12.33203125" style="125" customWidth="1"/>
    <col min="2320" max="2320" width="2.5" style="125" customWidth="1"/>
    <col min="2321" max="2321" width="22" style="125" customWidth="1"/>
    <col min="2322" max="2560" width="8.83203125" style="125"/>
    <col min="2561" max="2561" width="19.1640625" style="125" customWidth="1"/>
    <col min="2562" max="2563" width="8.5" style="125" customWidth="1"/>
    <col min="2564" max="2564" width="16.5" style="125" customWidth="1"/>
    <col min="2565" max="2565" width="15" style="125" customWidth="1"/>
    <col min="2566" max="2566" width="8.83203125" style="125"/>
    <col min="2567" max="2567" width="13.83203125" style="125" customWidth="1"/>
    <col min="2568" max="2568" width="0" style="125" hidden="1" customWidth="1"/>
    <col min="2569" max="2569" width="2.5" style="125" customWidth="1"/>
    <col min="2570" max="2570" width="13.6640625" style="125" customWidth="1"/>
    <col min="2571" max="2571" width="11.5" style="125" customWidth="1"/>
    <col min="2572" max="2574" width="12" style="125" customWidth="1"/>
    <col min="2575" max="2575" width="12.33203125" style="125" customWidth="1"/>
    <col min="2576" max="2576" width="2.5" style="125" customWidth="1"/>
    <col min="2577" max="2577" width="22" style="125" customWidth="1"/>
    <col min="2578" max="2816" width="8.83203125" style="125"/>
    <col min="2817" max="2817" width="19.1640625" style="125" customWidth="1"/>
    <col min="2818" max="2819" width="8.5" style="125" customWidth="1"/>
    <col min="2820" max="2820" width="16.5" style="125" customWidth="1"/>
    <col min="2821" max="2821" width="15" style="125" customWidth="1"/>
    <col min="2822" max="2822" width="8.83203125" style="125"/>
    <col min="2823" max="2823" width="13.83203125" style="125" customWidth="1"/>
    <col min="2824" max="2824" width="0" style="125" hidden="1" customWidth="1"/>
    <col min="2825" max="2825" width="2.5" style="125" customWidth="1"/>
    <col min="2826" max="2826" width="13.6640625" style="125" customWidth="1"/>
    <col min="2827" max="2827" width="11.5" style="125" customWidth="1"/>
    <col min="2828" max="2830" width="12" style="125" customWidth="1"/>
    <col min="2831" max="2831" width="12.33203125" style="125" customWidth="1"/>
    <col min="2832" max="2832" width="2.5" style="125" customWidth="1"/>
    <col min="2833" max="2833" width="22" style="125" customWidth="1"/>
    <col min="2834" max="3072" width="8.83203125" style="125"/>
    <col min="3073" max="3073" width="19.1640625" style="125" customWidth="1"/>
    <col min="3074" max="3075" width="8.5" style="125" customWidth="1"/>
    <col min="3076" max="3076" width="16.5" style="125" customWidth="1"/>
    <col min="3077" max="3077" width="15" style="125" customWidth="1"/>
    <col min="3078" max="3078" width="8.83203125" style="125"/>
    <col min="3079" max="3079" width="13.83203125" style="125" customWidth="1"/>
    <col min="3080" max="3080" width="0" style="125" hidden="1" customWidth="1"/>
    <col min="3081" max="3081" width="2.5" style="125" customWidth="1"/>
    <col min="3082" max="3082" width="13.6640625" style="125" customWidth="1"/>
    <col min="3083" max="3083" width="11.5" style="125" customWidth="1"/>
    <col min="3084" max="3086" width="12" style="125" customWidth="1"/>
    <col min="3087" max="3087" width="12.33203125" style="125" customWidth="1"/>
    <col min="3088" max="3088" width="2.5" style="125" customWidth="1"/>
    <col min="3089" max="3089" width="22" style="125" customWidth="1"/>
    <col min="3090" max="3328" width="8.83203125" style="125"/>
    <col min="3329" max="3329" width="19.1640625" style="125" customWidth="1"/>
    <col min="3330" max="3331" width="8.5" style="125" customWidth="1"/>
    <col min="3332" max="3332" width="16.5" style="125" customWidth="1"/>
    <col min="3333" max="3333" width="15" style="125" customWidth="1"/>
    <col min="3334" max="3334" width="8.83203125" style="125"/>
    <col min="3335" max="3335" width="13.83203125" style="125" customWidth="1"/>
    <col min="3336" max="3336" width="0" style="125" hidden="1" customWidth="1"/>
    <col min="3337" max="3337" width="2.5" style="125" customWidth="1"/>
    <col min="3338" max="3338" width="13.6640625" style="125" customWidth="1"/>
    <col min="3339" max="3339" width="11.5" style="125" customWidth="1"/>
    <col min="3340" max="3342" width="12" style="125" customWidth="1"/>
    <col min="3343" max="3343" width="12.33203125" style="125" customWidth="1"/>
    <col min="3344" max="3344" width="2.5" style="125" customWidth="1"/>
    <col min="3345" max="3345" width="22" style="125" customWidth="1"/>
    <col min="3346" max="3584" width="8.83203125" style="125"/>
    <col min="3585" max="3585" width="19.1640625" style="125" customWidth="1"/>
    <col min="3586" max="3587" width="8.5" style="125" customWidth="1"/>
    <col min="3588" max="3588" width="16.5" style="125" customWidth="1"/>
    <col min="3589" max="3589" width="15" style="125" customWidth="1"/>
    <col min="3590" max="3590" width="8.83203125" style="125"/>
    <col min="3591" max="3591" width="13.83203125" style="125" customWidth="1"/>
    <col min="3592" max="3592" width="0" style="125" hidden="1" customWidth="1"/>
    <col min="3593" max="3593" width="2.5" style="125" customWidth="1"/>
    <col min="3594" max="3594" width="13.6640625" style="125" customWidth="1"/>
    <col min="3595" max="3595" width="11.5" style="125" customWidth="1"/>
    <col min="3596" max="3598" width="12" style="125" customWidth="1"/>
    <col min="3599" max="3599" width="12.33203125" style="125" customWidth="1"/>
    <col min="3600" max="3600" width="2.5" style="125" customWidth="1"/>
    <col min="3601" max="3601" width="22" style="125" customWidth="1"/>
    <col min="3602" max="3840" width="8.83203125" style="125"/>
    <col min="3841" max="3841" width="19.1640625" style="125" customWidth="1"/>
    <col min="3842" max="3843" width="8.5" style="125" customWidth="1"/>
    <col min="3844" max="3844" width="16.5" style="125" customWidth="1"/>
    <col min="3845" max="3845" width="15" style="125" customWidth="1"/>
    <col min="3846" max="3846" width="8.83203125" style="125"/>
    <col min="3847" max="3847" width="13.83203125" style="125" customWidth="1"/>
    <col min="3848" max="3848" width="0" style="125" hidden="1" customWidth="1"/>
    <col min="3849" max="3849" width="2.5" style="125" customWidth="1"/>
    <col min="3850" max="3850" width="13.6640625" style="125" customWidth="1"/>
    <col min="3851" max="3851" width="11.5" style="125" customWidth="1"/>
    <col min="3852" max="3854" width="12" style="125" customWidth="1"/>
    <col min="3855" max="3855" width="12.33203125" style="125" customWidth="1"/>
    <col min="3856" max="3856" width="2.5" style="125" customWidth="1"/>
    <col min="3857" max="3857" width="22" style="125" customWidth="1"/>
    <col min="3858" max="4096" width="8.83203125" style="125"/>
    <col min="4097" max="4097" width="19.1640625" style="125" customWidth="1"/>
    <col min="4098" max="4099" width="8.5" style="125" customWidth="1"/>
    <col min="4100" max="4100" width="16.5" style="125" customWidth="1"/>
    <col min="4101" max="4101" width="15" style="125" customWidth="1"/>
    <col min="4102" max="4102" width="8.83203125" style="125"/>
    <col min="4103" max="4103" width="13.83203125" style="125" customWidth="1"/>
    <col min="4104" max="4104" width="0" style="125" hidden="1" customWidth="1"/>
    <col min="4105" max="4105" width="2.5" style="125" customWidth="1"/>
    <col min="4106" max="4106" width="13.6640625" style="125" customWidth="1"/>
    <col min="4107" max="4107" width="11.5" style="125" customWidth="1"/>
    <col min="4108" max="4110" width="12" style="125" customWidth="1"/>
    <col min="4111" max="4111" width="12.33203125" style="125" customWidth="1"/>
    <col min="4112" max="4112" width="2.5" style="125" customWidth="1"/>
    <col min="4113" max="4113" width="22" style="125" customWidth="1"/>
    <col min="4114" max="4352" width="8.83203125" style="125"/>
    <col min="4353" max="4353" width="19.1640625" style="125" customWidth="1"/>
    <col min="4354" max="4355" width="8.5" style="125" customWidth="1"/>
    <col min="4356" max="4356" width="16.5" style="125" customWidth="1"/>
    <col min="4357" max="4357" width="15" style="125" customWidth="1"/>
    <col min="4358" max="4358" width="8.83203125" style="125"/>
    <col min="4359" max="4359" width="13.83203125" style="125" customWidth="1"/>
    <col min="4360" max="4360" width="0" style="125" hidden="1" customWidth="1"/>
    <col min="4361" max="4361" width="2.5" style="125" customWidth="1"/>
    <col min="4362" max="4362" width="13.6640625" style="125" customWidth="1"/>
    <col min="4363" max="4363" width="11.5" style="125" customWidth="1"/>
    <col min="4364" max="4366" width="12" style="125" customWidth="1"/>
    <col min="4367" max="4367" width="12.33203125" style="125" customWidth="1"/>
    <col min="4368" max="4368" width="2.5" style="125" customWidth="1"/>
    <col min="4369" max="4369" width="22" style="125" customWidth="1"/>
    <col min="4370" max="4608" width="8.83203125" style="125"/>
    <col min="4609" max="4609" width="19.1640625" style="125" customWidth="1"/>
    <col min="4610" max="4611" width="8.5" style="125" customWidth="1"/>
    <col min="4612" max="4612" width="16.5" style="125" customWidth="1"/>
    <col min="4613" max="4613" width="15" style="125" customWidth="1"/>
    <col min="4614" max="4614" width="8.83203125" style="125"/>
    <col min="4615" max="4615" width="13.83203125" style="125" customWidth="1"/>
    <col min="4616" max="4616" width="0" style="125" hidden="1" customWidth="1"/>
    <col min="4617" max="4617" width="2.5" style="125" customWidth="1"/>
    <col min="4618" max="4618" width="13.6640625" style="125" customWidth="1"/>
    <col min="4619" max="4619" width="11.5" style="125" customWidth="1"/>
    <col min="4620" max="4622" width="12" style="125" customWidth="1"/>
    <col min="4623" max="4623" width="12.33203125" style="125" customWidth="1"/>
    <col min="4624" max="4624" width="2.5" style="125" customWidth="1"/>
    <col min="4625" max="4625" width="22" style="125" customWidth="1"/>
    <col min="4626" max="4864" width="8.83203125" style="125"/>
    <col min="4865" max="4865" width="19.1640625" style="125" customWidth="1"/>
    <col min="4866" max="4867" width="8.5" style="125" customWidth="1"/>
    <col min="4868" max="4868" width="16.5" style="125" customWidth="1"/>
    <col min="4869" max="4869" width="15" style="125" customWidth="1"/>
    <col min="4870" max="4870" width="8.83203125" style="125"/>
    <col min="4871" max="4871" width="13.83203125" style="125" customWidth="1"/>
    <col min="4872" max="4872" width="0" style="125" hidden="1" customWidth="1"/>
    <col min="4873" max="4873" width="2.5" style="125" customWidth="1"/>
    <col min="4874" max="4874" width="13.6640625" style="125" customWidth="1"/>
    <col min="4875" max="4875" width="11.5" style="125" customWidth="1"/>
    <col min="4876" max="4878" width="12" style="125" customWidth="1"/>
    <col min="4879" max="4879" width="12.33203125" style="125" customWidth="1"/>
    <col min="4880" max="4880" width="2.5" style="125" customWidth="1"/>
    <col min="4881" max="4881" width="22" style="125" customWidth="1"/>
    <col min="4882" max="5120" width="8.83203125" style="125"/>
    <col min="5121" max="5121" width="19.1640625" style="125" customWidth="1"/>
    <col min="5122" max="5123" width="8.5" style="125" customWidth="1"/>
    <col min="5124" max="5124" width="16.5" style="125" customWidth="1"/>
    <col min="5125" max="5125" width="15" style="125" customWidth="1"/>
    <col min="5126" max="5126" width="8.83203125" style="125"/>
    <col min="5127" max="5127" width="13.83203125" style="125" customWidth="1"/>
    <col min="5128" max="5128" width="0" style="125" hidden="1" customWidth="1"/>
    <col min="5129" max="5129" width="2.5" style="125" customWidth="1"/>
    <col min="5130" max="5130" width="13.6640625" style="125" customWidth="1"/>
    <col min="5131" max="5131" width="11.5" style="125" customWidth="1"/>
    <col min="5132" max="5134" width="12" style="125" customWidth="1"/>
    <col min="5135" max="5135" width="12.33203125" style="125" customWidth="1"/>
    <col min="5136" max="5136" width="2.5" style="125" customWidth="1"/>
    <col min="5137" max="5137" width="22" style="125" customWidth="1"/>
    <col min="5138" max="5376" width="8.83203125" style="125"/>
    <col min="5377" max="5377" width="19.1640625" style="125" customWidth="1"/>
    <col min="5378" max="5379" width="8.5" style="125" customWidth="1"/>
    <col min="5380" max="5380" width="16.5" style="125" customWidth="1"/>
    <col min="5381" max="5381" width="15" style="125" customWidth="1"/>
    <col min="5382" max="5382" width="8.83203125" style="125"/>
    <col min="5383" max="5383" width="13.83203125" style="125" customWidth="1"/>
    <col min="5384" max="5384" width="0" style="125" hidden="1" customWidth="1"/>
    <col min="5385" max="5385" width="2.5" style="125" customWidth="1"/>
    <col min="5386" max="5386" width="13.6640625" style="125" customWidth="1"/>
    <col min="5387" max="5387" width="11.5" style="125" customWidth="1"/>
    <col min="5388" max="5390" width="12" style="125" customWidth="1"/>
    <col min="5391" max="5391" width="12.33203125" style="125" customWidth="1"/>
    <col min="5392" max="5392" width="2.5" style="125" customWidth="1"/>
    <col min="5393" max="5393" width="22" style="125" customWidth="1"/>
    <col min="5394" max="5632" width="8.83203125" style="125"/>
    <col min="5633" max="5633" width="19.1640625" style="125" customWidth="1"/>
    <col min="5634" max="5635" width="8.5" style="125" customWidth="1"/>
    <col min="5636" max="5636" width="16.5" style="125" customWidth="1"/>
    <col min="5637" max="5637" width="15" style="125" customWidth="1"/>
    <col min="5638" max="5638" width="8.83203125" style="125"/>
    <col min="5639" max="5639" width="13.83203125" style="125" customWidth="1"/>
    <col min="5640" max="5640" width="0" style="125" hidden="1" customWidth="1"/>
    <col min="5641" max="5641" width="2.5" style="125" customWidth="1"/>
    <col min="5642" max="5642" width="13.6640625" style="125" customWidth="1"/>
    <col min="5643" max="5643" width="11.5" style="125" customWidth="1"/>
    <col min="5644" max="5646" width="12" style="125" customWidth="1"/>
    <col min="5647" max="5647" width="12.33203125" style="125" customWidth="1"/>
    <col min="5648" max="5648" width="2.5" style="125" customWidth="1"/>
    <col min="5649" max="5649" width="22" style="125" customWidth="1"/>
    <col min="5650" max="5888" width="8.83203125" style="125"/>
    <col min="5889" max="5889" width="19.1640625" style="125" customWidth="1"/>
    <col min="5890" max="5891" width="8.5" style="125" customWidth="1"/>
    <col min="5892" max="5892" width="16.5" style="125" customWidth="1"/>
    <col min="5893" max="5893" width="15" style="125" customWidth="1"/>
    <col min="5894" max="5894" width="8.83203125" style="125"/>
    <col min="5895" max="5895" width="13.83203125" style="125" customWidth="1"/>
    <col min="5896" max="5896" width="0" style="125" hidden="1" customWidth="1"/>
    <col min="5897" max="5897" width="2.5" style="125" customWidth="1"/>
    <col min="5898" max="5898" width="13.6640625" style="125" customWidth="1"/>
    <col min="5899" max="5899" width="11.5" style="125" customWidth="1"/>
    <col min="5900" max="5902" width="12" style="125" customWidth="1"/>
    <col min="5903" max="5903" width="12.33203125" style="125" customWidth="1"/>
    <col min="5904" max="5904" width="2.5" style="125" customWidth="1"/>
    <col min="5905" max="5905" width="22" style="125" customWidth="1"/>
    <col min="5906" max="6144" width="8.83203125" style="125"/>
    <col min="6145" max="6145" width="19.1640625" style="125" customWidth="1"/>
    <col min="6146" max="6147" width="8.5" style="125" customWidth="1"/>
    <col min="6148" max="6148" width="16.5" style="125" customWidth="1"/>
    <col min="6149" max="6149" width="15" style="125" customWidth="1"/>
    <col min="6150" max="6150" width="8.83203125" style="125"/>
    <col min="6151" max="6151" width="13.83203125" style="125" customWidth="1"/>
    <col min="6152" max="6152" width="0" style="125" hidden="1" customWidth="1"/>
    <col min="6153" max="6153" width="2.5" style="125" customWidth="1"/>
    <col min="6154" max="6154" width="13.6640625" style="125" customWidth="1"/>
    <col min="6155" max="6155" width="11.5" style="125" customWidth="1"/>
    <col min="6156" max="6158" width="12" style="125" customWidth="1"/>
    <col min="6159" max="6159" width="12.33203125" style="125" customWidth="1"/>
    <col min="6160" max="6160" width="2.5" style="125" customWidth="1"/>
    <col min="6161" max="6161" width="22" style="125" customWidth="1"/>
    <col min="6162" max="6400" width="8.83203125" style="125"/>
    <col min="6401" max="6401" width="19.1640625" style="125" customWidth="1"/>
    <col min="6402" max="6403" width="8.5" style="125" customWidth="1"/>
    <col min="6404" max="6404" width="16.5" style="125" customWidth="1"/>
    <col min="6405" max="6405" width="15" style="125" customWidth="1"/>
    <col min="6406" max="6406" width="8.83203125" style="125"/>
    <col min="6407" max="6407" width="13.83203125" style="125" customWidth="1"/>
    <col min="6408" max="6408" width="0" style="125" hidden="1" customWidth="1"/>
    <col min="6409" max="6409" width="2.5" style="125" customWidth="1"/>
    <col min="6410" max="6410" width="13.6640625" style="125" customWidth="1"/>
    <col min="6411" max="6411" width="11.5" style="125" customWidth="1"/>
    <col min="6412" max="6414" width="12" style="125" customWidth="1"/>
    <col min="6415" max="6415" width="12.33203125" style="125" customWidth="1"/>
    <col min="6416" max="6416" width="2.5" style="125" customWidth="1"/>
    <col min="6417" max="6417" width="22" style="125" customWidth="1"/>
    <col min="6418" max="6656" width="8.83203125" style="125"/>
    <col min="6657" max="6657" width="19.1640625" style="125" customWidth="1"/>
    <col min="6658" max="6659" width="8.5" style="125" customWidth="1"/>
    <col min="6660" max="6660" width="16.5" style="125" customWidth="1"/>
    <col min="6661" max="6661" width="15" style="125" customWidth="1"/>
    <col min="6662" max="6662" width="8.83203125" style="125"/>
    <col min="6663" max="6663" width="13.83203125" style="125" customWidth="1"/>
    <col min="6664" max="6664" width="0" style="125" hidden="1" customWidth="1"/>
    <col min="6665" max="6665" width="2.5" style="125" customWidth="1"/>
    <col min="6666" max="6666" width="13.6640625" style="125" customWidth="1"/>
    <col min="6667" max="6667" width="11.5" style="125" customWidth="1"/>
    <col min="6668" max="6670" width="12" style="125" customWidth="1"/>
    <col min="6671" max="6671" width="12.33203125" style="125" customWidth="1"/>
    <col min="6672" max="6672" width="2.5" style="125" customWidth="1"/>
    <col min="6673" max="6673" width="22" style="125" customWidth="1"/>
    <col min="6674" max="6912" width="8.83203125" style="125"/>
    <col min="6913" max="6913" width="19.1640625" style="125" customWidth="1"/>
    <col min="6914" max="6915" width="8.5" style="125" customWidth="1"/>
    <col min="6916" max="6916" width="16.5" style="125" customWidth="1"/>
    <col min="6917" max="6917" width="15" style="125" customWidth="1"/>
    <col min="6918" max="6918" width="8.83203125" style="125"/>
    <col min="6919" max="6919" width="13.83203125" style="125" customWidth="1"/>
    <col min="6920" max="6920" width="0" style="125" hidden="1" customWidth="1"/>
    <col min="6921" max="6921" width="2.5" style="125" customWidth="1"/>
    <col min="6922" max="6922" width="13.6640625" style="125" customWidth="1"/>
    <col min="6923" max="6923" width="11.5" style="125" customWidth="1"/>
    <col min="6924" max="6926" width="12" style="125" customWidth="1"/>
    <col min="6927" max="6927" width="12.33203125" style="125" customWidth="1"/>
    <col min="6928" max="6928" width="2.5" style="125" customWidth="1"/>
    <col min="6929" max="6929" width="22" style="125" customWidth="1"/>
    <col min="6930" max="7168" width="8.83203125" style="125"/>
    <col min="7169" max="7169" width="19.1640625" style="125" customWidth="1"/>
    <col min="7170" max="7171" width="8.5" style="125" customWidth="1"/>
    <col min="7172" max="7172" width="16.5" style="125" customWidth="1"/>
    <col min="7173" max="7173" width="15" style="125" customWidth="1"/>
    <col min="7174" max="7174" width="8.83203125" style="125"/>
    <col min="7175" max="7175" width="13.83203125" style="125" customWidth="1"/>
    <col min="7176" max="7176" width="0" style="125" hidden="1" customWidth="1"/>
    <col min="7177" max="7177" width="2.5" style="125" customWidth="1"/>
    <col min="7178" max="7178" width="13.6640625" style="125" customWidth="1"/>
    <col min="7179" max="7179" width="11.5" style="125" customWidth="1"/>
    <col min="7180" max="7182" width="12" style="125" customWidth="1"/>
    <col min="7183" max="7183" width="12.33203125" style="125" customWidth="1"/>
    <col min="7184" max="7184" width="2.5" style="125" customWidth="1"/>
    <col min="7185" max="7185" width="22" style="125" customWidth="1"/>
    <col min="7186" max="7424" width="8.83203125" style="125"/>
    <col min="7425" max="7425" width="19.1640625" style="125" customWidth="1"/>
    <col min="7426" max="7427" width="8.5" style="125" customWidth="1"/>
    <col min="7428" max="7428" width="16.5" style="125" customWidth="1"/>
    <col min="7429" max="7429" width="15" style="125" customWidth="1"/>
    <col min="7430" max="7430" width="8.83203125" style="125"/>
    <col min="7431" max="7431" width="13.83203125" style="125" customWidth="1"/>
    <col min="7432" max="7432" width="0" style="125" hidden="1" customWidth="1"/>
    <col min="7433" max="7433" width="2.5" style="125" customWidth="1"/>
    <col min="7434" max="7434" width="13.6640625" style="125" customWidth="1"/>
    <col min="7435" max="7435" width="11.5" style="125" customWidth="1"/>
    <col min="7436" max="7438" width="12" style="125" customWidth="1"/>
    <col min="7439" max="7439" width="12.33203125" style="125" customWidth="1"/>
    <col min="7440" max="7440" width="2.5" style="125" customWidth="1"/>
    <col min="7441" max="7441" width="22" style="125" customWidth="1"/>
    <col min="7442" max="7680" width="8.83203125" style="125"/>
    <col min="7681" max="7681" width="19.1640625" style="125" customWidth="1"/>
    <col min="7682" max="7683" width="8.5" style="125" customWidth="1"/>
    <col min="7684" max="7684" width="16.5" style="125" customWidth="1"/>
    <col min="7685" max="7685" width="15" style="125" customWidth="1"/>
    <col min="7686" max="7686" width="8.83203125" style="125"/>
    <col min="7687" max="7687" width="13.83203125" style="125" customWidth="1"/>
    <col min="7688" max="7688" width="0" style="125" hidden="1" customWidth="1"/>
    <col min="7689" max="7689" width="2.5" style="125" customWidth="1"/>
    <col min="7690" max="7690" width="13.6640625" style="125" customWidth="1"/>
    <col min="7691" max="7691" width="11.5" style="125" customWidth="1"/>
    <col min="7692" max="7694" width="12" style="125" customWidth="1"/>
    <col min="7695" max="7695" width="12.33203125" style="125" customWidth="1"/>
    <col min="7696" max="7696" width="2.5" style="125" customWidth="1"/>
    <col min="7697" max="7697" width="22" style="125" customWidth="1"/>
    <col min="7698" max="7936" width="8.83203125" style="125"/>
    <col min="7937" max="7937" width="19.1640625" style="125" customWidth="1"/>
    <col min="7938" max="7939" width="8.5" style="125" customWidth="1"/>
    <col min="7940" max="7940" width="16.5" style="125" customWidth="1"/>
    <col min="7941" max="7941" width="15" style="125" customWidth="1"/>
    <col min="7942" max="7942" width="8.83203125" style="125"/>
    <col min="7943" max="7943" width="13.83203125" style="125" customWidth="1"/>
    <col min="7944" max="7944" width="0" style="125" hidden="1" customWidth="1"/>
    <col min="7945" max="7945" width="2.5" style="125" customWidth="1"/>
    <col min="7946" max="7946" width="13.6640625" style="125" customWidth="1"/>
    <col min="7947" max="7947" width="11.5" style="125" customWidth="1"/>
    <col min="7948" max="7950" width="12" style="125" customWidth="1"/>
    <col min="7951" max="7951" width="12.33203125" style="125" customWidth="1"/>
    <col min="7952" max="7952" width="2.5" style="125" customWidth="1"/>
    <col min="7953" max="7953" width="22" style="125" customWidth="1"/>
    <col min="7954" max="8192" width="8.83203125" style="125"/>
    <col min="8193" max="8193" width="19.1640625" style="125" customWidth="1"/>
    <col min="8194" max="8195" width="8.5" style="125" customWidth="1"/>
    <col min="8196" max="8196" width="16.5" style="125" customWidth="1"/>
    <col min="8197" max="8197" width="15" style="125" customWidth="1"/>
    <col min="8198" max="8198" width="8.83203125" style="125"/>
    <col min="8199" max="8199" width="13.83203125" style="125" customWidth="1"/>
    <col min="8200" max="8200" width="0" style="125" hidden="1" customWidth="1"/>
    <col min="8201" max="8201" width="2.5" style="125" customWidth="1"/>
    <col min="8202" max="8202" width="13.6640625" style="125" customWidth="1"/>
    <col min="8203" max="8203" width="11.5" style="125" customWidth="1"/>
    <col min="8204" max="8206" width="12" style="125" customWidth="1"/>
    <col min="8207" max="8207" width="12.33203125" style="125" customWidth="1"/>
    <col min="8208" max="8208" width="2.5" style="125" customWidth="1"/>
    <col min="8209" max="8209" width="22" style="125" customWidth="1"/>
    <col min="8210" max="8448" width="8.83203125" style="125"/>
    <col min="8449" max="8449" width="19.1640625" style="125" customWidth="1"/>
    <col min="8450" max="8451" width="8.5" style="125" customWidth="1"/>
    <col min="8452" max="8452" width="16.5" style="125" customWidth="1"/>
    <col min="8453" max="8453" width="15" style="125" customWidth="1"/>
    <col min="8454" max="8454" width="8.83203125" style="125"/>
    <col min="8455" max="8455" width="13.83203125" style="125" customWidth="1"/>
    <col min="8456" max="8456" width="0" style="125" hidden="1" customWidth="1"/>
    <col min="8457" max="8457" width="2.5" style="125" customWidth="1"/>
    <col min="8458" max="8458" width="13.6640625" style="125" customWidth="1"/>
    <col min="8459" max="8459" width="11.5" style="125" customWidth="1"/>
    <col min="8460" max="8462" width="12" style="125" customWidth="1"/>
    <col min="8463" max="8463" width="12.33203125" style="125" customWidth="1"/>
    <col min="8464" max="8464" width="2.5" style="125" customWidth="1"/>
    <col min="8465" max="8465" width="22" style="125" customWidth="1"/>
    <col min="8466" max="8704" width="8.83203125" style="125"/>
    <col min="8705" max="8705" width="19.1640625" style="125" customWidth="1"/>
    <col min="8706" max="8707" width="8.5" style="125" customWidth="1"/>
    <col min="8708" max="8708" width="16.5" style="125" customWidth="1"/>
    <col min="8709" max="8709" width="15" style="125" customWidth="1"/>
    <col min="8710" max="8710" width="8.83203125" style="125"/>
    <col min="8711" max="8711" width="13.83203125" style="125" customWidth="1"/>
    <col min="8712" max="8712" width="0" style="125" hidden="1" customWidth="1"/>
    <col min="8713" max="8713" width="2.5" style="125" customWidth="1"/>
    <col min="8714" max="8714" width="13.6640625" style="125" customWidth="1"/>
    <col min="8715" max="8715" width="11.5" style="125" customWidth="1"/>
    <col min="8716" max="8718" width="12" style="125" customWidth="1"/>
    <col min="8719" max="8719" width="12.33203125" style="125" customWidth="1"/>
    <col min="8720" max="8720" width="2.5" style="125" customWidth="1"/>
    <col min="8721" max="8721" width="22" style="125" customWidth="1"/>
    <col min="8722" max="8960" width="8.83203125" style="125"/>
    <col min="8961" max="8961" width="19.1640625" style="125" customWidth="1"/>
    <col min="8962" max="8963" width="8.5" style="125" customWidth="1"/>
    <col min="8964" max="8964" width="16.5" style="125" customWidth="1"/>
    <col min="8965" max="8965" width="15" style="125" customWidth="1"/>
    <col min="8966" max="8966" width="8.83203125" style="125"/>
    <col min="8967" max="8967" width="13.83203125" style="125" customWidth="1"/>
    <col min="8968" max="8968" width="0" style="125" hidden="1" customWidth="1"/>
    <col min="8969" max="8969" width="2.5" style="125" customWidth="1"/>
    <col min="8970" max="8970" width="13.6640625" style="125" customWidth="1"/>
    <col min="8971" max="8971" width="11.5" style="125" customWidth="1"/>
    <col min="8972" max="8974" width="12" style="125" customWidth="1"/>
    <col min="8975" max="8975" width="12.33203125" style="125" customWidth="1"/>
    <col min="8976" max="8976" width="2.5" style="125" customWidth="1"/>
    <col min="8977" max="8977" width="22" style="125" customWidth="1"/>
    <col min="8978" max="9216" width="8.83203125" style="125"/>
    <col min="9217" max="9217" width="19.1640625" style="125" customWidth="1"/>
    <col min="9218" max="9219" width="8.5" style="125" customWidth="1"/>
    <col min="9220" max="9220" width="16.5" style="125" customWidth="1"/>
    <col min="9221" max="9221" width="15" style="125" customWidth="1"/>
    <col min="9222" max="9222" width="8.83203125" style="125"/>
    <col min="9223" max="9223" width="13.83203125" style="125" customWidth="1"/>
    <col min="9224" max="9224" width="0" style="125" hidden="1" customWidth="1"/>
    <col min="9225" max="9225" width="2.5" style="125" customWidth="1"/>
    <col min="9226" max="9226" width="13.6640625" style="125" customWidth="1"/>
    <col min="9227" max="9227" width="11.5" style="125" customWidth="1"/>
    <col min="9228" max="9230" width="12" style="125" customWidth="1"/>
    <col min="9231" max="9231" width="12.33203125" style="125" customWidth="1"/>
    <col min="9232" max="9232" width="2.5" style="125" customWidth="1"/>
    <col min="9233" max="9233" width="22" style="125" customWidth="1"/>
    <col min="9234" max="9472" width="8.83203125" style="125"/>
    <col min="9473" max="9473" width="19.1640625" style="125" customWidth="1"/>
    <col min="9474" max="9475" width="8.5" style="125" customWidth="1"/>
    <col min="9476" max="9476" width="16.5" style="125" customWidth="1"/>
    <col min="9477" max="9477" width="15" style="125" customWidth="1"/>
    <col min="9478" max="9478" width="8.83203125" style="125"/>
    <col min="9479" max="9479" width="13.83203125" style="125" customWidth="1"/>
    <col min="9480" max="9480" width="0" style="125" hidden="1" customWidth="1"/>
    <col min="9481" max="9481" width="2.5" style="125" customWidth="1"/>
    <col min="9482" max="9482" width="13.6640625" style="125" customWidth="1"/>
    <col min="9483" max="9483" width="11.5" style="125" customWidth="1"/>
    <col min="9484" max="9486" width="12" style="125" customWidth="1"/>
    <col min="9487" max="9487" width="12.33203125" style="125" customWidth="1"/>
    <col min="9488" max="9488" width="2.5" style="125" customWidth="1"/>
    <col min="9489" max="9489" width="22" style="125" customWidth="1"/>
    <col min="9490" max="9728" width="8.83203125" style="125"/>
    <col min="9729" max="9729" width="19.1640625" style="125" customWidth="1"/>
    <col min="9730" max="9731" width="8.5" style="125" customWidth="1"/>
    <col min="9732" max="9732" width="16.5" style="125" customWidth="1"/>
    <col min="9733" max="9733" width="15" style="125" customWidth="1"/>
    <col min="9734" max="9734" width="8.83203125" style="125"/>
    <col min="9735" max="9735" width="13.83203125" style="125" customWidth="1"/>
    <col min="9736" max="9736" width="0" style="125" hidden="1" customWidth="1"/>
    <col min="9737" max="9737" width="2.5" style="125" customWidth="1"/>
    <col min="9738" max="9738" width="13.6640625" style="125" customWidth="1"/>
    <col min="9739" max="9739" width="11.5" style="125" customWidth="1"/>
    <col min="9740" max="9742" width="12" style="125" customWidth="1"/>
    <col min="9743" max="9743" width="12.33203125" style="125" customWidth="1"/>
    <col min="9744" max="9744" width="2.5" style="125" customWidth="1"/>
    <col min="9745" max="9745" width="22" style="125" customWidth="1"/>
    <col min="9746" max="9984" width="8.83203125" style="125"/>
    <col min="9985" max="9985" width="19.1640625" style="125" customWidth="1"/>
    <col min="9986" max="9987" width="8.5" style="125" customWidth="1"/>
    <col min="9988" max="9988" width="16.5" style="125" customWidth="1"/>
    <col min="9989" max="9989" width="15" style="125" customWidth="1"/>
    <col min="9990" max="9990" width="8.83203125" style="125"/>
    <col min="9991" max="9991" width="13.83203125" style="125" customWidth="1"/>
    <col min="9992" max="9992" width="0" style="125" hidden="1" customWidth="1"/>
    <col min="9993" max="9993" width="2.5" style="125" customWidth="1"/>
    <col min="9994" max="9994" width="13.6640625" style="125" customWidth="1"/>
    <col min="9995" max="9995" width="11.5" style="125" customWidth="1"/>
    <col min="9996" max="9998" width="12" style="125" customWidth="1"/>
    <col min="9999" max="9999" width="12.33203125" style="125" customWidth="1"/>
    <col min="10000" max="10000" width="2.5" style="125" customWidth="1"/>
    <col min="10001" max="10001" width="22" style="125" customWidth="1"/>
    <col min="10002" max="10240" width="8.83203125" style="125"/>
    <col min="10241" max="10241" width="19.1640625" style="125" customWidth="1"/>
    <col min="10242" max="10243" width="8.5" style="125" customWidth="1"/>
    <col min="10244" max="10244" width="16.5" style="125" customWidth="1"/>
    <col min="10245" max="10245" width="15" style="125" customWidth="1"/>
    <col min="10246" max="10246" width="8.83203125" style="125"/>
    <col min="10247" max="10247" width="13.83203125" style="125" customWidth="1"/>
    <col min="10248" max="10248" width="0" style="125" hidden="1" customWidth="1"/>
    <col min="10249" max="10249" width="2.5" style="125" customWidth="1"/>
    <col min="10250" max="10250" width="13.6640625" style="125" customWidth="1"/>
    <col min="10251" max="10251" width="11.5" style="125" customWidth="1"/>
    <col min="10252" max="10254" width="12" style="125" customWidth="1"/>
    <col min="10255" max="10255" width="12.33203125" style="125" customWidth="1"/>
    <col min="10256" max="10256" width="2.5" style="125" customWidth="1"/>
    <col min="10257" max="10257" width="22" style="125" customWidth="1"/>
    <col min="10258" max="10496" width="8.83203125" style="125"/>
    <col min="10497" max="10497" width="19.1640625" style="125" customWidth="1"/>
    <col min="10498" max="10499" width="8.5" style="125" customWidth="1"/>
    <col min="10500" max="10500" width="16.5" style="125" customWidth="1"/>
    <col min="10501" max="10501" width="15" style="125" customWidth="1"/>
    <col min="10502" max="10502" width="8.83203125" style="125"/>
    <col min="10503" max="10503" width="13.83203125" style="125" customWidth="1"/>
    <col min="10504" max="10504" width="0" style="125" hidden="1" customWidth="1"/>
    <col min="10505" max="10505" width="2.5" style="125" customWidth="1"/>
    <col min="10506" max="10506" width="13.6640625" style="125" customWidth="1"/>
    <col min="10507" max="10507" width="11.5" style="125" customWidth="1"/>
    <col min="10508" max="10510" width="12" style="125" customWidth="1"/>
    <col min="10511" max="10511" width="12.33203125" style="125" customWidth="1"/>
    <col min="10512" max="10512" width="2.5" style="125" customWidth="1"/>
    <col min="10513" max="10513" width="22" style="125" customWidth="1"/>
    <col min="10514" max="10752" width="8.83203125" style="125"/>
    <col min="10753" max="10753" width="19.1640625" style="125" customWidth="1"/>
    <col min="10754" max="10755" width="8.5" style="125" customWidth="1"/>
    <col min="10756" max="10756" width="16.5" style="125" customWidth="1"/>
    <col min="10757" max="10757" width="15" style="125" customWidth="1"/>
    <col min="10758" max="10758" width="8.83203125" style="125"/>
    <col min="10759" max="10759" width="13.83203125" style="125" customWidth="1"/>
    <col min="10760" max="10760" width="0" style="125" hidden="1" customWidth="1"/>
    <col min="10761" max="10761" width="2.5" style="125" customWidth="1"/>
    <col min="10762" max="10762" width="13.6640625" style="125" customWidth="1"/>
    <col min="10763" max="10763" width="11.5" style="125" customWidth="1"/>
    <col min="10764" max="10766" width="12" style="125" customWidth="1"/>
    <col min="10767" max="10767" width="12.33203125" style="125" customWidth="1"/>
    <col min="10768" max="10768" width="2.5" style="125" customWidth="1"/>
    <col min="10769" max="10769" width="22" style="125" customWidth="1"/>
    <col min="10770" max="11008" width="8.83203125" style="125"/>
    <col min="11009" max="11009" width="19.1640625" style="125" customWidth="1"/>
    <col min="11010" max="11011" width="8.5" style="125" customWidth="1"/>
    <col min="11012" max="11012" width="16.5" style="125" customWidth="1"/>
    <col min="11013" max="11013" width="15" style="125" customWidth="1"/>
    <col min="11014" max="11014" width="8.83203125" style="125"/>
    <col min="11015" max="11015" width="13.83203125" style="125" customWidth="1"/>
    <col min="11016" max="11016" width="0" style="125" hidden="1" customWidth="1"/>
    <col min="11017" max="11017" width="2.5" style="125" customWidth="1"/>
    <col min="11018" max="11018" width="13.6640625" style="125" customWidth="1"/>
    <col min="11019" max="11019" width="11.5" style="125" customWidth="1"/>
    <col min="11020" max="11022" width="12" style="125" customWidth="1"/>
    <col min="11023" max="11023" width="12.33203125" style="125" customWidth="1"/>
    <col min="11024" max="11024" width="2.5" style="125" customWidth="1"/>
    <col min="11025" max="11025" width="22" style="125" customWidth="1"/>
    <col min="11026" max="11264" width="8.83203125" style="125"/>
    <col min="11265" max="11265" width="19.1640625" style="125" customWidth="1"/>
    <col min="11266" max="11267" width="8.5" style="125" customWidth="1"/>
    <col min="11268" max="11268" width="16.5" style="125" customWidth="1"/>
    <col min="11269" max="11269" width="15" style="125" customWidth="1"/>
    <col min="11270" max="11270" width="8.83203125" style="125"/>
    <col min="11271" max="11271" width="13.83203125" style="125" customWidth="1"/>
    <col min="11272" max="11272" width="0" style="125" hidden="1" customWidth="1"/>
    <col min="11273" max="11273" width="2.5" style="125" customWidth="1"/>
    <col min="11274" max="11274" width="13.6640625" style="125" customWidth="1"/>
    <col min="11275" max="11275" width="11.5" style="125" customWidth="1"/>
    <col min="11276" max="11278" width="12" style="125" customWidth="1"/>
    <col min="11279" max="11279" width="12.33203125" style="125" customWidth="1"/>
    <col min="11280" max="11280" width="2.5" style="125" customWidth="1"/>
    <col min="11281" max="11281" width="22" style="125" customWidth="1"/>
    <col min="11282" max="11520" width="8.83203125" style="125"/>
    <col min="11521" max="11521" width="19.1640625" style="125" customWidth="1"/>
    <col min="11522" max="11523" width="8.5" style="125" customWidth="1"/>
    <col min="11524" max="11524" width="16.5" style="125" customWidth="1"/>
    <col min="11525" max="11525" width="15" style="125" customWidth="1"/>
    <col min="11526" max="11526" width="8.83203125" style="125"/>
    <col min="11527" max="11527" width="13.83203125" style="125" customWidth="1"/>
    <col min="11528" max="11528" width="0" style="125" hidden="1" customWidth="1"/>
    <col min="11529" max="11529" width="2.5" style="125" customWidth="1"/>
    <col min="11530" max="11530" width="13.6640625" style="125" customWidth="1"/>
    <col min="11531" max="11531" width="11.5" style="125" customWidth="1"/>
    <col min="11532" max="11534" width="12" style="125" customWidth="1"/>
    <col min="11535" max="11535" width="12.33203125" style="125" customWidth="1"/>
    <col min="11536" max="11536" width="2.5" style="125" customWidth="1"/>
    <col min="11537" max="11537" width="22" style="125" customWidth="1"/>
    <col min="11538" max="11776" width="8.83203125" style="125"/>
    <col min="11777" max="11777" width="19.1640625" style="125" customWidth="1"/>
    <col min="11778" max="11779" width="8.5" style="125" customWidth="1"/>
    <col min="11780" max="11780" width="16.5" style="125" customWidth="1"/>
    <col min="11781" max="11781" width="15" style="125" customWidth="1"/>
    <col min="11782" max="11782" width="8.83203125" style="125"/>
    <col min="11783" max="11783" width="13.83203125" style="125" customWidth="1"/>
    <col min="11784" max="11784" width="0" style="125" hidden="1" customWidth="1"/>
    <col min="11785" max="11785" width="2.5" style="125" customWidth="1"/>
    <col min="11786" max="11786" width="13.6640625" style="125" customWidth="1"/>
    <col min="11787" max="11787" width="11.5" style="125" customWidth="1"/>
    <col min="11788" max="11790" width="12" style="125" customWidth="1"/>
    <col min="11791" max="11791" width="12.33203125" style="125" customWidth="1"/>
    <col min="11792" max="11792" width="2.5" style="125" customWidth="1"/>
    <col min="11793" max="11793" width="22" style="125" customWidth="1"/>
    <col min="11794" max="12032" width="8.83203125" style="125"/>
    <col min="12033" max="12033" width="19.1640625" style="125" customWidth="1"/>
    <col min="12034" max="12035" width="8.5" style="125" customWidth="1"/>
    <col min="12036" max="12036" width="16.5" style="125" customWidth="1"/>
    <col min="12037" max="12037" width="15" style="125" customWidth="1"/>
    <col min="12038" max="12038" width="8.83203125" style="125"/>
    <col min="12039" max="12039" width="13.83203125" style="125" customWidth="1"/>
    <col min="12040" max="12040" width="0" style="125" hidden="1" customWidth="1"/>
    <col min="12041" max="12041" width="2.5" style="125" customWidth="1"/>
    <col min="12042" max="12042" width="13.6640625" style="125" customWidth="1"/>
    <col min="12043" max="12043" width="11.5" style="125" customWidth="1"/>
    <col min="12044" max="12046" width="12" style="125" customWidth="1"/>
    <col min="12047" max="12047" width="12.33203125" style="125" customWidth="1"/>
    <col min="12048" max="12048" width="2.5" style="125" customWidth="1"/>
    <col min="12049" max="12049" width="22" style="125" customWidth="1"/>
    <col min="12050" max="12288" width="8.83203125" style="125"/>
    <col min="12289" max="12289" width="19.1640625" style="125" customWidth="1"/>
    <col min="12290" max="12291" width="8.5" style="125" customWidth="1"/>
    <col min="12292" max="12292" width="16.5" style="125" customWidth="1"/>
    <col min="12293" max="12293" width="15" style="125" customWidth="1"/>
    <col min="12294" max="12294" width="8.83203125" style="125"/>
    <col min="12295" max="12295" width="13.83203125" style="125" customWidth="1"/>
    <col min="12296" max="12296" width="0" style="125" hidden="1" customWidth="1"/>
    <col min="12297" max="12297" width="2.5" style="125" customWidth="1"/>
    <col min="12298" max="12298" width="13.6640625" style="125" customWidth="1"/>
    <col min="12299" max="12299" width="11.5" style="125" customWidth="1"/>
    <col min="12300" max="12302" width="12" style="125" customWidth="1"/>
    <col min="12303" max="12303" width="12.33203125" style="125" customWidth="1"/>
    <col min="12304" max="12304" width="2.5" style="125" customWidth="1"/>
    <col min="12305" max="12305" width="22" style="125" customWidth="1"/>
    <col min="12306" max="12544" width="8.83203125" style="125"/>
    <col min="12545" max="12545" width="19.1640625" style="125" customWidth="1"/>
    <col min="12546" max="12547" width="8.5" style="125" customWidth="1"/>
    <col min="12548" max="12548" width="16.5" style="125" customWidth="1"/>
    <col min="12549" max="12549" width="15" style="125" customWidth="1"/>
    <col min="12550" max="12550" width="8.83203125" style="125"/>
    <col min="12551" max="12551" width="13.83203125" style="125" customWidth="1"/>
    <col min="12552" max="12552" width="0" style="125" hidden="1" customWidth="1"/>
    <col min="12553" max="12553" width="2.5" style="125" customWidth="1"/>
    <col min="12554" max="12554" width="13.6640625" style="125" customWidth="1"/>
    <col min="12555" max="12555" width="11.5" style="125" customWidth="1"/>
    <col min="12556" max="12558" width="12" style="125" customWidth="1"/>
    <col min="12559" max="12559" width="12.33203125" style="125" customWidth="1"/>
    <col min="12560" max="12560" width="2.5" style="125" customWidth="1"/>
    <col min="12561" max="12561" width="22" style="125" customWidth="1"/>
    <col min="12562" max="12800" width="8.83203125" style="125"/>
    <col min="12801" max="12801" width="19.1640625" style="125" customWidth="1"/>
    <col min="12802" max="12803" width="8.5" style="125" customWidth="1"/>
    <col min="12804" max="12804" width="16.5" style="125" customWidth="1"/>
    <col min="12805" max="12805" width="15" style="125" customWidth="1"/>
    <col min="12806" max="12806" width="8.83203125" style="125"/>
    <col min="12807" max="12807" width="13.83203125" style="125" customWidth="1"/>
    <col min="12808" max="12808" width="0" style="125" hidden="1" customWidth="1"/>
    <col min="12809" max="12809" width="2.5" style="125" customWidth="1"/>
    <col min="12810" max="12810" width="13.6640625" style="125" customWidth="1"/>
    <col min="12811" max="12811" width="11.5" style="125" customWidth="1"/>
    <col min="12812" max="12814" width="12" style="125" customWidth="1"/>
    <col min="12815" max="12815" width="12.33203125" style="125" customWidth="1"/>
    <col min="12816" max="12816" width="2.5" style="125" customWidth="1"/>
    <col min="12817" max="12817" width="22" style="125" customWidth="1"/>
    <col min="12818" max="13056" width="8.83203125" style="125"/>
    <col min="13057" max="13057" width="19.1640625" style="125" customWidth="1"/>
    <col min="13058" max="13059" width="8.5" style="125" customWidth="1"/>
    <col min="13060" max="13060" width="16.5" style="125" customWidth="1"/>
    <col min="13061" max="13061" width="15" style="125" customWidth="1"/>
    <col min="13062" max="13062" width="8.83203125" style="125"/>
    <col min="13063" max="13063" width="13.83203125" style="125" customWidth="1"/>
    <col min="13064" max="13064" width="0" style="125" hidden="1" customWidth="1"/>
    <col min="13065" max="13065" width="2.5" style="125" customWidth="1"/>
    <col min="13066" max="13066" width="13.6640625" style="125" customWidth="1"/>
    <col min="13067" max="13067" width="11.5" style="125" customWidth="1"/>
    <col min="13068" max="13070" width="12" style="125" customWidth="1"/>
    <col min="13071" max="13071" width="12.33203125" style="125" customWidth="1"/>
    <col min="13072" max="13072" width="2.5" style="125" customWidth="1"/>
    <col min="13073" max="13073" width="22" style="125" customWidth="1"/>
    <col min="13074" max="13312" width="8.83203125" style="125"/>
    <col min="13313" max="13313" width="19.1640625" style="125" customWidth="1"/>
    <col min="13314" max="13315" width="8.5" style="125" customWidth="1"/>
    <col min="13316" max="13316" width="16.5" style="125" customWidth="1"/>
    <col min="13317" max="13317" width="15" style="125" customWidth="1"/>
    <col min="13318" max="13318" width="8.83203125" style="125"/>
    <col min="13319" max="13319" width="13.83203125" style="125" customWidth="1"/>
    <col min="13320" max="13320" width="0" style="125" hidden="1" customWidth="1"/>
    <col min="13321" max="13321" width="2.5" style="125" customWidth="1"/>
    <col min="13322" max="13322" width="13.6640625" style="125" customWidth="1"/>
    <col min="13323" max="13323" width="11.5" style="125" customWidth="1"/>
    <col min="13324" max="13326" width="12" style="125" customWidth="1"/>
    <col min="13327" max="13327" width="12.33203125" style="125" customWidth="1"/>
    <col min="13328" max="13328" width="2.5" style="125" customWidth="1"/>
    <col min="13329" max="13329" width="22" style="125" customWidth="1"/>
    <col min="13330" max="13568" width="8.83203125" style="125"/>
    <col min="13569" max="13569" width="19.1640625" style="125" customWidth="1"/>
    <col min="13570" max="13571" width="8.5" style="125" customWidth="1"/>
    <col min="13572" max="13572" width="16.5" style="125" customWidth="1"/>
    <col min="13573" max="13573" width="15" style="125" customWidth="1"/>
    <col min="13574" max="13574" width="8.83203125" style="125"/>
    <col min="13575" max="13575" width="13.83203125" style="125" customWidth="1"/>
    <col min="13576" max="13576" width="0" style="125" hidden="1" customWidth="1"/>
    <col min="13577" max="13577" width="2.5" style="125" customWidth="1"/>
    <col min="13578" max="13578" width="13.6640625" style="125" customWidth="1"/>
    <col min="13579" max="13579" width="11.5" style="125" customWidth="1"/>
    <col min="13580" max="13582" width="12" style="125" customWidth="1"/>
    <col min="13583" max="13583" width="12.33203125" style="125" customWidth="1"/>
    <col min="13584" max="13584" width="2.5" style="125" customWidth="1"/>
    <col min="13585" max="13585" width="22" style="125" customWidth="1"/>
    <col min="13586" max="13824" width="8.83203125" style="125"/>
    <col min="13825" max="13825" width="19.1640625" style="125" customWidth="1"/>
    <col min="13826" max="13827" width="8.5" style="125" customWidth="1"/>
    <col min="13828" max="13828" width="16.5" style="125" customWidth="1"/>
    <col min="13829" max="13829" width="15" style="125" customWidth="1"/>
    <col min="13830" max="13830" width="8.83203125" style="125"/>
    <col min="13831" max="13831" width="13.83203125" style="125" customWidth="1"/>
    <col min="13832" max="13832" width="0" style="125" hidden="1" customWidth="1"/>
    <col min="13833" max="13833" width="2.5" style="125" customWidth="1"/>
    <col min="13834" max="13834" width="13.6640625" style="125" customWidth="1"/>
    <col min="13835" max="13835" width="11.5" style="125" customWidth="1"/>
    <col min="13836" max="13838" width="12" style="125" customWidth="1"/>
    <col min="13839" max="13839" width="12.33203125" style="125" customWidth="1"/>
    <col min="13840" max="13840" width="2.5" style="125" customWidth="1"/>
    <col min="13841" max="13841" width="22" style="125" customWidth="1"/>
    <col min="13842" max="14080" width="8.83203125" style="125"/>
    <col min="14081" max="14081" width="19.1640625" style="125" customWidth="1"/>
    <col min="14082" max="14083" width="8.5" style="125" customWidth="1"/>
    <col min="14084" max="14084" width="16.5" style="125" customWidth="1"/>
    <col min="14085" max="14085" width="15" style="125" customWidth="1"/>
    <col min="14086" max="14086" width="8.83203125" style="125"/>
    <col min="14087" max="14087" width="13.83203125" style="125" customWidth="1"/>
    <col min="14088" max="14088" width="0" style="125" hidden="1" customWidth="1"/>
    <col min="14089" max="14089" width="2.5" style="125" customWidth="1"/>
    <col min="14090" max="14090" width="13.6640625" style="125" customWidth="1"/>
    <col min="14091" max="14091" width="11.5" style="125" customWidth="1"/>
    <col min="14092" max="14094" width="12" style="125" customWidth="1"/>
    <col min="14095" max="14095" width="12.33203125" style="125" customWidth="1"/>
    <col min="14096" max="14096" width="2.5" style="125" customWidth="1"/>
    <col min="14097" max="14097" width="22" style="125" customWidth="1"/>
    <col min="14098" max="14336" width="8.83203125" style="125"/>
    <col min="14337" max="14337" width="19.1640625" style="125" customWidth="1"/>
    <col min="14338" max="14339" width="8.5" style="125" customWidth="1"/>
    <col min="14340" max="14340" width="16.5" style="125" customWidth="1"/>
    <col min="14341" max="14341" width="15" style="125" customWidth="1"/>
    <col min="14342" max="14342" width="8.83203125" style="125"/>
    <col min="14343" max="14343" width="13.83203125" style="125" customWidth="1"/>
    <col min="14344" max="14344" width="0" style="125" hidden="1" customWidth="1"/>
    <col min="14345" max="14345" width="2.5" style="125" customWidth="1"/>
    <col min="14346" max="14346" width="13.6640625" style="125" customWidth="1"/>
    <col min="14347" max="14347" width="11.5" style="125" customWidth="1"/>
    <col min="14348" max="14350" width="12" style="125" customWidth="1"/>
    <col min="14351" max="14351" width="12.33203125" style="125" customWidth="1"/>
    <col min="14352" max="14352" width="2.5" style="125" customWidth="1"/>
    <col min="14353" max="14353" width="22" style="125" customWidth="1"/>
    <col min="14354" max="14592" width="8.83203125" style="125"/>
    <col min="14593" max="14593" width="19.1640625" style="125" customWidth="1"/>
    <col min="14594" max="14595" width="8.5" style="125" customWidth="1"/>
    <col min="14596" max="14596" width="16.5" style="125" customWidth="1"/>
    <col min="14597" max="14597" width="15" style="125" customWidth="1"/>
    <col min="14598" max="14598" width="8.83203125" style="125"/>
    <col min="14599" max="14599" width="13.83203125" style="125" customWidth="1"/>
    <col min="14600" max="14600" width="0" style="125" hidden="1" customWidth="1"/>
    <col min="14601" max="14601" width="2.5" style="125" customWidth="1"/>
    <col min="14602" max="14602" width="13.6640625" style="125" customWidth="1"/>
    <col min="14603" max="14603" width="11.5" style="125" customWidth="1"/>
    <col min="14604" max="14606" width="12" style="125" customWidth="1"/>
    <col min="14607" max="14607" width="12.33203125" style="125" customWidth="1"/>
    <col min="14608" max="14608" width="2.5" style="125" customWidth="1"/>
    <col min="14609" max="14609" width="22" style="125" customWidth="1"/>
    <col min="14610" max="14848" width="8.83203125" style="125"/>
    <col min="14849" max="14849" width="19.1640625" style="125" customWidth="1"/>
    <col min="14850" max="14851" width="8.5" style="125" customWidth="1"/>
    <col min="14852" max="14852" width="16.5" style="125" customWidth="1"/>
    <col min="14853" max="14853" width="15" style="125" customWidth="1"/>
    <col min="14854" max="14854" width="8.83203125" style="125"/>
    <col min="14855" max="14855" width="13.83203125" style="125" customWidth="1"/>
    <col min="14856" max="14856" width="0" style="125" hidden="1" customWidth="1"/>
    <col min="14857" max="14857" width="2.5" style="125" customWidth="1"/>
    <col min="14858" max="14858" width="13.6640625" style="125" customWidth="1"/>
    <col min="14859" max="14859" width="11.5" style="125" customWidth="1"/>
    <col min="14860" max="14862" width="12" style="125" customWidth="1"/>
    <col min="14863" max="14863" width="12.33203125" style="125" customWidth="1"/>
    <col min="14864" max="14864" width="2.5" style="125" customWidth="1"/>
    <col min="14865" max="14865" width="22" style="125" customWidth="1"/>
    <col min="14866" max="15104" width="8.83203125" style="125"/>
    <col min="15105" max="15105" width="19.1640625" style="125" customWidth="1"/>
    <col min="15106" max="15107" width="8.5" style="125" customWidth="1"/>
    <col min="15108" max="15108" width="16.5" style="125" customWidth="1"/>
    <col min="15109" max="15109" width="15" style="125" customWidth="1"/>
    <col min="15110" max="15110" width="8.83203125" style="125"/>
    <col min="15111" max="15111" width="13.83203125" style="125" customWidth="1"/>
    <col min="15112" max="15112" width="0" style="125" hidden="1" customWidth="1"/>
    <col min="15113" max="15113" width="2.5" style="125" customWidth="1"/>
    <col min="15114" max="15114" width="13.6640625" style="125" customWidth="1"/>
    <col min="15115" max="15115" width="11.5" style="125" customWidth="1"/>
    <col min="15116" max="15118" width="12" style="125" customWidth="1"/>
    <col min="15119" max="15119" width="12.33203125" style="125" customWidth="1"/>
    <col min="15120" max="15120" width="2.5" style="125" customWidth="1"/>
    <col min="15121" max="15121" width="22" style="125" customWidth="1"/>
    <col min="15122" max="15360" width="8.83203125" style="125"/>
    <col min="15361" max="15361" width="19.1640625" style="125" customWidth="1"/>
    <col min="15362" max="15363" width="8.5" style="125" customWidth="1"/>
    <col min="15364" max="15364" width="16.5" style="125" customWidth="1"/>
    <col min="15365" max="15365" width="15" style="125" customWidth="1"/>
    <col min="15366" max="15366" width="8.83203125" style="125"/>
    <col min="15367" max="15367" width="13.83203125" style="125" customWidth="1"/>
    <col min="15368" max="15368" width="0" style="125" hidden="1" customWidth="1"/>
    <col min="15369" max="15369" width="2.5" style="125" customWidth="1"/>
    <col min="15370" max="15370" width="13.6640625" style="125" customWidth="1"/>
    <col min="15371" max="15371" width="11.5" style="125" customWidth="1"/>
    <col min="15372" max="15374" width="12" style="125" customWidth="1"/>
    <col min="15375" max="15375" width="12.33203125" style="125" customWidth="1"/>
    <col min="15376" max="15376" width="2.5" style="125" customWidth="1"/>
    <col min="15377" max="15377" width="22" style="125" customWidth="1"/>
    <col min="15378" max="15616" width="8.83203125" style="125"/>
    <col min="15617" max="15617" width="19.1640625" style="125" customWidth="1"/>
    <col min="15618" max="15619" width="8.5" style="125" customWidth="1"/>
    <col min="15620" max="15620" width="16.5" style="125" customWidth="1"/>
    <col min="15621" max="15621" width="15" style="125" customWidth="1"/>
    <col min="15622" max="15622" width="8.83203125" style="125"/>
    <col min="15623" max="15623" width="13.83203125" style="125" customWidth="1"/>
    <col min="15624" max="15624" width="0" style="125" hidden="1" customWidth="1"/>
    <col min="15625" max="15625" width="2.5" style="125" customWidth="1"/>
    <col min="15626" max="15626" width="13.6640625" style="125" customWidth="1"/>
    <col min="15627" max="15627" width="11.5" style="125" customWidth="1"/>
    <col min="15628" max="15630" width="12" style="125" customWidth="1"/>
    <col min="15631" max="15631" width="12.33203125" style="125" customWidth="1"/>
    <col min="15632" max="15632" width="2.5" style="125" customWidth="1"/>
    <col min="15633" max="15633" width="22" style="125" customWidth="1"/>
    <col min="15634" max="15872" width="8.83203125" style="125"/>
    <col min="15873" max="15873" width="19.1640625" style="125" customWidth="1"/>
    <col min="15874" max="15875" width="8.5" style="125" customWidth="1"/>
    <col min="15876" max="15876" width="16.5" style="125" customWidth="1"/>
    <col min="15877" max="15877" width="15" style="125" customWidth="1"/>
    <col min="15878" max="15878" width="8.83203125" style="125"/>
    <col min="15879" max="15879" width="13.83203125" style="125" customWidth="1"/>
    <col min="15880" max="15880" width="0" style="125" hidden="1" customWidth="1"/>
    <col min="15881" max="15881" width="2.5" style="125" customWidth="1"/>
    <col min="15882" max="15882" width="13.6640625" style="125" customWidth="1"/>
    <col min="15883" max="15883" width="11.5" style="125" customWidth="1"/>
    <col min="15884" max="15886" width="12" style="125" customWidth="1"/>
    <col min="15887" max="15887" width="12.33203125" style="125" customWidth="1"/>
    <col min="15888" max="15888" width="2.5" style="125" customWidth="1"/>
    <col min="15889" max="15889" width="22" style="125" customWidth="1"/>
    <col min="15890" max="16128" width="8.83203125" style="125"/>
    <col min="16129" max="16129" width="19.1640625" style="125" customWidth="1"/>
    <col min="16130" max="16131" width="8.5" style="125" customWidth="1"/>
    <col min="16132" max="16132" width="16.5" style="125" customWidth="1"/>
    <col min="16133" max="16133" width="15" style="125" customWidth="1"/>
    <col min="16134" max="16134" width="8.83203125" style="125"/>
    <col min="16135" max="16135" width="13.83203125" style="125" customWidth="1"/>
    <col min="16136" max="16136" width="0" style="125" hidden="1" customWidth="1"/>
    <col min="16137" max="16137" width="2.5" style="125" customWidth="1"/>
    <col min="16138" max="16138" width="13.6640625" style="125" customWidth="1"/>
    <col min="16139" max="16139" width="11.5" style="125" customWidth="1"/>
    <col min="16140" max="16142" width="12" style="125" customWidth="1"/>
    <col min="16143" max="16143" width="12.33203125" style="125" customWidth="1"/>
    <col min="16144" max="16144" width="2.5" style="125" customWidth="1"/>
    <col min="16145" max="16145" width="22" style="125" customWidth="1"/>
    <col min="16146" max="16384" width="8.83203125" style="125"/>
  </cols>
  <sheetData>
    <row r="1" spans="1:36" s="117" customFormat="1" ht="22.5" customHeight="1">
      <c r="A1" s="37" t="s">
        <v>205</v>
      </c>
      <c r="B1" s="38"/>
      <c r="C1" s="38"/>
      <c r="D1" s="38"/>
      <c r="E1" s="38"/>
      <c r="G1" s="118"/>
      <c r="J1" s="119" t="s">
        <v>206</v>
      </c>
      <c r="K1" s="120"/>
      <c r="L1" s="120"/>
      <c r="M1" s="120"/>
      <c r="N1" s="120"/>
      <c r="O1" s="120"/>
      <c r="P1" s="120"/>
      <c r="Q1" s="120"/>
    </row>
    <row r="2" spans="1:36" s="122" customFormat="1" ht="15" customHeight="1">
      <c r="A2" s="121" t="s">
        <v>207</v>
      </c>
      <c r="B2" s="121"/>
      <c r="J2" s="123" t="s">
        <v>207</v>
      </c>
      <c r="K2" s="124"/>
      <c r="L2" s="124"/>
      <c r="M2" s="124"/>
      <c r="N2" s="124"/>
      <c r="O2" s="124"/>
      <c r="P2" s="124"/>
      <c r="Q2" s="124"/>
    </row>
    <row r="3" spans="1:36" ht="11.25" customHeight="1" thickBot="1">
      <c r="A3" s="1783" t="s">
        <v>125</v>
      </c>
      <c r="B3" s="1783"/>
      <c r="C3" s="1783"/>
      <c r="D3" s="1783"/>
      <c r="E3" s="1783"/>
      <c r="F3" s="1783"/>
      <c r="G3" s="1783"/>
      <c r="H3" s="1783"/>
      <c r="J3" s="1783" t="s">
        <v>125</v>
      </c>
      <c r="K3" s="1783"/>
      <c r="L3" s="1783"/>
      <c r="M3" s="1783"/>
      <c r="N3" s="1783"/>
      <c r="O3" s="1783"/>
      <c r="P3" s="1783"/>
      <c r="Q3" s="1783"/>
    </row>
    <row r="4" spans="1:36" s="130" customFormat="1" ht="11.5" customHeight="1" thickTop="1">
      <c r="A4" s="126"/>
      <c r="B4" s="127" t="s">
        <v>208</v>
      </c>
      <c r="C4" s="127" t="s">
        <v>208</v>
      </c>
      <c r="D4" s="128" t="s">
        <v>209</v>
      </c>
      <c r="E4" s="128" t="s">
        <v>210</v>
      </c>
      <c r="F4" s="127" t="s">
        <v>211</v>
      </c>
      <c r="G4" s="127" t="s">
        <v>212</v>
      </c>
      <c r="H4" s="127"/>
      <c r="I4" s="127"/>
      <c r="J4" s="127" t="s">
        <v>213</v>
      </c>
      <c r="K4" s="127" t="s">
        <v>214</v>
      </c>
      <c r="L4" s="127" t="s">
        <v>19</v>
      </c>
      <c r="M4" s="127" t="s">
        <v>1</v>
      </c>
      <c r="N4" s="127" t="s">
        <v>215</v>
      </c>
      <c r="O4" s="127" t="s">
        <v>133</v>
      </c>
      <c r="P4" s="127"/>
      <c r="Q4" s="129"/>
    </row>
    <row r="5" spans="1:36" s="130" customFormat="1" ht="11.5" customHeight="1">
      <c r="A5" s="126"/>
      <c r="B5" s="127" t="s">
        <v>216</v>
      </c>
      <c r="C5" s="127"/>
      <c r="D5" s="128" t="s">
        <v>217</v>
      </c>
      <c r="E5" s="128" t="s">
        <v>218</v>
      </c>
      <c r="F5" s="127" t="s">
        <v>219</v>
      </c>
      <c r="G5" s="127"/>
      <c r="H5" s="127"/>
      <c r="I5" s="127"/>
      <c r="J5" s="127" t="s">
        <v>220</v>
      </c>
      <c r="K5" s="127" t="s">
        <v>221</v>
      </c>
      <c r="L5" s="127"/>
      <c r="M5" s="127" t="s">
        <v>222</v>
      </c>
      <c r="N5" s="127" t="s">
        <v>223</v>
      </c>
      <c r="O5" s="127" t="s">
        <v>224</v>
      </c>
      <c r="P5" s="127"/>
      <c r="Q5" s="129"/>
    </row>
    <row r="6" spans="1:36" s="130" customFormat="1" ht="11.5" customHeight="1" thickBot="1">
      <c r="A6" s="131"/>
      <c r="B6" s="132"/>
      <c r="C6" s="132"/>
      <c r="D6" s="133" t="s">
        <v>225</v>
      </c>
      <c r="E6" s="133" t="s">
        <v>226</v>
      </c>
      <c r="F6" s="132"/>
      <c r="G6" s="132"/>
      <c r="H6" s="134"/>
      <c r="I6" s="127"/>
      <c r="J6" s="132" t="s">
        <v>227</v>
      </c>
      <c r="K6" s="132" t="s">
        <v>228</v>
      </c>
      <c r="L6" s="132"/>
      <c r="M6" s="135" t="s">
        <v>229</v>
      </c>
      <c r="N6" s="136"/>
      <c r="O6" s="132"/>
      <c r="P6" s="132"/>
      <c r="Q6" s="137"/>
    </row>
    <row r="7" spans="1:36" s="130" customFormat="1" ht="11.25" customHeight="1" thickTop="1">
      <c r="A7" s="129" t="s">
        <v>66</v>
      </c>
      <c r="B7" s="138"/>
      <c r="C7" s="138"/>
      <c r="D7" s="138"/>
      <c r="E7" s="138"/>
      <c r="F7" s="138"/>
      <c r="G7" s="139"/>
      <c r="H7" s="138"/>
      <c r="I7" s="138"/>
      <c r="J7" s="139"/>
      <c r="K7" s="138"/>
      <c r="L7" s="138"/>
      <c r="M7" s="138"/>
      <c r="N7" s="138"/>
      <c r="O7" s="138"/>
      <c r="Q7" s="129" t="s">
        <v>66</v>
      </c>
    </row>
    <row r="8" spans="1:36" ht="10.5" customHeight="1">
      <c r="A8" s="41" t="s">
        <v>230</v>
      </c>
      <c r="B8" s="140">
        <v>101.1875650619121</v>
      </c>
      <c r="C8" s="140">
        <v>331.99579631221934</v>
      </c>
      <c r="D8" s="141">
        <v>270.33103810778744</v>
      </c>
      <c r="E8" s="142">
        <v>494.62931041583352</v>
      </c>
      <c r="F8" s="140">
        <v>212.51681751040667</v>
      </c>
      <c r="G8" s="142">
        <v>1547.4640371807147</v>
      </c>
      <c r="H8" s="143"/>
      <c r="I8" s="143"/>
      <c r="J8" s="142">
        <v>956.13709664840496</v>
      </c>
      <c r="K8" s="142">
        <v>46.921341460000001</v>
      </c>
      <c r="L8" s="142">
        <v>437.52315907136716</v>
      </c>
      <c r="M8" s="142">
        <v>453.47067667950006</v>
      </c>
      <c r="N8" s="142">
        <v>395.52126899999996</v>
      </c>
      <c r="O8" s="144">
        <v>5247.6981074481455</v>
      </c>
      <c r="P8" s="145"/>
      <c r="Q8" s="146" t="s">
        <v>230</v>
      </c>
      <c r="R8" s="147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</row>
    <row r="9" spans="1:36" ht="10.5" customHeight="1">
      <c r="A9" s="41" t="s">
        <v>231</v>
      </c>
      <c r="B9" s="142">
        <v>0</v>
      </c>
      <c r="C9" s="142">
        <v>0</v>
      </c>
      <c r="D9" s="142">
        <v>0</v>
      </c>
      <c r="E9" s="143">
        <v>0</v>
      </c>
      <c r="F9" s="142">
        <v>0</v>
      </c>
      <c r="G9" s="142">
        <v>0</v>
      </c>
      <c r="H9" s="143"/>
      <c r="I9" s="143"/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2">
        <v>0</v>
      </c>
      <c r="P9" s="149"/>
      <c r="Q9" s="146" t="s">
        <v>231</v>
      </c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</row>
    <row r="10" spans="1:36" ht="10.5" customHeight="1">
      <c r="A10" s="41" t="s">
        <v>4</v>
      </c>
      <c r="B10" s="142">
        <v>0</v>
      </c>
      <c r="C10" s="142">
        <v>0</v>
      </c>
      <c r="D10" s="142">
        <v>0</v>
      </c>
      <c r="E10" s="141">
        <v>378.1990757892263</v>
      </c>
      <c r="F10" s="142">
        <v>0</v>
      </c>
      <c r="G10" s="142">
        <v>0</v>
      </c>
      <c r="H10" s="143"/>
      <c r="I10" s="143"/>
      <c r="J10" s="142">
        <v>0</v>
      </c>
      <c r="K10" s="142">
        <v>0</v>
      </c>
      <c r="L10" s="142">
        <v>0</v>
      </c>
      <c r="M10" s="142">
        <v>0</v>
      </c>
      <c r="N10" s="142">
        <v>0</v>
      </c>
      <c r="O10" s="142">
        <v>378.1990757892263</v>
      </c>
      <c r="P10" s="149"/>
      <c r="Q10" s="146" t="s">
        <v>4</v>
      </c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</row>
    <row r="11" spans="1:36" ht="10.5" customHeight="1">
      <c r="A11" s="41" t="s">
        <v>136</v>
      </c>
      <c r="B11" s="142">
        <v>0</v>
      </c>
      <c r="C11" s="142">
        <v>0</v>
      </c>
      <c r="D11" s="142">
        <v>0</v>
      </c>
      <c r="E11" s="142">
        <v>0</v>
      </c>
      <c r="F11" s="142">
        <v>0</v>
      </c>
      <c r="G11" s="142">
        <v>0</v>
      </c>
      <c r="H11" s="143"/>
      <c r="I11" s="143"/>
      <c r="J11" s="142">
        <v>0</v>
      </c>
      <c r="K11" s="142">
        <v>0</v>
      </c>
      <c r="L11" s="142">
        <v>0</v>
      </c>
      <c r="M11" s="142">
        <v>0</v>
      </c>
      <c r="N11" s="142">
        <v>-33.830762525597777</v>
      </c>
      <c r="O11" s="142">
        <v>-33.830762525597777</v>
      </c>
      <c r="P11" s="149"/>
      <c r="Q11" s="146" t="s">
        <v>136</v>
      </c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</row>
    <row r="12" spans="1:36" ht="10.5" customHeight="1">
      <c r="A12" s="41" t="s">
        <v>137</v>
      </c>
      <c r="B12" s="142">
        <v>0</v>
      </c>
      <c r="C12" s="142">
        <v>0</v>
      </c>
      <c r="D12" s="142">
        <v>0</v>
      </c>
      <c r="E12" s="142">
        <v>0</v>
      </c>
      <c r="F12" s="142">
        <v>0</v>
      </c>
      <c r="G12" s="142">
        <v>0</v>
      </c>
      <c r="H12" s="143"/>
      <c r="I12" s="143"/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9"/>
      <c r="Q12" s="146" t="s">
        <v>137</v>
      </c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</row>
    <row r="13" spans="1:36" ht="10.5" customHeight="1">
      <c r="A13" s="41" t="s">
        <v>232</v>
      </c>
      <c r="B13" s="142">
        <v>0</v>
      </c>
      <c r="C13" s="142">
        <v>0</v>
      </c>
      <c r="D13" s="142">
        <v>0</v>
      </c>
      <c r="E13" s="142">
        <v>0</v>
      </c>
      <c r="F13" s="142">
        <v>0</v>
      </c>
      <c r="G13" s="142">
        <v>0</v>
      </c>
      <c r="H13" s="143"/>
      <c r="I13" s="143"/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0</v>
      </c>
      <c r="P13" s="149"/>
      <c r="Q13" s="146" t="s">
        <v>233</v>
      </c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</row>
    <row r="14" spans="1:36" ht="10.5" customHeight="1">
      <c r="A14" s="41" t="s">
        <v>142</v>
      </c>
      <c r="B14" s="142">
        <v>0</v>
      </c>
      <c r="C14" s="142">
        <v>0</v>
      </c>
      <c r="D14" s="142">
        <v>0</v>
      </c>
      <c r="E14" s="142">
        <v>0</v>
      </c>
      <c r="F14" s="142">
        <v>0</v>
      </c>
      <c r="G14" s="142">
        <v>0</v>
      </c>
      <c r="H14" s="143"/>
      <c r="I14" s="143"/>
      <c r="J14" s="142">
        <v>0</v>
      </c>
      <c r="K14" s="142">
        <v>0</v>
      </c>
      <c r="L14" s="142">
        <v>0</v>
      </c>
      <c r="M14" s="142">
        <v>0</v>
      </c>
      <c r="N14" s="142">
        <v>0</v>
      </c>
      <c r="O14" s="150">
        <v>0</v>
      </c>
      <c r="P14" s="149"/>
      <c r="Q14" s="146" t="s">
        <v>142</v>
      </c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</row>
    <row r="15" spans="1:36" s="130" customFormat="1" ht="11" customHeight="1">
      <c r="A15" s="58" t="s">
        <v>234</v>
      </c>
      <c r="B15" s="151">
        <v>101.1875650619121</v>
      </c>
      <c r="C15" s="151">
        <v>331.99579631221934</v>
      </c>
      <c r="D15" s="152">
        <v>270.33103810778744</v>
      </c>
      <c r="E15" s="152">
        <v>872.82838620505981</v>
      </c>
      <c r="F15" s="151">
        <v>212.51681751040667</v>
      </c>
      <c r="G15" s="152">
        <v>1547.4640371807147</v>
      </c>
      <c r="H15" s="153">
        <v>0</v>
      </c>
      <c r="I15" s="154"/>
      <c r="J15" s="152">
        <v>956.13709664840496</v>
      </c>
      <c r="K15" s="152">
        <v>46.921341460000001</v>
      </c>
      <c r="L15" s="152">
        <v>437.52315907136716</v>
      </c>
      <c r="M15" s="152">
        <v>453.47067667950006</v>
      </c>
      <c r="N15" s="152">
        <v>361.69050647440218</v>
      </c>
      <c r="O15" s="155">
        <v>5592.0664207117743</v>
      </c>
      <c r="P15" s="156"/>
      <c r="Q15" s="157" t="s">
        <v>234</v>
      </c>
      <c r="R15" s="147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</row>
    <row r="16" spans="1:36" s="130" customFormat="1" ht="11" customHeight="1">
      <c r="A16" s="58" t="s">
        <v>235</v>
      </c>
      <c r="B16" s="158">
        <v>0</v>
      </c>
      <c r="C16" s="158">
        <v>0</v>
      </c>
      <c r="D16" s="158">
        <v>0</v>
      </c>
      <c r="E16" s="158">
        <v>0</v>
      </c>
      <c r="F16" s="158">
        <v>0</v>
      </c>
      <c r="G16" s="158">
        <v>0</v>
      </c>
      <c r="H16" s="159"/>
      <c r="I16" s="160"/>
      <c r="J16" s="161">
        <v>0</v>
      </c>
      <c r="K16" s="161">
        <v>0</v>
      </c>
      <c r="L16" s="161">
        <v>0</v>
      </c>
      <c r="M16" s="161">
        <v>0</v>
      </c>
      <c r="N16" s="161">
        <v>0</v>
      </c>
      <c r="O16" s="161">
        <v>0</v>
      </c>
      <c r="P16" s="162"/>
      <c r="Q16" s="163" t="s">
        <v>236</v>
      </c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</row>
    <row r="17" spans="1:36" s="130" customFormat="1" ht="11" customHeight="1">
      <c r="A17" s="58" t="s">
        <v>237</v>
      </c>
      <c r="B17" s="151">
        <v>101.1875650619121</v>
      </c>
      <c r="C17" s="151">
        <v>331.99579631221934</v>
      </c>
      <c r="D17" s="152">
        <v>270.33103810778744</v>
      </c>
      <c r="E17" s="152">
        <v>872.82838620505981</v>
      </c>
      <c r="F17" s="151">
        <v>212.51681751040667</v>
      </c>
      <c r="G17" s="152">
        <v>1547.4640371807147</v>
      </c>
      <c r="H17" s="153">
        <v>0</v>
      </c>
      <c r="I17" s="154"/>
      <c r="J17" s="152">
        <v>956.13709664840496</v>
      </c>
      <c r="K17" s="152">
        <v>46.921341460000001</v>
      </c>
      <c r="L17" s="152">
        <v>437.52315907136716</v>
      </c>
      <c r="M17" s="152">
        <v>453.47067667950006</v>
      </c>
      <c r="N17" s="152">
        <v>361.69050647440218</v>
      </c>
      <c r="O17" s="151">
        <v>5592.0664207117743</v>
      </c>
      <c r="P17" s="156"/>
      <c r="Q17" s="157" t="s">
        <v>237</v>
      </c>
      <c r="R17" s="147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</row>
    <row r="18" spans="1:36" ht="10.5" customHeight="1">
      <c r="A18" s="51" t="s">
        <v>143</v>
      </c>
      <c r="B18" s="164">
        <v>0</v>
      </c>
      <c r="C18" s="164">
        <v>0</v>
      </c>
      <c r="D18" s="164">
        <v>222.50523840438652</v>
      </c>
      <c r="E18" s="165">
        <v>775.50021285667435</v>
      </c>
      <c r="F18" s="165">
        <v>162.54388324040667</v>
      </c>
      <c r="G18" s="164">
        <v>1533.8836011807148</v>
      </c>
      <c r="H18" s="166">
        <v>0</v>
      </c>
      <c r="I18" s="166"/>
      <c r="J18" s="164">
        <v>785.09110660437466</v>
      </c>
      <c r="K18" s="164">
        <v>1.2037900000000001</v>
      </c>
      <c r="L18" s="164">
        <v>437.52315907136716</v>
      </c>
      <c r="M18" s="164">
        <v>453.47067667950006</v>
      </c>
      <c r="N18" s="164">
        <v>0</v>
      </c>
      <c r="O18" s="165">
        <v>4371.721668037424</v>
      </c>
      <c r="P18" s="167"/>
      <c r="Q18" s="168" t="s">
        <v>143</v>
      </c>
      <c r="R18" s="147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</row>
    <row r="19" spans="1:36" ht="10.5" customHeight="1">
      <c r="A19" s="41" t="s">
        <v>144</v>
      </c>
      <c r="B19" s="142">
        <v>0</v>
      </c>
      <c r="C19" s="142">
        <v>0</v>
      </c>
      <c r="D19" s="142">
        <v>222.50523840438652</v>
      </c>
      <c r="E19" s="140">
        <v>775.50021285667435</v>
      </c>
      <c r="F19" s="140">
        <v>162.54388324040667</v>
      </c>
      <c r="G19" s="142">
        <v>1533.8836011807148</v>
      </c>
      <c r="H19" s="143">
        <v>0</v>
      </c>
      <c r="I19" s="143"/>
      <c r="J19" s="142">
        <v>785.09110660437466</v>
      </c>
      <c r="K19" s="142">
        <v>1.2037900000000001</v>
      </c>
      <c r="L19" s="142">
        <v>437.52315907136716</v>
      </c>
      <c r="M19" s="142">
        <v>453.47067667950006</v>
      </c>
      <c r="N19" s="142">
        <v>0</v>
      </c>
      <c r="O19" s="140">
        <v>4371.721668037424</v>
      </c>
      <c r="P19" s="145"/>
      <c r="Q19" s="146" t="s">
        <v>144</v>
      </c>
      <c r="R19" s="147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</row>
    <row r="20" spans="1:36" ht="10.5" customHeight="1">
      <c r="A20" s="41" t="s">
        <v>238</v>
      </c>
      <c r="B20" s="142">
        <v>0</v>
      </c>
      <c r="C20" s="142">
        <v>0</v>
      </c>
      <c r="D20" s="140">
        <v>145.72270815404957</v>
      </c>
      <c r="E20" s="140">
        <v>421.77473043586184</v>
      </c>
      <c r="F20" s="142">
        <v>0</v>
      </c>
      <c r="G20" s="142">
        <v>0</v>
      </c>
      <c r="H20" s="143"/>
      <c r="I20" s="143"/>
      <c r="J20" s="142">
        <v>57.716952365595006</v>
      </c>
      <c r="K20" s="142">
        <v>0</v>
      </c>
      <c r="L20" s="142">
        <v>356.28366380051591</v>
      </c>
      <c r="M20" s="140">
        <v>306.86472785898536</v>
      </c>
      <c r="N20" s="142">
        <v>0</v>
      </c>
      <c r="O20" s="140">
        <v>1288.3627826150077</v>
      </c>
      <c r="P20" s="149"/>
      <c r="Q20" s="146" t="s">
        <v>238</v>
      </c>
      <c r="R20" s="147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</row>
    <row r="21" spans="1:36" ht="10.5" customHeight="1">
      <c r="A21" s="41" t="s">
        <v>239</v>
      </c>
      <c r="B21" s="142">
        <v>0</v>
      </c>
      <c r="C21" s="142">
        <v>0</v>
      </c>
      <c r="D21" s="140">
        <v>76.782530250336947</v>
      </c>
      <c r="E21" s="140">
        <v>353.72548242081251</v>
      </c>
      <c r="F21" s="140">
        <v>162.54388324040667</v>
      </c>
      <c r="G21" s="142">
        <v>1533.8836011807148</v>
      </c>
      <c r="H21" s="143"/>
      <c r="I21" s="143"/>
      <c r="J21" s="142">
        <v>727.37415423877962</v>
      </c>
      <c r="K21" s="142">
        <v>1.2037900000000001</v>
      </c>
      <c r="L21" s="141">
        <v>81.239495270851251</v>
      </c>
      <c r="M21" s="140">
        <v>146.6059488205147</v>
      </c>
      <c r="N21" s="142">
        <v>0</v>
      </c>
      <c r="O21" s="140">
        <v>3083.3588854224167</v>
      </c>
      <c r="P21" s="145"/>
      <c r="Q21" s="146" t="s">
        <v>239</v>
      </c>
      <c r="R21" s="147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</row>
    <row r="22" spans="1:36" ht="10.5" customHeight="1">
      <c r="A22" s="41" t="s">
        <v>146</v>
      </c>
      <c r="B22" s="142">
        <v>0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3"/>
      <c r="I22" s="143"/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5"/>
      <c r="Q22" s="146" t="s">
        <v>146</v>
      </c>
      <c r="R22" s="147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</row>
    <row r="23" spans="1:36" ht="10.5" customHeight="1">
      <c r="A23" s="41" t="s">
        <v>147</v>
      </c>
      <c r="B23" s="142">
        <v>0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3"/>
      <c r="I23" s="143"/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9"/>
      <c r="Q23" s="146" t="s">
        <v>147</v>
      </c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</row>
    <row r="24" spans="1:36" ht="10.5" customHeight="1">
      <c r="A24" s="41" t="s">
        <v>148</v>
      </c>
      <c r="B24" s="142">
        <v>0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3"/>
      <c r="I24" s="143"/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9"/>
      <c r="Q24" s="146" t="s">
        <v>148</v>
      </c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</row>
    <row r="25" spans="1:36" ht="10.5" customHeight="1">
      <c r="A25" s="41" t="s">
        <v>116</v>
      </c>
      <c r="B25" s="142">
        <v>0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3"/>
      <c r="I25" s="143"/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9"/>
      <c r="Q25" s="146" t="s">
        <v>116</v>
      </c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</row>
    <row r="26" spans="1:36" ht="10.5" customHeight="1">
      <c r="A26" s="41" t="s">
        <v>149</v>
      </c>
      <c r="B26" s="142">
        <v>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3"/>
      <c r="I26" s="143"/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9"/>
      <c r="Q26" s="146" t="s">
        <v>149</v>
      </c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</row>
    <row r="27" spans="1:36" ht="10.5" customHeight="1">
      <c r="A27" s="41" t="s">
        <v>114</v>
      </c>
      <c r="B27" s="142">
        <v>0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3"/>
      <c r="I27" s="143"/>
      <c r="J27" s="150">
        <v>0</v>
      </c>
      <c r="K27" s="150">
        <v>0</v>
      </c>
      <c r="L27" s="150">
        <v>0</v>
      </c>
      <c r="M27" s="150">
        <v>0</v>
      </c>
      <c r="N27" s="150">
        <v>0</v>
      </c>
      <c r="O27" s="150">
        <v>0</v>
      </c>
      <c r="P27" s="169"/>
      <c r="Q27" s="170" t="s">
        <v>114</v>
      </c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</row>
    <row r="28" spans="1:36" s="130" customFormat="1" ht="11.25" customHeight="1">
      <c r="A28" s="171" t="s">
        <v>150</v>
      </c>
      <c r="B28" s="172">
        <v>0</v>
      </c>
      <c r="C28" s="172">
        <v>0</v>
      </c>
      <c r="D28" s="172">
        <v>0</v>
      </c>
      <c r="E28" s="172">
        <v>0</v>
      </c>
      <c r="F28" s="172">
        <v>0</v>
      </c>
      <c r="G28" s="172">
        <v>0</v>
      </c>
      <c r="H28" s="173"/>
      <c r="I28" s="160"/>
      <c r="J28" s="174">
        <v>0</v>
      </c>
      <c r="K28" s="174">
        <v>0</v>
      </c>
      <c r="L28" s="174">
        <v>0</v>
      </c>
      <c r="M28" s="174">
        <v>0</v>
      </c>
      <c r="N28" s="174">
        <v>0</v>
      </c>
      <c r="O28" s="142">
        <v>0</v>
      </c>
      <c r="P28" s="175"/>
      <c r="Q28" s="176" t="s">
        <v>150</v>
      </c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</row>
    <row r="29" spans="1:36" ht="10.5" customHeight="1">
      <c r="A29" s="41" t="s">
        <v>144</v>
      </c>
      <c r="B29" s="142">
        <v>0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3"/>
      <c r="I29" s="143"/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77"/>
      <c r="Q29" s="146" t="s">
        <v>144</v>
      </c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</row>
    <row r="30" spans="1:36" ht="10.5" customHeight="1">
      <c r="A30" s="41" t="s">
        <v>151</v>
      </c>
      <c r="B30" s="142">
        <v>0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3"/>
      <c r="I30" s="143"/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77"/>
      <c r="Q30" s="146" t="s">
        <v>151</v>
      </c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</row>
    <row r="31" spans="1:36" ht="10.5" customHeight="1">
      <c r="A31" s="41" t="s">
        <v>147</v>
      </c>
      <c r="B31" s="142">
        <v>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3"/>
      <c r="I31" s="143"/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77"/>
      <c r="Q31" s="146" t="s">
        <v>147</v>
      </c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</row>
    <row r="32" spans="1:36" ht="10.5" customHeight="1">
      <c r="A32" s="41" t="s">
        <v>152</v>
      </c>
      <c r="B32" s="142">
        <v>0</v>
      </c>
      <c r="C32" s="142">
        <v>0</v>
      </c>
      <c r="D32" s="142">
        <v>0</v>
      </c>
      <c r="E32" s="142">
        <v>0</v>
      </c>
      <c r="F32" s="142">
        <v>0</v>
      </c>
      <c r="G32" s="142">
        <v>0</v>
      </c>
      <c r="H32" s="143"/>
      <c r="I32" s="143"/>
      <c r="J32" s="142">
        <v>0</v>
      </c>
      <c r="K32" s="142">
        <v>0</v>
      </c>
      <c r="L32" s="142">
        <v>0</v>
      </c>
      <c r="M32" s="142">
        <v>0</v>
      </c>
      <c r="N32" s="142">
        <v>0</v>
      </c>
      <c r="O32" s="142">
        <v>0</v>
      </c>
      <c r="P32" s="177"/>
      <c r="Q32" s="146" t="s">
        <v>152</v>
      </c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</row>
    <row r="33" spans="1:36" ht="10.5" customHeight="1">
      <c r="A33" s="41" t="s">
        <v>148</v>
      </c>
      <c r="B33" s="142">
        <v>0</v>
      </c>
      <c r="C33" s="142">
        <v>0</v>
      </c>
      <c r="D33" s="142">
        <v>0</v>
      </c>
      <c r="E33" s="142">
        <v>0</v>
      </c>
      <c r="F33" s="142">
        <v>0</v>
      </c>
      <c r="G33" s="142">
        <v>0</v>
      </c>
      <c r="H33" s="143"/>
      <c r="I33" s="143"/>
      <c r="J33" s="142">
        <v>0</v>
      </c>
      <c r="K33" s="142">
        <v>0</v>
      </c>
      <c r="L33" s="142">
        <v>0</v>
      </c>
      <c r="M33" s="142">
        <v>0</v>
      </c>
      <c r="N33" s="142">
        <v>0</v>
      </c>
      <c r="O33" s="142">
        <v>0</v>
      </c>
      <c r="P33" s="177"/>
      <c r="Q33" s="146" t="s">
        <v>148</v>
      </c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</row>
    <row r="34" spans="1:36" ht="10.5" customHeight="1">
      <c r="A34" s="41" t="s">
        <v>116</v>
      </c>
      <c r="B34" s="142">
        <v>0</v>
      </c>
      <c r="C34" s="142">
        <v>0</v>
      </c>
      <c r="D34" s="142">
        <v>0</v>
      </c>
      <c r="E34" s="142">
        <v>0</v>
      </c>
      <c r="F34" s="142">
        <v>0</v>
      </c>
      <c r="G34" s="142">
        <v>0</v>
      </c>
      <c r="H34" s="143"/>
      <c r="I34" s="143"/>
      <c r="J34" s="142">
        <v>0</v>
      </c>
      <c r="K34" s="142">
        <v>0</v>
      </c>
      <c r="L34" s="142">
        <v>0</v>
      </c>
      <c r="M34" s="142">
        <v>0</v>
      </c>
      <c r="N34" s="142">
        <v>0</v>
      </c>
      <c r="O34" s="142">
        <v>0</v>
      </c>
      <c r="P34" s="177"/>
      <c r="Q34" s="146" t="s">
        <v>116</v>
      </c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</row>
    <row r="35" spans="1:36" ht="10.5" customHeight="1">
      <c r="A35" s="41" t="s">
        <v>149</v>
      </c>
      <c r="B35" s="142">
        <v>0</v>
      </c>
      <c r="C35" s="142">
        <v>0</v>
      </c>
      <c r="D35" s="142">
        <v>0</v>
      </c>
      <c r="E35" s="142">
        <v>0</v>
      </c>
      <c r="F35" s="142">
        <v>0</v>
      </c>
      <c r="G35" s="142">
        <v>0</v>
      </c>
      <c r="H35" s="143"/>
      <c r="I35" s="143"/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2">
        <v>0</v>
      </c>
      <c r="P35" s="177"/>
      <c r="Q35" s="146" t="s">
        <v>149</v>
      </c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</row>
    <row r="36" spans="1:36" ht="10.5" customHeight="1">
      <c r="A36" s="41" t="s">
        <v>153</v>
      </c>
      <c r="B36" s="142">
        <v>0</v>
      </c>
      <c r="C36" s="142">
        <v>0</v>
      </c>
      <c r="D36" s="142">
        <v>0</v>
      </c>
      <c r="E36" s="142">
        <v>0</v>
      </c>
      <c r="F36" s="142">
        <v>0</v>
      </c>
      <c r="G36" s="142">
        <v>0</v>
      </c>
      <c r="H36" s="143"/>
      <c r="I36" s="143"/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2">
        <v>0</v>
      </c>
      <c r="P36" s="177"/>
      <c r="Q36" s="146" t="s">
        <v>153</v>
      </c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</row>
    <row r="37" spans="1:36" ht="10.5" customHeight="1">
      <c r="A37" s="41" t="s">
        <v>114</v>
      </c>
      <c r="B37" s="142">
        <v>0</v>
      </c>
      <c r="C37" s="142">
        <v>0</v>
      </c>
      <c r="D37" s="142">
        <v>0</v>
      </c>
      <c r="E37" s="142">
        <v>0</v>
      </c>
      <c r="F37" s="142">
        <v>0</v>
      </c>
      <c r="G37" s="142">
        <v>0</v>
      </c>
      <c r="H37" s="143"/>
      <c r="I37" s="143"/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2">
        <v>0</v>
      </c>
      <c r="P37" s="177"/>
      <c r="Q37" s="146" t="s">
        <v>114</v>
      </c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</row>
    <row r="38" spans="1:36" ht="10.5" customHeight="1">
      <c r="A38" s="51" t="s">
        <v>52</v>
      </c>
      <c r="B38" s="164">
        <v>0</v>
      </c>
      <c r="C38" s="164">
        <v>0</v>
      </c>
      <c r="D38" s="166">
        <v>0</v>
      </c>
      <c r="E38" s="166">
        <v>0</v>
      </c>
      <c r="F38" s="164">
        <v>0</v>
      </c>
      <c r="G38" s="164">
        <v>0</v>
      </c>
      <c r="H38" s="166"/>
      <c r="I38" s="143"/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50">
        <v>0</v>
      </c>
      <c r="P38" s="177"/>
      <c r="Q38" s="168" t="s">
        <v>52</v>
      </c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</row>
    <row r="39" spans="1:36" s="130" customFormat="1" ht="11.25" customHeight="1">
      <c r="A39" s="58" t="s">
        <v>154</v>
      </c>
      <c r="B39" s="151">
        <v>101.1875650619121</v>
      </c>
      <c r="C39" s="151">
        <v>331.99579631221934</v>
      </c>
      <c r="D39" s="152">
        <v>47.825799703400925</v>
      </c>
      <c r="E39" s="152">
        <v>97.328173348385405</v>
      </c>
      <c r="F39" s="151">
        <v>49.972934270000003</v>
      </c>
      <c r="G39" s="152">
        <v>13.580435999999999</v>
      </c>
      <c r="H39" s="153">
        <v>0</v>
      </c>
      <c r="I39" s="154"/>
      <c r="J39" s="152">
        <v>171.04599004403033</v>
      </c>
      <c r="K39" s="152">
        <v>45.717551460000003</v>
      </c>
      <c r="L39" s="152">
        <v>0</v>
      </c>
      <c r="M39" s="152">
        <v>0</v>
      </c>
      <c r="N39" s="152">
        <v>361.69050647440218</v>
      </c>
      <c r="O39" s="178">
        <v>1220.3447526743503</v>
      </c>
      <c r="P39" s="153"/>
      <c r="Q39" s="157" t="s">
        <v>154</v>
      </c>
      <c r="R39" s="147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</row>
    <row r="40" spans="1:36" ht="11.25" customHeight="1">
      <c r="A40" s="51" t="s">
        <v>39</v>
      </c>
      <c r="B40" s="165">
        <v>101.1875650619121</v>
      </c>
      <c r="C40" s="164">
        <v>0</v>
      </c>
      <c r="D40" s="164">
        <v>45.822349203400925</v>
      </c>
      <c r="E40" s="164">
        <v>25.460301710136619</v>
      </c>
      <c r="F40" s="164">
        <v>0</v>
      </c>
      <c r="G40" s="164">
        <v>13.580435999999999</v>
      </c>
      <c r="H40" s="166"/>
      <c r="I40" s="143"/>
      <c r="J40" s="164">
        <v>90.27999525857301</v>
      </c>
      <c r="K40" s="164">
        <v>0</v>
      </c>
      <c r="L40" s="164">
        <v>0</v>
      </c>
      <c r="M40" s="164">
        <v>0</v>
      </c>
      <c r="N40" s="164">
        <v>0</v>
      </c>
      <c r="O40" s="165">
        <v>276.33064723402265</v>
      </c>
      <c r="P40" s="179"/>
      <c r="Q40" s="168" t="s">
        <v>39</v>
      </c>
      <c r="R40" s="147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</row>
    <row r="41" spans="1:36" ht="10.5" customHeight="1">
      <c r="A41" s="41" t="s">
        <v>155</v>
      </c>
      <c r="B41" s="140">
        <v>101.1875650619121</v>
      </c>
      <c r="C41" s="142">
        <v>0</v>
      </c>
      <c r="D41" s="142">
        <v>45.822349203400925</v>
      </c>
      <c r="E41" s="142">
        <v>25.460301710136619</v>
      </c>
      <c r="F41" s="142">
        <v>0</v>
      </c>
      <c r="G41" s="142">
        <v>13.580435999999999</v>
      </c>
      <c r="H41" s="143"/>
      <c r="I41" s="143"/>
      <c r="J41" s="142">
        <v>90.27999525857301</v>
      </c>
      <c r="K41" s="142">
        <v>0</v>
      </c>
      <c r="L41" s="142">
        <v>0</v>
      </c>
      <c r="M41" s="142">
        <v>0</v>
      </c>
      <c r="N41" s="142">
        <v>0</v>
      </c>
      <c r="O41" s="140">
        <v>276.33064723402265</v>
      </c>
      <c r="P41" s="149"/>
      <c r="Q41" s="146" t="s">
        <v>155</v>
      </c>
      <c r="R41" s="147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</row>
    <row r="42" spans="1:36" ht="10.5" customHeight="1">
      <c r="A42" s="41" t="s">
        <v>156</v>
      </c>
      <c r="B42" s="142">
        <v>0</v>
      </c>
      <c r="C42" s="142">
        <v>0</v>
      </c>
      <c r="D42" s="142">
        <v>0</v>
      </c>
      <c r="E42" s="142">
        <v>0</v>
      </c>
      <c r="F42" s="142">
        <v>0</v>
      </c>
      <c r="G42" s="142">
        <v>0</v>
      </c>
      <c r="H42" s="143"/>
      <c r="I42" s="143"/>
      <c r="J42" s="142">
        <v>0</v>
      </c>
      <c r="K42" s="142">
        <v>0</v>
      </c>
      <c r="L42" s="142">
        <v>0</v>
      </c>
      <c r="M42" s="142">
        <v>0</v>
      </c>
      <c r="N42" s="142">
        <v>0</v>
      </c>
      <c r="O42" s="142">
        <v>0</v>
      </c>
      <c r="P42" s="149"/>
      <c r="Q42" s="146" t="s">
        <v>156</v>
      </c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</row>
    <row r="43" spans="1:36" ht="10.5" customHeight="1">
      <c r="A43" s="41" t="s">
        <v>157</v>
      </c>
      <c r="B43" s="142">
        <v>0</v>
      </c>
      <c r="C43" s="142">
        <v>0</v>
      </c>
      <c r="D43" s="142">
        <v>0</v>
      </c>
      <c r="E43" s="142">
        <v>0</v>
      </c>
      <c r="F43" s="142">
        <v>0</v>
      </c>
      <c r="G43" s="142">
        <v>0</v>
      </c>
      <c r="H43" s="143"/>
      <c r="I43" s="143"/>
      <c r="J43" s="142">
        <v>0</v>
      </c>
      <c r="K43" s="142">
        <v>0</v>
      </c>
      <c r="L43" s="142">
        <v>0</v>
      </c>
      <c r="M43" s="142">
        <v>0</v>
      </c>
      <c r="N43" s="142">
        <v>0</v>
      </c>
      <c r="O43" s="142">
        <v>0</v>
      </c>
      <c r="P43" s="149"/>
      <c r="Q43" s="146" t="s">
        <v>157</v>
      </c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</row>
    <row r="44" spans="1:36" ht="10.5" customHeight="1">
      <c r="A44" s="41" t="s">
        <v>158</v>
      </c>
      <c r="B44" s="142">
        <v>0</v>
      </c>
      <c r="C44" s="142">
        <v>0</v>
      </c>
      <c r="D44" s="142">
        <v>0</v>
      </c>
      <c r="E44" s="142">
        <v>0</v>
      </c>
      <c r="F44" s="142">
        <v>0</v>
      </c>
      <c r="G44" s="142">
        <v>0</v>
      </c>
      <c r="H44" s="143"/>
      <c r="I44" s="143"/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0</v>
      </c>
      <c r="P44" s="149"/>
      <c r="Q44" s="146" t="s">
        <v>158</v>
      </c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</row>
    <row r="45" spans="1:36" ht="10.5" customHeight="1">
      <c r="A45" s="41" t="s">
        <v>159</v>
      </c>
      <c r="B45" s="142">
        <v>0</v>
      </c>
      <c r="C45" s="142">
        <v>0</v>
      </c>
      <c r="D45" s="142">
        <v>0</v>
      </c>
      <c r="E45" s="142">
        <v>0</v>
      </c>
      <c r="F45" s="142">
        <v>0</v>
      </c>
      <c r="G45" s="142">
        <v>0</v>
      </c>
      <c r="H45" s="143"/>
      <c r="I45" s="143"/>
      <c r="J45" s="142">
        <v>0</v>
      </c>
      <c r="K45" s="142">
        <v>0</v>
      </c>
      <c r="L45" s="142">
        <v>0</v>
      </c>
      <c r="M45" s="142">
        <v>0</v>
      </c>
      <c r="N45" s="142">
        <v>0</v>
      </c>
      <c r="O45" s="142">
        <v>0</v>
      </c>
      <c r="P45" s="149"/>
      <c r="Q45" s="146" t="s">
        <v>159</v>
      </c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</row>
    <row r="46" spans="1:36" ht="10.5" customHeight="1">
      <c r="A46" s="41" t="s">
        <v>240</v>
      </c>
      <c r="B46" s="142">
        <v>0</v>
      </c>
      <c r="C46" s="142">
        <v>0</v>
      </c>
      <c r="D46" s="142">
        <v>0</v>
      </c>
      <c r="E46" s="142">
        <v>0</v>
      </c>
      <c r="F46" s="142">
        <v>0</v>
      </c>
      <c r="G46" s="142">
        <v>0</v>
      </c>
      <c r="H46" s="143"/>
      <c r="I46" s="143"/>
      <c r="J46" s="142">
        <v>0</v>
      </c>
      <c r="K46" s="142">
        <v>0</v>
      </c>
      <c r="L46" s="142">
        <v>0</v>
      </c>
      <c r="M46" s="142">
        <v>0</v>
      </c>
      <c r="N46" s="142">
        <v>0</v>
      </c>
      <c r="O46" s="142">
        <v>0</v>
      </c>
      <c r="P46" s="149"/>
      <c r="Q46" s="146" t="s">
        <v>240</v>
      </c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</row>
    <row r="47" spans="1:36" ht="10.5" customHeight="1">
      <c r="A47" s="41" t="s">
        <v>241</v>
      </c>
      <c r="B47" s="142">
        <v>0</v>
      </c>
      <c r="C47" s="142">
        <v>0</v>
      </c>
      <c r="D47" s="142">
        <v>0</v>
      </c>
      <c r="E47" s="142">
        <v>0</v>
      </c>
      <c r="F47" s="142">
        <v>0</v>
      </c>
      <c r="G47" s="142">
        <v>0</v>
      </c>
      <c r="H47" s="143"/>
      <c r="I47" s="143"/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49"/>
      <c r="Q47" s="146" t="s">
        <v>241</v>
      </c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</row>
    <row r="48" spans="1:36" ht="10.5" customHeight="1">
      <c r="A48" s="41" t="s">
        <v>162</v>
      </c>
      <c r="B48" s="142">
        <v>0</v>
      </c>
      <c r="C48" s="142">
        <v>0</v>
      </c>
      <c r="D48" s="142">
        <v>0</v>
      </c>
      <c r="E48" s="142">
        <v>0</v>
      </c>
      <c r="F48" s="142">
        <v>0</v>
      </c>
      <c r="G48" s="142">
        <v>0</v>
      </c>
      <c r="H48" s="143"/>
      <c r="I48" s="143"/>
      <c r="J48" s="142">
        <v>0</v>
      </c>
      <c r="K48" s="142">
        <v>0</v>
      </c>
      <c r="L48" s="142">
        <v>0</v>
      </c>
      <c r="M48" s="142">
        <v>0</v>
      </c>
      <c r="N48" s="142">
        <v>0</v>
      </c>
      <c r="O48" s="142">
        <v>0</v>
      </c>
      <c r="P48" s="149"/>
      <c r="Q48" s="146" t="s">
        <v>162</v>
      </c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</row>
    <row r="49" spans="1:36" ht="10.5" customHeight="1">
      <c r="A49" s="41" t="s">
        <v>242</v>
      </c>
      <c r="B49" s="142">
        <v>0</v>
      </c>
      <c r="C49" s="142">
        <v>0</v>
      </c>
      <c r="D49" s="142">
        <v>0</v>
      </c>
      <c r="E49" s="142">
        <v>0</v>
      </c>
      <c r="F49" s="142">
        <v>0</v>
      </c>
      <c r="G49" s="142">
        <v>0</v>
      </c>
      <c r="H49" s="143"/>
      <c r="I49" s="143"/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42">
        <v>0</v>
      </c>
      <c r="P49" s="149"/>
      <c r="Q49" s="146" t="s">
        <v>242</v>
      </c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</row>
    <row r="50" spans="1:36" ht="10.5" customHeight="1">
      <c r="A50" s="41" t="s">
        <v>243</v>
      </c>
      <c r="B50" s="142">
        <v>0</v>
      </c>
      <c r="C50" s="142">
        <v>0</v>
      </c>
      <c r="D50" s="142">
        <v>0</v>
      </c>
      <c r="E50" s="142">
        <v>0</v>
      </c>
      <c r="F50" s="142">
        <v>0</v>
      </c>
      <c r="G50" s="142">
        <v>0</v>
      </c>
      <c r="H50" s="143"/>
      <c r="I50" s="143"/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49"/>
      <c r="Q50" s="146" t="s">
        <v>243</v>
      </c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</row>
    <row r="51" spans="1:36" ht="10.5" customHeight="1">
      <c r="A51" s="41" t="s">
        <v>244</v>
      </c>
      <c r="B51" s="142">
        <v>0</v>
      </c>
      <c r="C51" s="142">
        <v>0</v>
      </c>
      <c r="D51" s="142">
        <v>0</v>
      </c>
      <c r="E51" s="142">
        <v>0</v>
      </c>
      <c r="F51" s="142">
        <v>0</v>
      </c>
      <c r="G51" s="142">
        <v>0</v>
      </c>
      <c r="H51" s="143"/>
      <c r="I51" s="143"/>
      <c r="J51" s="142">
        <v>0</v>
      </c>
      <c r="K51" s="142">
        <v>0</v>
      </c>
      <c r="L51" s="142">
        <v>0</v>
      </c>
      <c r="M51" s="142">
        <v>0</v>
      </c>
      <c r="N51" s="142">
        <v>0</v>
      </c>
      <c r="O51" s="142">
        <v>0</v>
      </c>
      <c r="P51" s="149"/>
      <c r="Q51" s="146" t="s">
        <v>244</v>
      </c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</row>
    <row r="52" spans="1:36" ht="10.5" customHeight="1">
      <c r="A52" s="41" t="s">
        <v>166</v>
      </c>
      <c r="B52" s="142">
        <v>0</v>
      </c>
      <c r="C52" s="142">
        <v>0</v>
      </c>
      <c r="D52" s="142">
        <v>0</v>
      </c>
      <c r="E52" s="142">
        <v>0</v>
      </c>
      <c r="F52" s="142">
        <v>0</v>
      </c>
      <c r="G52" s="142">
        <v>0</v>
      </c>
      <c r="H52" s="143"/>
      <c r="I52" s="143"/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49"/>
      <c r="Q52" s="146" t="s">
        <v>166</v>
      </c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</row>
    <row r="53" spans="1:36" ht="10.5" customHeight="1">
      <c r="A53" s="41" t="s">
        <v>167</v>
      </c>
      <c r="B53" s="142">
        <v>0</v>
      </c>
      <c r="C53" s="142">
        <v>0</v>
      </c>
      <c r="D53" s="142">
        <v>0</v>
      </c>
      <c r="E53" s="142">
        <v>0</v>
      </c>
      <c r="F53" s="142">
        <v>0</v>
      </c>
      <c r="G53" s="142">
        <v>0</v>
      </c>
      <c r="H53" s="143"/>
      <c r="I53" s="143"/>
      <c r="J53" s="142">
        <v>0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49"/>
      <c r="Q53" s="146" t="s">
        <v>167</v>
      </c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</row>
    <row r="54" spans="1:36" ht="10.5" customHeight="1">
      <c r="A54" s="51" t="s">
        <v>245</v>
      </c>
      <c r="B54" s="164">
        <v>0</v>
      </c>
      <c r="C54" s="164">
        <v>0</v>
      </c>
      <c r="D54" s="164">
        <v>0</v>
      </c>
      <c r="E54" s="164">
        <v>0</v>
      </c>
      <c r="F54" s="164">
        <v>0</v>
      </c>
      <c r="G54" s="164">
        <v>0</v>
      </c>
      <c r="H54" s="166"/>
      <c r="I54" s="143"/>
      <c r="J54" s="142">
        <v>0</v>
      </c>
      <c r="K54" s="142">
        <v>0</v>
      </c>
      <c r="L54" s="142">
        <v>0</v>
      </c>
      <c r="M54" s="142">
        <v>0</v>
      </c>
      <c r="N54" s="164">
        <v>361.69050647440218</v>
      </c>
      <c r="O54" s="164">
        <v>361.69050647440218</v>
      </c>
      <c r="P54" s="149"/>
      <c r="Q54" s="168" t="s">
        <v>245</v>
      </c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</row>
    <row r="55" spans="1:36" ht="10.5" customHeight="1">
      <c r="A55" s="41" t="s">
        <v>169</v>
      </c>
      <c r="B55" s="142">
        <v>0</v>
      </c>
      <c r="C55" s="142">
        <v>0</v>
      </c>
      <c r="D55" s="142">
        <v>0</v>
      </c>
      <c r="E55" s="142">
        <v>0</v>
      </c>
      <c r="F55" s="142">
        <v>0</v>
      </c>
      <c r="G55" s="142">
        <v>0</v>
      </c>
      <c r="H55" s="143"/>
      <c r="I55" s="143"/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9"/>
      <c r="Q55" s="146" t="s">
        <v>169</v>
      </c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</row>
    <row r="56" spans="1:36" ht="10.5" customHeight="1">
      <c r="A56" s="41" t="s">
        <v>24</v>
      </c>
      <c r="B56" s="142">
        <v>0</v>
      </c>
      <c r="C56" s="142">
        <v>0</v>
      </c>
      <c r="D56" s="142">
        <v>0</v>
      </c>
      <c r="E56" s="142">
        <v>0</v>
      </c>
      <c r="F56" s="142">
        <v>0</v>
      </c>
      <c r="G56" s="142">
        <v>0</v>
      </c>
      <c r="H56" s="143"/>
      <c r="I56" s="143"/>
      <c r="J56" s="142">
        <v>0</v>
      </c>
      <c r="K56" s="142">
        <v>0</v>
      </c>
      <c r="L56" s="142">
        <v>0</v>
      </c>
      <c r="M56" s="142">
        <v>0</v>
      </c>
      <c r="N56" s="142">
        <v>0</v>
      </c>
      <c r="O56" s="142">
        <v>0</v>
      </c>
      <c r="P56" s="149"/>
      <c r="Q56" s="146" t="s">
        <v>24</v>
      </c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</row>
    <row r="57" spans="1:36" ht="10.5" customHeight="1">
      <c r="A57" s="41" t="s">
        <v>23</v>
      </c>
      <c r="B57" s="142">
        <v>0</v>
      </c>
      <c r="C57" s="142">
        <v>0</v>
      </c>
      <c r="D57" s="142">
        <v>0</v>
      </c>
      <c r="E57" s="142">
        <v>0</v>
      </c>
      <c r="F57" s="142">
        <v>0</v>
      </c>
      <c r="G57" s="142">
        <v>0</v>
      </c>
      <c r="H57" s="143"/>
      <c r="I57" s="143"/>
      <c r="J57" s="142">
        <v>0</v>
      </c>
      <c r="K57" s="142">
        <v>0</v>
      </c>
      <c r="L57" s="142">
        <v>0</v>
      </c>
      <c r="M57" s="142">
        <v>0</v>
      </c>
      <c r="N57" s="142">
        <v>361.69050647440218</v>
      </c>
      <c r="O57" s="142">
        <v>361.69050647440218</v>
      </c>
      <c r="P57" s="149"/>
      <c r="Q57" s="146" t="s">
        <v>23</v>
      </c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</row>
    <row r="58" spans="1:36" ht="10.5" customHeight="1">
      <c r="A58" s="41" t="s">
        <v>170</v>
      </c>
      <c r="B58" s="142">
        <v>0</v>
      </c>
      <c r="C58" s="142">
        <v>0</v>
      </c>
      <c r="D58" s="142">
        <v>0</v>
      </c>
      <c r="E58" s="142">
        <v>0</v>
      </c>
      <c r="F58" s="142">
        <v>0</v>
      </c>
      <c r="G58" s="142">
        <v>0</v>
      </c>
      <c r="H58" s="143"/>
      <c r="I58" s="143"/>
      <c r="J58" s="142">
        <v>0</v>
      </c>
      <c r="K58" s="142">
        <v>0</v>
      </c>
      <c r="L58" s="142">
        <v>0</v>
      </c>
      <c r="M58" s="142">
        <v>0</v>
      </c>
      <c r="N58" s="142">
        <v>0</v>
      </c>
      <c r="O58" s="142">
        <v>0</v>
      </c>
      <c r="P58" s="149"/>
      <c r="Q58" s="146" t="s">
        <v>170</v>
      </c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</row>
    <row r="59" spans="1:36" ht="10.5" customHeight="1">
      <c r="A59" s="41" t="s">
        <v>171</v>
      </c>
      <c r="B59" s="142">
        <v>0</v>
      </c>
      <c r="C59" s="142">
        <v>0</v>
      </c>
      <c r="D59" s="142">
        <v>0</v>
      </c>
      <c r="E59" s="142">
        <v>0</v>
      </c>
      <c r="F59" s="142">
        <v>0</v>
      </c>
      <c r="G59" s="142">
        <v>0</v>
      </c>
      <c r="H59" s="143"/>
      <c r="I59" s="143"/>
      <c r="J59" s="142">
        <v>0</v>
      </c>
      <c r="K59" s="142">
        <v>0</v>
      </c>
      <c r="L59" s="142">
        <v>0</v>
      </c>
      <c r="M59" s="142">
        <v>0</v>
      </c>
      <c r="N59" s="142">
        <v>0</v>
      </c>
      <c r="O59" s="142">
        <v>0</v>
      </c>
      <c r="P59" s="149"/>
      <c r="Q59" s="146" t="s">
        <v>171</v>
      </c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</row>
    <row r="60" spans="1:36" ht="10.5" customHeight="1">
      <c r="A60" s="51" t="s">
        <v>114</v>
      </c>
      <c r="B60" s="164">
        <v>0</v>
      </c>
      <c r="C60" s="165">
        <v>331.99579631221934</v>
      </c>
      <c r="D60" s="164">
        <v>2.0034505</v>
      </c>
      <c r="E60" s="164">
        <v>71.867871638248786</v>
      </c>
      <c r="F60" s="165">
        <v>49.972934270000003</v>
      </c>
      <c r="G60" s="164">
        <v>0</v>
      </c>
      <c r="H60" s="166">
        <v>0</v>
      </c>
      <c r="I60" s="166"/>
      <c r="J60" s="164">
        <v>80.765994785457323</v>
      </c>
      <c r="K60" s="164">
        <v>45.717551460000003</v>
      </c>
      <c r="L60" s="164">
        <v>0</v>
      </c>
      <c r="M60" s="164">
        <v>0</v>
      </c>
      <c r="N60" s="164">
        <v>0</v>
      </c>
      <c r="O60" s="165">
        <v>582.32359896592538</v>
      </c>
      <c r="P60" s="179"/>
      <c r="Q60" s="168" t="s">
        <v>114</v>
      </c>
      <c r="R60" s="147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</row>
    <row r="61" spans="1:36" ht="10.5" customHeight="1">
      <c r="A61" s="41" t="s">
        <v>38</v>
      </c>
      <c r="B61" s="142">
        <v>0</v>
      </c>
      <c r="C61" s="140">
        <v>331.99579631221934</v>
      </c>
      <c r="D61" s="142">
        <v>0</v>
      </c>
      <c r="E61" s="142">
        <v>0</v>
      </c>
      <c r="F61" s="142">
        <v>0</v>
      </c>
      <c r="G61" s="142">
        <v>0</v>
      </c>
      <c r="H61" s="143"/>
      <c r="I61" s="143"/>
      <c r="J61" s="142">
        <v>22.84432501434253</v>
      </c>
      <c r="K61" s="140">
        <v>44.889000000000003</v>
      </c>
      <c r="L61" s="142">
        <v>0</v>
      </c>
      <c r="M61" s="142">
        <v>0</v>
      </c>
      <c r="N61" s="142">
        <v>0</v>
      </c>
      <c r="O61" s="140">
        <v>399.72912132656188</v>
      </c>
      <c r="P61" s="149"/>
      <c r="Q61" s="146" t="s">
        <v>38</v>
      </c>
      <c r="R61" s="147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</row>
    <row r="62" spans="1:36" ht="10.5" customHeight="1">
      <c r="A62" s="41" t="s">
        <v>172</v>
      </c>
      <c r="B62" s="142">
        <v>0</v>
      </c>
      <c r="C62" s="142">
        <v>0</v>
      </c>
      <c r="D62" s="142">
        <v>0</v>
      </c>
      <c r="E62" s="142">
        <v>0</v>
      </c>
      <c r="F62" s="140">
        <v>49.972934270000003</v>
      </c>
      <c r="G62" s="142">
        <v>0</v>
      </c>
      <c r="H62" s="143"/>
      <c r="I62" s="143"/>
      <c r="J62" s="142">
        <v>38.644019430691657</v>
      </c>
      <c r="K62" s="140">
        <v>0.41427573000000001</v>
      </c>
      <c r="L62" s="142">
        <v>0</v>
      </c>
      <c r="M62" s="142">
        <v>0</v>
      </c>
      <c r="N62" s="142">
        <v>0</v>
      </c>
      <c r="O62" s="140">
        <v>89.031229430691653</v>
      </c>
      <c r="P62" s="149"/>
      <c r="Q62" s="146" t="s">
        <v>172</v>
      </c>
      <c r="R62" s="147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</row>
    <row r="63" spans="1:36" ht="10.5" customHeight="1">
      <c r="A63" s="41" t="s">
        <v>47</v>
      </c>
      <c r="B63" s="142">
        <v>0</v>
      </c>
      <c r="C63" s="142">
        <v>0</v>
      </c>
      <c r="D63" s="142">
        <v>0</v>
      </c>
      <c r="E63" s="142">
        <v>0</v>
      </c>
      <c r="F63" s="142">
        <v>0</v>
      </c>
      <c r="G63" s="142">
        <v>0</v>
      </c>
      <c r="H63" s="143"/>
      <c r="I63" s="143"/>
      <c r="J63" s="142">
        <v>19.277650340423136</v>
      </c>
      <c r="K63" s="140">
        <v>0.41427573000000001</v>
      </c>
      <c r="L63" s="142">
        <v>0</v>
      </c>
      <c r="M63" s="142">
        <v>0</v>
      </c>
      <c r="N63" s="142">
        <v>0</v>
      </c>
      <c r="O63" s="140">
        <v>19.691926070423136</v>
      </c>
      <c r="P63" s="149"/>
      <c r="Q63" s="146" t="s">
        <v>47</v>
      </c>
      <c r="R63" s="147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</row>
    <row r="64" spans="1:36" ht="10.5" customHeight="1">
      <c r="A64" s="41" t="s">
        <v>173</v>
      </c>
      <c r="B64" s="142">
        <v>0</v>
      </c>
      <c r="C64" s="142">
        <v>0</v>
      </c>
      <c r="D64" s="142">
        <v>2.0034505</v>
      </c>
      <c r="E64" s="142">
        <v>71.867871638248786</v>
      </c>
      <c r="F64" s="142">
        <v>0</v>
      </c>
      <c r="G64" s="142">
        <v>0</v>
      </c>
      <c r="H64" s="143"/>
      <c r="I64" s="143"/>
      <c r="J64" s="142">
        <v>0</v>
      </c>
      <c r="K64" s="142">
        <v>0</v>
      </c>
      <c r="L64" s="142">
        <v>0</v>
      </c>
      <c r="M64" s="142">
        <v>0</v>
      </c>
      <c r="N64" s="142">
        <v>0</v>
      </c>
      <c r="O64" s="142">
        <v>73.871322138248786</v>
      </c>
      <c r="P64" s="149"/>
      <c r="Q64" s="146" t="s">
        <v>173</v>
      </c>
      <c r="R64" s="147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</row>
    <row r="65" spans="1:36" ht="11.25" customHeight="1">
      <c r="A65" s="41" t="s">
        <v>174</v>
      </c>
      <c r="B65" s="142">
        <v>0</v>
      </c>
      <c r="C65" s="142">
        <v>0</v>
      </c>
      <c r="D65" s="142">
        <v>0</v>
      </c>
      <c r="E65" s="142">
        <v>0</v>
      </c>
      <c r="F65" s="142">
        <v>0</v>
      </c>
      <c r="G65" s="142">
        <v>0</v>
      </c>
      <c r="H65" s="143"/>
      <c r="I65" s="143"/>
      <c r="J65" s="140">
        <v>0</v>
      </c>
      <c r="K65" s="142">
        <v>0</v>
      </c>
      <c r="L65" s="142">
        <v>0</v>
      </c>
      <c r="M65" s="142">
        <v>0</v>
      </c>
      <c r="N65" s="142">
        <v>0</v>
      </c>
      <c r="O65" s="180">
        <v>0</v>
      </c>
      <c r="P65" s="149"/>
      <c r="Q65" s="146" t="s">
        <v>174</v>
      </c>
      <c r="R65" s="147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</row>
    <row r="66" spans="1:36" s="130" customFormat="1" ht="11.25" customHeight="1" thickBot="1">
      <c r="A66" s="75" t="s">
        <v>175</v>
      </c>
      <c r="B66" s="181">
        <v>0</v>
      </c>
      <c r="C66" s="181">
        <v>0</v>
      </c>
      <c r="D66" s="181">
        <v>0</v>
      </c>
      <c r="E66" s="181">
        <v>0</v>
      </c>
      <c r="F66" s="181">
        <v>0</v>
      </c>
      <c r="G66" s="181">
        <v>0</v>
      </c>
      <c r="H66" s="182">
        <v>0</v>
      </c>
      <c r="I66" s="182"/>
      <c r="J66" s="181">
        <v>0</v>
      </c>
      <c r="K66" s="181">
        <v>0</v>
      </c>
      <c r="L66" s="181">
        <v>0</v>
      </c>
      <c r="M66" s="181">
        <v>0</v>
      </c>
      <c r="N66" s="181">
        <v>0</v>
      </c>
      <c r="O66" s="183">
        <v>0</v>
      </c>
      <c r="P66" s="184"/>
      <c r="Q66" s="185" t="s">
        <v>175</v>
      </c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</row>
    <row r="67" spans="1:36" ht="2.25" customHeight="1" thickTop="1">
      <c r="A67" s="186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</row>
    <row r="68" spans="1:36" s="187" customFormat="1" ht="10.5" customHeight="1">
      <c r="A68" s="78" t="s">
        <v>246</v>
      </c>
      <c r="B68" s="41"/>
      <c r="C68" s="46"/>
      <c r="D68" s="78" t="s">
        <v>247</v>
      </c>
      <c r="E68" s="78"/>
      <c r="F68" s="46"/>
      <c r="G68" s="46"/>
      <c r="Q68" s="18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</row>
    <row r="69" spans="1:36" s="187" customFormat="1" ht="10.5" customHeight="1">
      <c r="A69" s="78" t="s">
        <v>248</v>
      </c>
      <c r="B69" s="41"/>
      <c r="C69" s="46"/>
      <c r="D69" s="78" t="s">
        <v>249</v>
      </c>
      <c r="E69" s="78"/>
      <c r="F69" s="46"/>
      <c r="G69" s="46"/>
      <c r="Q69" s="188"/>
    </row>
    <row r="70" spans="1:36" s="187" customFormat="1" ht="10.5" customHeight="1">
      <c r="A70" s="78" t="s">
        <v>250</v>
      </c>
      <c r="B70" s="41"/>
      <c r="C70" s="46"/>
      <c r="D70" s="46"/>
      <c r="E70" s="46"/>
      <c r="F70" s="46"/>
      <c r="G70" s="46"/>
      <c r="Q70" s="188"/>
    </row>
    <row r="71" spans="1:36" ht="10.5" customHeight="1">
      <c r="A71" s="187"/>
      <c r="B71" s="187"/>
      <c r="C71" s="187"/>
      <c r="D71" s="187"/>
      <c r="E71" s="187"/>
      <c r="F71" s="187"/>
      <c r="G71" s="187"/>
      <c r="J71" s="189"/>
    </row>
    <row r="72" spans="1:36" ht="10.5" customHeight="1">
      <c r="A72" s="187"/>
      <c r="B72" s="187"/>
      <c r="C72" s="187"/>
      <c r="D72" s="187"/>
      <c r="E72" s="187"/>
      <c r="F72" s="187"/>
      <c r="G72" s="187"/>
    </row>
  </sheetData>
  <mergeCells count="2">
    <mergeCell ref="A3:H3"/>
    <mergeCell ref="J3:Q3"/>
  </mergeCells>
  <pageMargins left="0.74803149606299213" right="0.74803149606299213" top="0.98425196850393704" bottom="0.98425196850393704" header="0.51181102362204722" footer="0.51181102362204722"/>
  <pageSetup paperSize="9" scale="24" orientation="portrait"/>
  <headerFooter alignWithMargins="0">
    <oddHeader>&amp;R&amp;"Arial,Bold"RENEWABLES</oddHeader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 enableFormatConditionsCalculation="0">
    <pageSetUpPr fitToPage="1"/>
  </sheetPr>
  <dimension ref="A1:U76"/>
  <sheetViews>
    <sheetView workbookViewId="0"/>
  </sheetViews>
  <sheetFormatPr baseColWidth="10" defaultColWidth="8.83203125" defaultRowHeight="12" x14ac:dyDescent="0"/>
  <cols>
    <col min="1" max="1" width="43.6640625" style="807" customWidth="1"/>
    <col min="2" max="8" width="9.1640625" style="807" hidden="1" customWidth="1"/>
    <col min="9" max="9" width="0" style="807" hidden="1" customWidth="1"/>
    <col min="10" max="10" width="8.83203125" style="935"/>
    <col min="11" max="256" width="8.83203125" style="807"/>
    <col min="257" max="257" width="43.6640625" style="807" customWidth="1"/>
    <col min="258" max="265" width="0" style="807" hidden="1" customWidth="1"/>
    <col min="266" max="512" width="8.83203125" style="807"/>
    <col min="513" max="513" width="43.6640625" style="807" customWidth="1"/>
    <col min="514" max="521" width="0" style="807" hidden="1" customWidth="1"/>
    <col min="522" max="768" width="8.83203125" style="807"/>
    <col min="769" max="769" width="43.6640625" style="807" customWidth="1"/>
    <col min="770" max="777" width="0" style="807" hidden="1" customWidth="1"/>
    <col min="778" max="1024" width="8.83203125" style="807"/>
    <col min="1025" max="1025" width="43.6640625" style="807" customWidth="1"/>
    <col min="1026" max="1033" width="0" style="807" hidden="1" customWidth="1"/>
    <col min="1034" max="1280" width="8.83203125" style="807"/>
    <col min="1281" max="1281" width="43.6640625" style="807" customWidth="1"/>
    <col min="1282" max="1289" width="0" style="807" hidden="1" customWidth="1"/>
    <col min="1290" max="1536" width="8.83203125" style="807"/>
    <col min="1537" max="1537" width="43.6640625" style="807" customWidth="1"/>
    <col min="1538" max="1545" width="0" style="807" hidden="1" customWidth="1"/>
    <col min="1546" max="1792" width="8.83203125" style="807"/>
    <col min="1793" max="1793" width="43.6640625" style="807" customWidth="1"/>
    <col min="1794" max="1801" width="0" style="807" hidden="1" customWidth="1"/>
    <col min="1802" max="2048" width="8.83203125" style="807"/>
    <col min="2049" max="2049" width="43.6640625" style="807" customWidth="1"/>
    <col min="2050" max="2057" width="0" style="807" hidden="1" customWidth="1"/>
    <col min="2058" max="2304" width="8.83203125" style="807"/>
    <col min="2305" max="2305" width="43.6640625" style="807" customWidth="1"/>
    <col min="2306" max="2313" width="0" style="807" hidden="1" customWidth="1"/>
    <col min="2314" max="2560" width="8.83203125" style="807"/>
    <col min="2561" max="2561" width="43.6640625" style="807" customWidth="1"/>
    <col min="2562" max="2569" width="0" style="807" hidden="1" customWidth="1"/>
    <col min="2570" max="2816" width="8.83203125" style="807"/>
    <col min="2817" max="2817" width="43.6640625" style="807" customWidth="1"/>
    <col min="2818" max="2825" width="0" style="807" hidden="1" customWidth="1"/>
    <col min="2826" max="3072" width="8.83203125" style="807"/>
    <col min="3073" max="3073" width="43.6640625" style="807" customWidth="1"/>
    <col min="3074" max="3081" width="0" style="807" hidden="1" customWidth="1"/>
    <col min="3082" max="3328" width="8.83203125" style="807"/>
    <col min="3329" max="3329" width="43.6640625" style="807" customWidth="1"/>
    <col min="3330" max="3337" width="0" style="807" hidden="1" customWidth="1"/>
    <col min="3338" max="3584" width="8.83203125" style="807"/>
    <col min="3585" max="3585" width="43.6640625" style="807" customWidth="1"/>
    <col min="3586" max="3593" width="0" style="807" hidden="1" customWidth="1"/>
    <col min="3594" max="3840" width="8.83203125" style="807"/>
    <col min="3841" max="3841" width="43.6640625" style="807" customWidth="1"/>
    <col min="3842" max="3849" width="0" style="807" hidden="1" customWidth="1"/>
    <col min="3850" max="4096" width="8.83203125" style="807"/>
    <col min="4097" max="4097" width="43.6640625" style="807" customWidth="1"/>
    <col min="4098" max="4105" width="0" style="807" hidden="1" customWidth="1"/>
    <col min="4106" max="4352" width="8.83203125" style="807"/>
    <col min="4353" max="4353" width="43.6640625" style="807" customWidth="1"/>
    <col min="4354" max="4361" width="0" style="807" hidden="1" customWidth="1"/>
    <col min="4362" max="4608" width="8.83203125" style="807"/>
    <col min="4609" max="4609" width="43.6640625" style="807" customWidth="1"/>
    <col min="4610" max="4617" width="0" style="807" hidden="1" customWidth="1"/>
    <col min="4618" max="4864" width="8.83203125" style="807"/>
    <col min="4865" max="4865" width="43.6640625" style="807" customWidth="1"/>
    <col min="4866" max="4873" width="0" style="807" hidden="1" customWidth="1"/>
    <col min="4874" max="5120" width="8.83203125" style="807"/>
    <col min="5121" max="5121" width="43.6640625" style="807" customWidth="1"/>
    <col min="5122" max="5129" width="0" style="807" hidden="1" customWidth="1"/>
    <col min="5130" max="5376" width="8.83203125" style="807"/>
    <col min="5377" max="5377" width="43.6640625" style="807" customWidth="1"/>
    <col min="5378" max="5385" width="0" style="807" hidden="1" customWidth="1"/>
    <col min="5386" max="5632" width="8.83203125" style="807"/>
    <col min="5633" max="5633" width="43.6640625" style="807" customWidth="1"/>
    <col min="5634" max="5641" width="0" style="807" hidden="1" customWidth="1"/>
    <col min="5642" max="5888" width="8.83203125" style="807"/>
    <col min="5889" max="5889" width="43.6640625" style="807" customWidth="1"/>
    <col min="5890" max="5897" width="0" style="807" hidden="1" customWidth="1"/>
    <col min="5898" max="6144" width="8.83203125" style="807"/>
    <col min="6145" max="6145" width="43.6640625" style="807" customWidth="1"/>
    <col min="6146" max="6153" width="0" style="807" hidden="1" customWidth="1"/>
    <col min="6154" max="6400" width="8.83203125" style="807"/>
    <col min="6401" max="6401" width="43.6640625" style="807" customWidth="1"/>
    <col min="6402" max="6409" width="0" style="807" hidden="1" customWidth="1"/>
    <col min="6410" max="6656" width="8.83203125" style="807"/>
    <col min="6657" max="6657" width="43.6640625" style="807" customWidth="1"/>
    <col min="6658" max="6665" width="0" style="807" hidden="1" customWidth="1"/>
    <col min="6666" max="6912" width="8.83203125" style="807"/>
    <col min="6913" max="6913" width="43.6640625" style="807" customWidth="1"/>
    <col min="6914" max="6921" width="0" style="807" hidden="1" customWidth="1"/>
    <col min="6922" max="7168" width="8.83203125" style="807"/>
    <col min="7169" max="7169" width="43.6640625" style="807" customWidth="1"/>
    <col min="7170" max="7177" width="0" style="807" hidden="1" customWidth="1"/>
    <col min="7178" max="7424" width="8.83203125" style="807"/>
    <col min="7425" max="7425" width="43.6640625" style="807" customWidth="1"/>
    <col min="7426" max="7433" width="0" style="807" hidden="1" customWidth="1"/>
    <col min="7434" max="7680" width="8.83203125" style="807"/>
    <col min="7681" max="7681" width="43.6640625" style="807" customWidth="1"/>
    <col min="7682" max="7689" width="0" style="807" hidden="1" customWidth="1"/>
    <col min="7690" max="7936" width="8.83203125" style="807"/>
    <col min="7937" max="7937" width="43.6640625" style="807" customWidth="1"/>
    <col min="7938" max="7945" width="0" style="807" hidden="1" customWidth="1"/>
    <col min="7946" max="8192" width="8.83203125" style="807"/>
    <col min="8193" max="8193" width="43.6640625" style="807" customWidth="1"/>
    <col min="8194" max="8201" width="0" style="807" hidden="1" customWidth="1"/>
    <col min="8202" max="8448" width="8.83203125" style="807"/>
    <col min="8449" max="8449" width="43.6640625" style="807" customWidth="1"/>
    <col min="8450" max="8457" width="0" style="807" hidden="1" customWidth="1"/>
    <col min="8458" max="8704" width="8.83203125" style="807"/>
    <col min="8705" max="8705" width="43.6640625" style="807" customWidth="1"/>
    <col min="8706" max="8713" width="0" style="807" hidden="1" customWidth="1"/>
    <col min="8714" max="8960" width="8.83203125" style="807"/>
    <col min="8961" max="8961" width="43.6640625" style="807" customWidth="1"/>
    <col min="8962" max="8969" width="0" style="807" hidden="1" customWidth="1"/>
    <col min="8970" max="9216" width="8.83203125" style="807"/>
    <col min="9217" max="9217" width="43.6640625" style="807" customWidth="1"/>
    <col min="9218" max="9225" width="0" style="807" hidden="1" customWidth="1"/>
    <col min="9226" max="9472" width="8.83203125" style="807"/>
    <col min="9473" max="9473" width="43.6640625" style="807" customWidth="1"/>
    <col min="9474" max="9481" width="0" style="807" hidden="1" customWidth="1"/>
    <col min="9482" max="9728" width="8.83203125" style="807"/>
    <col min="9729" max="9729" width="43.6640625" style="807" customWidth="1"/>
    <col min="9730" max="9737" width="0" style="807" hidden="1" customWidth="1"/>
    <col min="9738" max="9984" width="8.83203125" style="807"/>
    <col min="9985" max="9985" width="43.6640625" style="807" customWidth="1"/>
    <col min="9986" max="9993" width="0" style="807" hidden="1" customWidth="1"/>
    <col min="9994" max="10240" width="8.83203125" style="807"/>
    <col min="10241" max="10241" width="43.6640625" style="807" customWidth="1"/>
    <col min="10242" max="10249" width="0" style="807" hidden="1" customWidth="1"/>
    <col min="10250" max="10496" width="8.83203125" style="807"/>
    <col min="10497" max="10497" width="43.6640625" style="807" customWidth="1"/>
    <col min="10498" max="10505" width="0" style="807" hidden="1" customWidth="1"/>
    <col min="10506" max="10752" width="8.83203125" style="807"/>
    <col min="10753" max="10753" width="43.6640625" style="807" customWidth="1"/>
    <col min="10754" max="10761" width="0" style="807" hidden="1" customWidth="1"/>
    <col min="10762" max="11008" width="8.83203125" style="807"/>
    <col min="11009" max="11009" width="43.6640625" style="807" customWidth="1"/>
    <col min="11010" max="11017" width="0" style="807" hidden="1" customWidth="1"/>
    <col min="11018" max="11264" width="8.83203125" style="807"/>
    <col min="11265" max="11265" width="43.6640625" style="807" customWidth="1"/>
    <col min="11266" max="11273" width="0" style="807" hidden="1" customWidth="1"/>
    <col min="11274" max="11520" width="8.83203125" style="807"/>
    <col min="11521" max="11521" width="43.6640625" style="807" customWidth="1"/>
    <col min="11522" max="11529" width="0" style="807" hidden="1" customWidth="1"/>
    <col min="11530" max="11776" width="8.83203125" style="807"/>
    <col min="11777" max="11777" width="43.6640625" style="807" customWidth="1"/>
    <col min="11778" max="11785" width="0" style="807" hidden="1" customWidth="1"/>
    <col min="11786" max="12032" width="8.83203125" style="807"/>
    <col min="12033" max="12033" width="43.6640625" style="807" customWidth="1"/>
    <col min="12034" max="12041" width="0" style="807" hidden="1" customWidth="1"/>
    <col min="12042" max="12288" width="8.83203125" style="807"/>
    <col min="12289" max="12289" width="43.6640625" style="807" customWidth="1"/>
    <col min="12290" max="12297" width="0" style="807" hidden="1" customWidth="1"/>
    <col min="12298" max="12544" width="8.83203125" style="807"/>
    <col min="12545" max="12545" width="43.6640625" style="807" customWidth="1"/>
    <col min="12546" max="12553" width="0" style="807" hidden="1" customWidth="1"/>
    <col min="12554" max="12800" width="8.83203125" style="807"/>
    <col min="12801" max="12801" width="43.6640625" style="807" customWidth="1"/>
    <col min="12802" max="12809" width="0" style="807" hidden="1" customWidth="1"/>
    <col min="12810" max="13056" width="8.83203125" style="807"/>
    <col min="13057" max="13057" width="43.6640625" style="807" customWidth="1"/>
    <col min="13058" max="13065" width="0" style="807" hidden="1" customWidth="1"/>
    <col min="13066" max="13312" width="8.83203125" style="807"/>
    <col min="13313" max="13313" width="43.6640625" style="807" customWidth="1"/>
    <col min="13314" max="13321" width="0" style="807" hidden="1" customWidth="1"/>
    <col min="13322" max="13568" width="8.83203125" style="807"/>
    <col min="13569" max="13569" width="43.6640625" style="807" customWidth="1"/>
    <col min="13570" max="13577" width="0" style="807" hidden="1" customWidth="1"/>
    <col min="13578" max="13824" width="8.83203125" style="807"/>
    <col min="13825" max="13825" width="43.6640625" style="807" customWidth="1"/>
    <col min="13826" max="13833" width="0" style="807" hidden="1" customWidth="1"/>
    <col min="13834" max="14080" width="8.83203125" style="807"/>
    <col min="14081" max="14081" width="43.6640625" style="807" customWidth="1"/>
    <col min="14082" max="14089" width="0" style="807" hidden="1" customWidth="1"/>
    <col min="14090" max="14336" width="8.83203125" style="807"/>
    <col min="14337" max="14337" width="43.6640625" style="807" customWidth="1"/>
    <col min="14338" max="14345" width="0" style="807" hidden="1" customWidth="1"/>
    <col min="14346" max="14592" width="8.83203125" style="807"/>
    <col min="14593" max="14593" width="43.6640625" style="807" customWidth="1"/>
    <col min="14594" max="14601" width="0" style="807" hidden="1" customWidth="1"/>
    <col min="14602" max="14848" width="8.83203125" style="807"/>
    <col min="14849" max="14849" width="43.6640625" style="807" customWidth="1"/>
    <col min="14850" max="14857" width="0" style="807" hidden="1" customWidth="1"/>
    <col min="14858" max="15104" width="8.83203125" style="807"/>
    <col min="15105" max="15105" width="43.6640625" style="807" customWidth="1"/>
    <col min="15106" max="15113" width="0" style="807" hidden="1" customWidth="1"/>
    <col min="15114" max="15360" width="8.83203125" style="807"/>
    <col min="15361" max="15361" width="43.6640625" style="807" customWidth="1"/>
    <col min="15362" max="15369" width="0" style="807" hidden="1" customWidth="1"/>
    <col min="15370" max="15616" width="8.83203125" style="807"/>
    <col min="15617" max="15617" width="43.6640625" style="807" customWidth="1"/>
    <col min="15618" max="15625" width="0" style="807" hidden="1" customWidth="1"/>
    <col min="15626" max="15872" width="8.83203125" style="807"/>
    <col min="15873" max="15873" width="43.6640625" style="807" customWidth="1"/>
    <col min="15874" max="15881" width="0" style="807" hidden="1" customWidth="1"/>
    <col min="15882" max="16128" width="8.83203125" style="807"/>
    <col min="16129" max="16129" width="43.6640625" style="807" customWidth="1"/>
    <col min="16130" max="16137" width="0" style="807" hidden="1" customWidth="1"/>
    <col min="16138" max="16384" width="8.83203125" style="807"/>
  </cols>
  <sheetData>
    <row r="1" spans="1:21" s="800" customFormat="1" ht="21">
      <c r="A1" s="793" t="s">
        <v>1029</v>
      </c>
      <c r="B1" s="1051"/>
      <c r="C1" s="1051"/>
      <c r="D1" s="1051"/>
      <c r="E1" s="1051"/>
      <c r="F1" s="1051"/>
      <c r="J1" s="1052"/>
    </row>
    <row r="2" spans="1:21" s="800" customFormat="1" ht="21">
      <c r="A2" s="793" t="s">
        <v>1030</v>
      </c>
      <c r="B2" s="1051"/>
      <c r="C2" s="1051"/>
      <c r="D2" s="1051"/>
      <c r="E2" s="1053"/>
      <c r="F2" s="1053"/>
      <c r="G2" s="1053"/>
      <c r="J2" s="935"/>
    </row>
    <row r="3" spans="1:21" ht="13" thickBot="1">
      <c r="M3" s="1054"/>
      <c r="N3" s="1054"/>
    </row>
    <row r="4" spans="1:21" ht="13" thickTop="1">
      <c r="A4" s="815"/>
      <c r="B4" s="815">
        <v>1996</v>
      </c>
      <c r="C4" s="815">
        <v>1997</v>
      </c>
      <c r="D4" s="815">
        <v>1998</v>
      </c>
      <c r="E4" s="815">
        <v>1999</v>
      </c>
      <c r="F4" s="815">
        <v>2000</v>
      </c>
      <c r="G4" s="815">
        <v>2001</v>
      </c>
      <c r="H4" s="815">
        <v>2002</v>
      </c>
      <c r="I4" s="815">
        <v>2003</v>
      </c>
      <c r="J4" s="1055">
        <v>2004</v>
      </c>
      <c r="K4" s="1055">
        <v>2005</v>
      </c>
      <c r="L4" s="1055">
        <v>2006</v>
      </c>
      <c r="M4" s="1056">
        <v>2007</v>
      </c>
      <c r="N4" s="1056">
        <v>2008</v>
      </c>
    </row>
    <row r="5" spans="1:21" ht="12.75" customHeight="1">
      <c r="A5" s="1057" t="s">
        <v>1031</v>
      </c>
      <c r="B5" s="878"/>
      <c r="C5" s="878"/>
      <c r="D5" s="878"/>
      <c r="E5" s="878"/>
      <c r="F5" s="878"/>
      <c r="G5" s="878"/>
      <c r="H5" s="878"/>
      <c r="I5" s="878"/>
      <c r="J5" s="872"/>
      <c r="K5" s="872"/>
      <c r="L5" s="872"/>
    </row>
    <row r="6" spans="1:21" ht="12.75" customHeight="1">
      <c r="A6" s="805" t="s">
        <v>1032</v>
      </c>
      <c r="B6" s="878"/>
      <c r="C6" s="878"/>
      <c r="D6" s="878"/>
      <c r="E6" s="878"/>
      <c r="F6" s="878"/>
      <c r="G6" s="878"/>
      <c r="H6" s="878"/>
      <c r="I6" s="878"/>
      <c r="J6" s="872"/>
      <c r="K6" s="872"/>
      <c r="L6" s="872"/>
    </row>
    <row r="7" spans="1:21" ht="12.75" customHeight="1">
      <c r="A7" s="803" t="s">
        <v>1033</v>
      </c>
      <c r="B7" s="1058">
        <v>237.67899999999997</v>
      </c>
      <c r="C7" s="1058">
        <v>321.68399999999997</v>
      </c>
      <c r="D7" s="1058">
        <v>331.32</v>
      </c>
      <c r="E7" s="1058">
        <v>356.99</v>
      </c>
      <c r="F7" s="1058">
        <v>407.99</v>
      </c>
      <c r="G7" s="1058">
        <v>423.44699999999989</v>
      </c>
      <c r="H7" s="1058">
        <v>530.63700000000006</v>
      </c>
      <c r="I7" s="1058">
        <v>678.37700051857405</v>
      </c>
      <c r="J7" s="1058">
        <v>809.36</v>
      </c>
      <c r="K7" s="1058">
        <v>1351.2</v>
      </c>
      <c r="L7" s="1058">
        <v>1650.7156</v>
      </c>
      <c r="M7" s="1058">
        <v>2083.375</v>
      </c>
      <c r="N7" s="1058">
        <v>2820.223</v>
      </c>
      <c r="Q7" s="1059"/>
      <c r="R7" s="1059"/>
      <c r="S7" s="1059"/>
      <c r="T7" s="1059"/>
      <c r="U7" s="1059"/>
    </row>
    <row r="8" spans="1:21" ht="12.75" customHeight="1">
      <c r="A8" s="803" t="s">
        <v>1034</v>
      </c>
      <c r="B8" s="1058">
        <v>0</v>
      </c>
      <c r="C8" s="1058">
        <v>0</v>
      </c>
      <c r="D8" s="1058">
        <v>0</v>
      </c>
      <c r="E8" s="1058">
        <v>0</v>
      </c>
      <c r="F8" s="1058">
        <v>3.8</v>
      </c>
      <c r="G8" s="1058">
        <v>3.8</v>
      </c>
      <c r="H8" s="1058">
        <v>3.8</v>
      </c>
      <c r="I8" s="1058">
        <v>63.8</v>
      </c>
      <c r="J8" s="1058">
        <v>123.8</v>
      </c>
      <c r="K8" s="1058">
        <v>213.8</v>
      </c>
      <c r="L8" s="1058">
        <v>303.8</v>
      </c>
      <c r="M8" s="1058">
        <v>393.8</v>
      </c>
      <c r="N8" s="1058">
        <v>586</v>
      </c>
      <c r="Q8" s="1059"/>
      <c r="R8" s="1059"/>
      <c r="S8" s="1059"/>
      <c r="T8" s="1059"/>
      <c r="U8" s="1059"/>
    </row>
    <row r="9" spans="1:21" ht="12.75" customHeight="1">
      <c r="A9" s="803" t="s">
        <v>1035</v>
      </c>
      <c r="B9" s="1058">
        <v>0</v>
      </c>
      <c r="C9" s="1058">
        <v>0</v>
      </c>
      <c r="D9" s="1058">
        <v>0</v>
      </c>
      <c r="E9" s="1058">
        <v>0</v>
      </c>
      <c r="F9" s="1058">
        <v>0.5</v>
      </c>
      <c r="G9" s="1058">
        <v>0.5</v>
      </c>
      <c r="H9" s="1058">
        <v>0.5</v>
      </c>
      <c r="I9" s="1058">
        <v>0.5</v>
      </c>
      <c r="J9" s="1058">
        <v>0.5</v>
      </c>
      <c r="K9" s="1058">
        <v>0.5</v>
      </c>
      <c r="L9" s="1058">
        <v>0.5</v>
      </c>
      <c r="M9" s="1058">
        <v>0.5</v>
      </c>
      <c r="N9" s="1058">
        <v>0.5</v>
      </c>
      <c r="Q9" s="1059"/>
      <c r="R9" s="1059"/>
      <c r="S9" s="1059"/>
      <c r="T9" s="1059"/>
      <c r="U9" s="1059"/>
    </row>
    <row r="10" spans="1:21" ht="12.75" customHeight="1">
      <c r="A10" s="803" t="s">
        <v>1036</v>
      </c>
      <c r="B10" s="1058">
        <v>0.42299999999999999</v>
      </c>
      <c r="C10" s="1058">
        <v>0.58899999999999997</v>
      </c>
      <c r="D10" s="1058">
        <v>0.69</v>
      </c>
      <c r="E10" s="1058">
        <v>1.131</v>
      </c>
      <c r="F10" s="1058">
        <v>1.929</v>
      </c>
      <c r="G10" s="1058">
        <v>2.746</v>
      </c>
      <c r="H10" s="1058">
        <v>4.1360000000000001</v>
      </c>
      <c r="I10" s="1058">
        <v>6.0019999999999998</v>
      </c>
      <c r="J10" s="1058">
        <v>8.1639999999999997</v>
      </c>
      <c r="K10" s="1058">
        <v>10.9</v>
      </c>
      <c r="L10" s="1058">
        <v>14.26</v>
      </c>
      <c r="M10" s="1060">
        <v>18.100000000000001</v>
      </c>
      <c r="N10" s="1058">
        <v>22.5</v>
      </c>
      <c r="Q10" s="1059"/>
      <c r="R10" s="1059"/>
      <c r="S10" s="1059"/>
      <c r="T10" s="1059"/>
      <c r="U10" s="1059"/>
    </row>
    <row r="11" spans="1:21" ht="12.75" customHeight="1">
      <c r="A11" s="803" t="s">
        <v>1037</v>
      </c>
      <c r="B11" s="1058">
        <v>0</v>
      </c>
      <c r="C11" s="1058">
        <v>0</v>
      </c>
      <c r="D11" s="1058">
        <v>0</v>
      </c>
      <c r="E11" s="1058">
        <v>0</v>
      </c>
      <c r="F11" s="1058">
        <v>0</v>
      </c>
      <c r="G11" s="1058">
        <v>0</v>
      </c>
      <c r="H11" s="1058">
        <v>0</v>
      </c>
      <c r="I11" s="1058">
        <v>0</v>
      </c>
      <c r="J11" s="1058"/>
      <c r="K11" s="1058"/>
      <c r="L11" s="1058"/>
      <c r="M11" s="1058"/>
      <c r="N11" s="1058"/>
      <c r="Q11" s="1059"/>
      <c r="R11" s="1059"/>
      <c r="S11" s="1059"/>
      <c r="T11" s="1059"/>
      <c r="U11" s="1059"/>
    </row>
    <row r="12" spans="1:21" ht="12.75" customHeight="1">
      <c r="A12" s="803" t="s">
        <v>1038</v>
      </c>
      <c r="B12" s="1058">
        <v>175.17857142857142</v>
      </c>
      <c r="C12" s="1058">
        <v>162.52777777777777</v>
      </c>
      <c r="D12" s="1058">
        <v>171.08277777777778</v>
      </c>
      <c r="E12" s="1058">
        <v>176.69444444444446</v>
      </c>
      <c r="F12" s="1058">
        <v>183.55555555555554</v>
      </c>
      <c r="G12" s="1058">
        <v>188.6958333333333</v>
      </c>
      <c r="H12" s="1058">
        <v>194.24600000000001</v>
      </c>
      <c r="I12" s="1058">
        <v>129.97800000000001</v>
      </c>
      <c r="J12" s="1058">
        <v>142.92700000000005</v>
      </c>
      <c r="K12" s="1058">
        <v>157.93700000000001</v>
      </c>
      <c r="L12" s="1058">
        <v>153.35600000000002</v>
      </c>
      <c r="M12" s="1058">
        <v>166.2295</v>
      </c>
      <c r="N12" s="1058">
        <v>173.29650000000001</v>
      </c>
      <c r="Q12" s="1059"/>
      <c r="R12" s="1059"/>
      <c r="S12" s="1059"/>
      <c r="T12" s="1059"/>
      <c r="U12" s="1059"/>
    </row>
    <row r="13" spans="1:21" ht="12.75" customHeight="1">
      <c r="A13" s="803" t="s">
        <v>1039</v>
      </c>
      <c r="B13" s="1058">
        <v>1405.8</v>
      </c>
      <c r="C13" s="1058">
        <v>1428.8</v>
      </c>
      <c r="D13" s="1058">
        <v>1413</v>
      </c>
      <c r="E13" s="1058">
        <v>1413</v>
      </c>
      <c r="F13" s="1058">
        <v>1419</v>
      </c>
      <c r="G13" s="1058">
        <v>1440</v>
      </c>
      <c r="H13" s="1058">
        <v>1388.8</v>
      </c>
      <c r="I13" s="1058">
        <v>1354.52</v>
      </c>
      <c r="J13" s="1058">
        <v>1355.85</v>
      </c>
      <c r="K13" s="1058">
        <v>1343.15</v>
      </c>
      <c r="L13" s="1058">
        <v>1361.3910000000001</v>
      </c>
      <c r="M13" s="1058">
        <v>1358.6759999999999</v>
      </c>
      <c r="N13" s="1058">
        <v>1456.4760000000001</v>
      </c>
      <c r="Q13" s="1059"/>
      <c r="R13" s="1059"/>
      <c r="S13" s="1059"/>
      <c r="T13" s="1059"/>
      <c r="U13" s="1059"/>
    </row>
    <row r="14" spans="1:21" ht="12.75" customHeight="1">
      <c r="A14" s="803" t="s">
        <v>1040</v>
      </c>
      <c r="B14" s="1058">
        <v>0</v>
      </c>
      <c r="C14" s="1058">
        <v>0</v>
      </c>
      <c r="D14" s="1058">
        <v>0</v>
      </c>
      <c r="E14" s="1058">
        <v>0</v>
      </c>
      <c r="F14" s="1058">
        <v>0</v>
      </c>
      <c r="G14" s="1058">
        <v>0</v>
      </c>
      <c r="H14" s="1058">
        <v>0</v>
      </c>
      <c r="I14" s="1058">
        <v>0</v>
      </c>
      <c r="J14" s="1058"/>
      <c r="K14" s="1058"/>
      <c r="L14" s="1058"/>
      <c r="M14" s="1058"/>
      <c r="N14" s="1058"/>
      <c r="Q14" s="1059"/>
      <c r="R14" s="1059"/>
      <c r="S14" s="1059"/>
      <c r="T14" s="1059"/>
      <c r="U14" s="1059"/>
    </row>
    <row r="15" spans="1:21" ht="12.75" customHeight="1">
      <c r="A15" s="803" t="s">
        <v>1041</v>
      </c>
      <c r="B15" s="1058">
        <v>161.87777777777777</v>
      </c>
      <c r="C15" s="1058">
        <v>188.2</v>
      </c>
      <c r="D15" s="1058">
        <v>245.11111111111109</v>
      </c>
      <c r="E15" s="1058">
        <v>343.3</v>
      </c>
      <c r="F15" s="1058">
        <v>425.13333333333333</v>
      </c>
      <c r="G15" s="1058">
        <v>464.74611111111119</v>
      </c>
      <c r="H15" s="1058">
        <v>472.93466377258301</v>
      </c>
      <c r="I15" s="1058">
        <v>619.05999999999995</v>
      </c>
      <c r="J15" s="1058">
        <v>722.22</v>
      </c>
      <c r="K15" s="1058">
        <v>817.8</v>
      </c>
      <c r="L15" s="1058">
        <v>856.178</v>
      </c>
      <c r="M15" s="1058">
        <v>900.63599999999997</v>
      </c>
      <c r="N15" s="1058">
        <v>908.31500000000005</v>
      </c>
      <c r="Q15" s="1059"/>
      <c r="R15" s="1059"/>
      <c r="S15" s="1059"/>
      <c r="T15" s="1059"/>
      <c r="U15" s="1059"/>
    </row>
    <row r="16" spans="1:21" ht="12.75" customHeight="1">
      <c r="A16" s="803" t="s">
        <v>1042</v>
      </c>
      <c r="B16" s="1058">
        <v>87.2</v>
      </c>
      <c r="C16" s="1058">
        <v>86.8</v>
      </c>
      <c r="D16" s="1058">
        <v>89.8</v>
      </c>
      <c r="E16" s="1058">
        <v>91.3</v>
      </c>
      <c r="F16" s="1058">
        <v>85.3</v>
      </c>
      <c r="G16" s="1058">
        <v>85</v>
      </c>
      <c r="H16" s="1058">
        <v>96.029585830867305</v>
      </c>
      <c r="I16" s="1058">
        <v>123.724</v>
      </c>
      <c r="J16" s="1058">
        <v>131.94200000000001</v>
      </c>
      <c r="K16" s="1058">
        <v>139.63800000000001</v>
      </c>
      <c r="L16" s="1058">
        <v>146.399</v>
      </c>
      <c r="M16" s="1060">
        <v>149.977</v>
      </c>
      <c r="N16" s="1058">
        <v>152.23500000000001</v>
      </c>
      <c r="Q16" s="1059"/>
      <c r="R16" s="1059"/>
      <c r="S16" s="1059"/>
      <c r="T16" s="1059"/>
      <c r="U16" s="1059"/>
    </row>
    <row r="17" spans="1:21" ht="12.75" customHeight="1">
      <c r="A17" s="1061" t="s">
        <v>1043</v>
      </c>
      <c r="B17" s="1058">
        <v>150.58013698630137</v>
      </c>
      <c r="C17" s="1058">
        <v>150.58000000000001</v>
      </c>
      <c r="D17" s="1058">
        <v>204.08</v>
      </c>
      <c r="E17" s="1058">
        <v>229.63</v>
      </c>
      <c r="F17" s="1058">
        <v>253.21</v>
      </c>
      <c r="G17" s="1058">
        <v>260.01</v>
      </c>
      <c r="H17" s="1058">
        <v>278.88397097587585</v>
      </c>
      <c r="I17" s="1058">
        <v>292</v>
      </c>
      <c r="J17" s="1060">
        <v>300.60000000000002</v>
      </c>
      <c r="K17" s="1060">
        <v>314.60000000000002</v>
      </c>
      <c r="L17" s="1058">
        <v>326.45</v>
      </c>
      <c r="M17" s="1058">
        <v>326.404</v>
      </c>
      <c r="N17" s="1058">
        <v>375.9</v>
      </c>
      <c r="Q17" s="1059"/>
      <c r="R17" s="1059"/>
      <c r="S17" s="1059"/>
      <c r="T17" s="1059"/>
      <c r="U17" s="1059"/>
    </row>
    <row r="18" spans="1:21" ht="12.75" customHeight="1">
      <c r="A18" s="1061" t="s">
        <v>1044</v>
      </c>
      <c r="B18" s="1058">
        <v>27.1</v>
      </c>
      <c r="C18" s="1058">
        <v>27.1</v>
      </c>
      <c r="D18" s="1058">
        <v>82.7</v>
      </c>
      <c r="E18" s="1058">
        <v>82.7</v>
      </c>
      <c r="F18" s="1058">
        <v>92.7</v>
      </c>
      <c r="G18" s="1058">
        <v>92.7</v>
      </c>
      <c r="H18" s="1058">
        <v>93.000000190734866</v>
      </c>
      <c r="I18" s="1058">
        <v>94.430000190734873</v>
      </c>
      <c r="J18" s="1058">
        <v>86.486000000000004</v>
      </c>
      <c r="K18" s="1058">
        <v>86.616</v>
      </c>
      <c r="L18" s="1058">
        <v>88.903000000000006</v>
      </c>
      <c r="M18" s="1058">
        <v>114.40300000000001</v>
      </c>
      <c r="N18" s="1058">
        <v>114.40300000000001</v>
      </c>
      <c r="Q18" s="1059"/>
      <c r="R18" s="1059"/>
      <c r="S18" s="1059"/>
      <c r="T18" s="1059"/>
      <c r="U18" s="1059"/>
    </row>
    <row r="19" spans="1:21" ht="12.75" customHeight="1">
      <c r="A19" s="852" t="s">
        <v>1045</v>
      </c>
      <c r="B19" s="1062">
        <v>25</v>
      </c>
      <c r="C19" s="1062">
        <v>25.1</v>
      </c>
      <c r="D19" s="1062">
        <v>25.303999999999998</v>
      </c>
      <c r="E19" s="1062">
        <v>25.3</v>
      </c>
      <c r="F19" s="1062">
        <v>64.304000000000002</v>
      </c>
      <c r="G19" s="1062">
        <v>64.304000000000002</v>
      </c>
      <c r="H19" s="1062">
        <v>83.46</v>
      </c>
      <c r="I19" s="1062">
        <v>89.49</v>
      </c>
      <c r="J19" s="1062">
        <v>89.79</v>
      </c>
      <c r="K19" s="1062">
        <v>99.510999999999996</v>
      </c>
      <c r="L19" s="1062">
        <v>132.44</v>
      </c>
      <c r="M19" s="1062">
        <v>189.476</v>
      </c>
      <c r="N19" s="1062">
        <v>193.25699999999998</v>
      </c>
      <c r="Q19" s="1059"/>
      <c r="R19" s="1059"/>
      <c r="S19" s="1059"/>
      <c r="T19" s="1059"/>
      <c r="U19" s="1059"/>
    </row>
    <row r="20" spans="1:21" ht="12.75" customHeight="1" thickBot="1">
      <c r="A20" s="803" t="s">
        <v>1046</v>
      </c>
      <c r="B20" s="1058">
        <v>451.75791476407915</v>
      </c>
      <c r="C20" s="1058">
        <v>477.78</v>
      </c>
      <c r="D20" s="1058">
        <v>646.9951111111111</v>
      </c>
      <c r="E20" s="1058">
        <v>772.23</v>
      </c>
      <c r="F20" s="1058">
        <v>920.64733333333322</v>
      </c>
      <c r="G20" s="1058">
        <v>966.76011111111109</v>
      </c>
      <c r="H20" s="1058">
        <v>1024.3082207700611</v>
      </c>
      <c r="I20" s="1058">
        <v>1218.7040001907351</v>
      </c>
      <c r="J20" s="1060">
        <v>1331.0380000000002</v>
      </c>
      <c r="K20" s="1060">
        <v>1458.165</v>
      </c>
      <c r="L20" s="1058">
        <v>1550.37</v>
      </c>
      <c r="M20" s="1060">
        <v>1680.8960000000002</v>
      </c>
      <c r="N20" s="1058">
        <v>1744.11</v>
      </c>
      <c r="Q20" s="1059"/>
      <c r="R20" s="1059"/>
      <c r="S20" s="1059"/>
      <c r="T20" s="1059"/>
      <c r="U20" s="1059"/>
    </row>
    <row r="21" spans="1:21" ht="12.75" customHeight="1" thickTop="1" thickBot="1">
      <c r="A21" s="1063" t="s">
        <v>133</v>
      </c>
      <c r="B21" s="1064">
        <v>2270.8384861926506</v>
      </c>
      <c r="C21" s="1064">
        <v>2391.3807777777774</v>
      </c>
      <c r="D21" s="1064">
        <v>2563.0878888888892</v>
      </c>
      <c r="E21" s="1064">
        <v>2720.0454444444449</v>
      </c>
      <c r="F21" s="1064">
        <v>2937.421888888889</v>
      </c>
      <c r="G21" s="1064">
        <v>3025.9489444444444</v>
      </c>
      <c r="H21" s="1064">
        <v>3146.4272207700606</v>
      </c>
      <c r="I21" s="1064">
        <v>3451.8810007093089</v>
      </c>
      <c r="J21" s="1065">
        <v>3771.6389999999997</v>
      </c>
      <c r="K21" s="1065">
        <v>4535.652000000001</v>
      </c>
      <c r="L21" s="1064">
        <v>5034.3926000000001</v>
      </c>
      <c r="M21" s="1065">
        <v>5701.5765000000001</v>
      </c>
      <c r="N21" s="1064">
        <v>6803.1054999999988</v>
      </c>
      <c r="Q21" s="1059"/>
      <c r="R21" s="1059"/>
      <c r="S21" s="1059"/>
      <c r="T21" s="1059"/>
      <c r="U21" s="1059"/>
    </row>
    <row r="22" spans="1:21" ht="12.75" customHeight="1" thickTop="1" thickBot="1">
      <c r="A22" s="1066" t="s">
        <v>1047</v>
      </c>
      <c r="B22" s="1067">
        <v>0</v>
      </c>
      <c r="C22" s="1067">
        <v>0</v>
      </c>
      <c r="D22" s="1067">
        <v>0</v>
      </c>
      <c r="E22" s="1067">
        <v>0</v>
      </c>
      <c r="F22" s="1067">
        <v>0</v>
      </c>
      <c r="G22" s="1067">
        <v>0</v>
      </c>
      <c r="H22" s="1067" t="s">
        <v>264</v>
      </c>
      <c r="I22" s="1067">
        <v>92.4</v>
      </c>
      <c r="J22" s="1067">
        <v>146.16</v>
      </c>
      <c r="K22" s="1067">
        <v>308.79000000000002</v>
      </c>
      <c r="L22" s="1067">
        <v>310.22000000000003</v>
      </c>
      <c r="M22" s="1067">
        <v>247.61</v>
      </c>
      <c r="N22" s="1067">
        <v>226.85</v>
      </c>
      <c r="Q22" s="1059"/>
      <c r="R22" s="1059"/>
      <c r="S22" s="1059"/>
      <c r="T22" s="1059"/>
      <c r="U22" s="1059"/>
    </row>
    <row r="23" spans="1:21" ht="12.75" customHeight="1" thickTop="1">
      <c r="A23" s="1057" t="s">
        <v>1048</v>
      </c>
      <c r="B23" s="872"/>
      <c r="C23" s="872"/>
      <c r="D23" s="872"/>
      <c r="E23" s="872"/>
      <c r="F23" s="872"/>
      <c r="G23" s="872"/>
      <c r="H23" s="872"/>
      <c r="I23" s="872"/>
      <c r="J23" s="872"/>
      <c r="K23" s="872"/>
      <c r="L23" s="872"/>
      <c r="M23" s="872"/>
      <c r="N23" s="872"/>
      <c r="Q23" s="1059"/>
      <c r="R23" s="1059"/>
      <c r="S23" s="1059"/>
      <c r="T23" s="1059"/>
      <c r="U23" s="1059"/>
    </row>
    <row r="24" spans="1:21" ht="12.75" customHeight="1">
      <c r="A24" s="805" t="s">
        <v>1032</v>
      </c>
      <c r="B24" s="872"/>
      <c r="C24" s="872"/>
      <c r="D24" s="872"/>
      <c r="E24" s="872"/>
      <c r="F24" s="872"/>
      <c r="G24" s="872"/>
      <c r="H24" s="872"/>
      <c r="I24" s="872"/>
      <c r="J24" s="872"/>
      <c r="K24" s="872"/>
      <c r="L24" s="872"/>
      <c r="M24" s="1068"/>
      <c r="N24" s="1068"/>
      <c r="Q24" s="1059"/>
      <c r="R24" s="1059"/>
      <c r="S24" s="1059"/>
      <c r="T24" s="1059"/>
      <c r="U24" s="1059"/>
    </row>
    <row r="25" spans="1:21" ht="12.75" customHeight="1">
      <c r="A25" s="803" t="s">
        <v>1049</v>
      </c>
      <c r="B25" s="1068">
        <v>487.71684599999998</v>
      </c>
      <c r="C25" s="1068">
        <v>666.98436000000004</v>
      </c>
      <c r="D25" s="1068">
        <v>876.86161000000004</v>
      </c>
      <c r="E25" s="1068">
        <v>850.1691800000001</v>
      </c>
      <c r="F25" s="1068">
        <v>944.9279600000001</v>
      </c>
      <c r="G25" s="1068">
        <v>960.14426600000013</v>
      </c>
      <c r="H25" s="1068">
        <v>1251.2433685892802</v>
      </c>
      <c r="I25" s="1068">
        <v>1275.5057328800001</v>
      </c>
      <c r="J25" s="1068">
        <v>1736.3943000000002</v>
      </c>
      <c r="K25" s="1068">
        <v>2501.1861400000003</v>
      </c>
      <c r="L25" s="1068">
        <v>3573.6511003999999</v>
      </c>
      <c r="M25" s="1068">
        <v>4491.2822999999999</v>
      </c>
      <c r="N25" s="1068">
        <v>5792.1491539999997</v>
      </c>
      <c r="Q25" s="1059"/>
      <c r="R25" s="1059"/>
      <c r="S25" s="1059"/>
      <c r="T25" s="1059"/>
      <c r="U25" s="1059"/>
    </row>
    <row r="26" spans="1:21" ht="12.75" customHeight="1">
      <c r="A26" s="803" t="s">
        <v>1050</v>
      </c>
      <c r="B26" s="1068">
        <v>0</v>
      </c>
      <c r="C26" s="1068">
        <v>0</v>
      </c>
      <c r="D26" s="1068">
        <v>0</v>
      </c>
      <c r="E26" s="1068">
        <v>0</v>
      </c>
      <c r="F26" s="1068">
        <v>0.9</v>
      </c>
      <c r="G26" s="1068">
        <v>4.9647915555555553</v>
      </c>
      <c r="H26" s="1068">
        <v>4.8328170000000004</v>
      </c>
      <c r="I26" s="1068">
        <v>9.8700010000000002</v>
      </c>
      <c r="J26" s="1068">
        <v>198.715418</v>
      </c>
      <c r="K26" s="1068">
        <v>402.73547000000002</v>
      </c>
      <c r="L26" s="1068">
        <v>651.40650000000005</v>
      </c>
      <c r="M26" s="1068">
        <v>782.55239999999992</v>
      </c>
      <c r="N26" s="1068">
        <v>1305.135227</v>
      </c>
      <c r="Q26" s="1059"/>
      <c r="R26" s="1059"/>
      <c r="S26" s="1059"/>
      <c r="T26" s="1059"/>
      <c r="U26" s="1059"/>
    </row>
    <row r="27" spans="1:21" ht="12.75" customHeight="1">
      <c r="A27" s="803" t="s">
        <v>1036</v>
      </c>
      <c r="B27" s="1068">
        <v>0</v>
      </c>
      <c r="C27" s="1068">
        <v>0</v>
      </c>
      <c r="D27" s="1068">
        <v>0</v>
      </c>
      <c r="E27" s="1068">
        <v>0.67</v>
      </c>
      <c r="F27" s="1068">
        <v>1.2675000000000001</v>
      </c>
      <c r="G27" s="1068">
        <v>1.82</v>
      </c>
      <c r="H27" s="1068">
        <v>2.6974999999999998</v>
      </c>
      <c r="I27" s="1068">
        <v>2.9445100000000002</v>
      </c>
      <c r="J27" s="1068">
        <v>4.0051500000000004</v>
      </c>
      <c r="K27" s="1068">
        <v>8.1750000000000007</v>
      </c>
      <c r="L27" s="1068">
        <v>10.695</v>
      </c>
      <c r="M27" s="1069">
        <v>14</v>
      </c>
      <c r="N27" s="1068">
        <v>17</v>
      </c>
      <c r="Q27" s="1059"/>
      <c r="R27" s="1059"/>
      <c r="S27" s="1059"/>
      <c r="T27" s="1059"/>
      <c r="U27" s="1059"/>
    </row>
    <row r="28" spans="1:21" ht="12.75" customHeight="1">
      <c r="A28" s="803" t="s">
        <v>1037</v>
      </c>
      <c r="B28" s="1068">
        <v>0</v>
      </c>
      <c r="C28" s="1068">
        <v>0</v>
      </c>
      <c r="D28" s="1068">
        <v>0</v>
      </c>
      <c r="E28" s="1068">
        <v>0</v>
      </c>
      <c r="F28" s="1068">
        <v>0</v>
      </c>
      <c r="G28" s="1068">
        <v>0</v>
      </c>
      <c r="H28" s="1068">
        <v>0</v>
      </c>
      <c r="I28" s="1068">
        <v>0</v>
      </c>
      <c r="J28" s="1068"/>
      <c r="K28" s="1068"/>
      <c r="L28" s="1068"/>
      <c r="M28" s="1068"/>
      <c r="N28" s="1068"/>
      <c r="Q28" s="1059"/>
      <c r="R28" s="1059"/>
      <c r="S28" s="1059"/>
      <c r="T28" s="1059"/>
      <c r="U28" s="1059"/>
    </row>
    <row r="29" spans="1:21" ht="12.75" customHeight="1">
      <c r="A29" s="803" t="s">
        <v>1038</v>
      </c>
      <c r="B29" s="1068">
        <v>117.58199999999999</v>
      </c>
      <c r="C29" s="1068">
        <v>163.55699999999999</v>
      </c>
      <c r="D29" s="1068">
        <v>206.38200000000001</v>
      </c>
      <c r="E29" s="1068">
        <v>207.33335215</v>
      </c>
      <c r="F29" s="1068">
        <v>214.21281829999998</v>
      </c>
      <c r="G29" s="1068">
        <v>210.22937319999997</v>
      </c>
      <c r="H29" s="1068">
        <v>203.50029053028399</v>
      </c>
      <c r="I29" s="1068">
        <v>150.0966</v>
      </c>
      <c r="J29" s="1068">
        <v>282.65436459000034</v>
      </c>
      <c r="K29" s="1068">
        <v>443.83478604000004</v>
      </c>
      <c r="L29" s="1068">
        <v>477.56794000000002</v>
      </c>
      <c r="M29" s="1068">
        <v>534.39980100000002</v>
      </c>
      <c r="N29" s="1068">
        <v>567.8575237</v>
      </c>
      <c r="Q29" s="1059"/>
      <c r="R29" s="1059"/>
      <c r="S29" s="1059"/>
      <c r="T29" s="1059"/>
      <c r="U29" s="1059"/>
    </row>
    <row r="30" spans="1:21" ht="12.75" customHeight="1">
      <c r="A30" s="803" t="s">
        <v>1051</v>
      </c>
      <c r="B30" s="1068">
        <v>3274.6280000000002</v>
      </c>
      <c r="C30" s="1068">
        <v>4005.11</v>
      </c>
      <c r="D30" s="1068">
        <v>4910.87</v>
      </c>
      <c r="E30" s="1068">
        <v>5128.4399999999996</v>
      </c>
      <c r="F30" s="1068">
        <v>4871.04</v>
      </c>
      <c r="G30" s="1068">
        <v>3845.48</v>
      </c>
      <c r="H30" s="1068">
        <v>4584.42</v>
      </c>
      <c r="I30" s="1068">
        <v>2987.4119999999998</v>
      </c>
      <c r="J30" s="1068">
        <v>4561.3004884000002</v>
      </c>
      <c r="K30" s="1068">
        <v>4477.6480000000001</v>
      </c>
      <c r="L30" s="1068">
        <v>4115.4997999999996</v>
      </c>
      <c r="M30" s="1068">
        <v>4553.9933000000001</v>
      </c>
      <c r="N30" s="1068">
        <v>4599.9343830000007</v>
      </c>
      <c r="Q30" s="1059"/>
      <c r="R30" s="1059"/>
      <c r="S30" s="1059"/>
      <c r="T30" s="1059"/>
      <c r="U30" s="1059"/>
    </row>
    <row r="31" spans="1:21" ht="12.75" customHeight="1">
      <c r="A31" s="803" t="s">
        <v>1040</v>
      </c>
      <c r="B31" s="1068">
        <v>0</v>
      </c>
      <c r="C31" s="1068">
        <v>0</v>
      </c>
      <c r="D31" s="1068">
        <v>0</v>
      </c>
      <c r="E31" s="1068">
        <v>0</v>
      </c>
      <c r="F31" s="1068">
        <v>0</v>
      </c>
      <c r="G31" s="1068">
        <v>0</v>
      </c>
      <c r="H31" s="1068">
        <v>0</v>
      </c>
      <c r="I31" s="1068">
        <v>0</v>
      </c>
      <c r="J31" s="1068"/>
      <c r="K31" s="1068"/>
      <c r="L31" s="1068"/>
      <c r="M31" s="1068"/>
      <c r="N31" s="1068"/>
      <c r="Q31" s="1059"/>
      <c r="R31" s="1059"/>
      <c r="S31" s="1059"/>
      <c r="T31" s="1059"/>
      <c r="U31" s="1059"/>
    </row>
    <row r="32" spans="1:21" ht="12.75" customHeight="1">
      <c r="A32" s="803" t="s">
        <v>1052</v>
      </c>
      <c r="B32" s="1068">
        <v>707.54</v>
      </c>
      <c r="C32" s="1068">
        <v>917.91</v>
      </c>
      <c r="D32" s="1068">
        <v>1185.3699999999999</v>
      </c>
      <c r="E32" s="1068">
        <v>1702.6</v>
      </c>
      <c r="F32" s="1068">
        <v>2187.8200000000002</v>
      </c>
      <c r="G32" s="1068">
        <v>2507.0201889999998</v>
      </c>
      <c r="H32" s="1068">
        <v>2678.6277871919901</v>
      </c>
      <c r="I32" s="1068">
        <v>3276.2083575622087</v>
      </c>
      <c r="J32" s="1068">
        <v>4003.7444999999998</v>
      </c>
      <c r="K32" s="1068">
        <v>4290.48488</v>
      </c>
      <c r="L32" s="1068">
        <v>4424.4705496999995</v>
      </c>
      <c r="M32" s="1068">
        <v>4676.8110999999999</v>
      </c>
      <c r="N32" s="1068">
        <v>4757.2761</v>
      </c>
      <c r="Q32" s="1059"/>
      <c r="R32" s="1059"/>
      <c r="S32" s="1059"/>
      <c r="T32" s="1059"/>
      <c r="U32" s="1059"/>
    </row>
    <row r="33" spans="1:21" ht="12.75" customHeight="1">
      <c r="A33" s="803" t="s">
        <v>1053</v>
      </c>
      <c r="B33" s="1068">
        <v>410.4</v>
      </c>
      <c r="C33" s="1068">
        <v>407.7</v>
      </c>
      <c r="D33" s="1068">
        <v>385.59205000000003</v>
      </c>
      <c r="E33" s="1068">
        <v>410.4</v>
      </c>
      <c r="F33" s="1068">
        <v>367.1</v>
      </c>
      <c r="G33" s="1068">
        <v>362.9</v>
      </c>
      <c r="H33" s="1068">
        <v>367.56000399999999</v>
      </c>
      <c r="I33" s="1068">
        <v>394.27249999999998</v>
      </c>
      <c r="J33" s="1068">
        <v>440.00780000000003</v>
      </c>
      <c r="K33" s="1068">
        <v>470.39760000000007</v>
      </c>
      <c r="L33" s="1068">
        <v>455.58249999999998</v>
      </c>
      <c r="M33" s="1069">
        <v>495.59629999999993</v>
      </c>
      <c r="N33" s="1068">
        <v>564.45780000000002</v>
      </c>
      <c r="Q33" s="1059"/>
      <c r="R33" s="1059"/>
      <c r="S33" s="1059"/>
      <c r="T33" s="1059"/>
      <c r="U33" s="1059"/>
    </row>
    <row r="34" spans="1:21" ht="12.75" customHeight="1">
      <c r="A34" s="803" t="s">
        <v>1054</v>
      </c>
      <c r="B34" s="1068">
        <v>489.43314000000004</v>
      </c>
      <c r="C34" s="1068">
        <v>585.48797999999999</v>
      </c>
      <c r="D34" s="1068">
        <v>848.9502</v>
      </c>
      <c r="E34" s="1068">
        <v>856.40057999999999</v>
      </c>
      <c r="F34" s="1068">
        <v>839.77620300000001</v>
      </c>
      <c r="G34" s="1068">
        <v>879.7030625000001</v>
      </c>
      <c r="H34" s="1068">
        <v>907.2907567499999</v>
      </c>
      <c r="I34" s="1068">
        <v>964.95762500000001</v>
      </c>
      <c r="J34" s="1068">
        <v>971.07287500000007</v>
      </c>
      <c r="K34" s="1068">
        <v>963.83166875000018</v>
      </c>
      <c r="L34" s="1068">
        <v>1083.0907118749999</v>
      </c>
      <c r="M34" s="1068">
        <v>1177.439083125</v>
      </c>
      <c r="N34" s="1068">
        <v>1225.8643996888752</v>
      </c>
      <c r="Q34" s="1059"/>
      <c r="R34" s="1059"/>
      <c r="S34" s="1059"/>
      <c r="T34" s="1059"/>
      <c r="U34" s="1059"/>
    </row>
    <row r="35" spans="1:21" ht="12.75" customHeight="1">
      <c r="A35" s="803" t="s">
        <v>1055</v>
      </c>
      <c r="B35" s="1068">
        <v>0</v>
      </c>
      <c r="C35" s="1068">
        <v>0</v>
      </c>
      <c r="D35" s="1068">
        <v>0</v>
      </c>
      <c r="E35" s="1068">
        <v>0</v>
      </c>
      <c r="F35" s="1068">
        <v>0</v>
      </c>
      <c r="G35" s="1068">
        <v>0</v>
      </c>
      <c r="H35" s="1068">
        <v>286.49</v>
      </c>
      <c r="I35" s="1068">
        <v>601.69899999999996</v>
      </c>
      <c r="J35" s="1068">
        <v>1021.568</v>
      </c>
      <c r="K35" s="1068">
        <v>2532.6917000000003</v>
      </c>
      <c r="L35" s="1068">
        <v>2527.5057349999997</v>
      </c>
      <c r="M35" s="1068">
        <v>1955.5196000000001</v>
      </c>
      <c r="N35" s="1068">
        <v>1612.753334</v>
      </c>
      <c r="Q35" s="1059"/>
      <c r="R35" s="1059"/>
      <c r="S35" s="1059"/>
      <c r="T35" s="1059"/>
      <c r="U35" s="1059"/>
    </row>
    <row r="36" spans="1:21" ht="12.75" customHeight="1">
      <c r="A36" s="1061" t="s">
        <v>1056</v>
      </c>
      <c r="B36" s="1068">
        <v>197.201188</v>
      </c>
      <c r="C36" s="1068">
        <v>198.64062899999999</v>
      </c>
      <c r="D36" s="1068">
        <v>234.1</v>
      </c>
      <c r="E36" s="1068">
        <v>458.96</v>
      </c>
      <c r="F36" s="1068">
        <v>455.70087000000001</v>
      </c>
      <c r="G36" s="1068">
        <v>542.10099000000002</v>
      </c>
      <c r="H36" s="1068">
        <v>568.24279200000001</v>
      </c>
      <c r="I36" s="1068">
        <v>534.61739999999998</v>
      </c>
      <c r="J36" s="1068">
        <v>565.22840000000008</v>
      </c>
      <c r="K36" s="1068">
        <v>467.67696000000001</v>
      </c>
      <c r="L36" s="1068">
        <v>434.15731</v>
      </c>
      <c r="M36" s="1068">
        <v>555.30909999999994</v>
      </c>
      <c r="N36" s="1068">
        <v>587.08116359999997</v>
      </c>
      <c r="Q36" s="1059"/>
      <c r="R36" s="1059"/>
      <c r="S36" s="1059"/>
      <c r="T36" s="1059"/>
      <c r="U36" s="1059"/>
    </row>
    <row r="37" spans="1:21" ht="12.75" customHeight="1">
      <c r="A37" s="852" t="s">
        <v>1057</v>
      </c>
      <c r="B37" s="1068">
        <v>0</v>
      </c>
      <c r="C37" s="1068">
        <v>4.7548050000000001E-2</v>
      </c>
      <c r="D37" s="1068">
        <v>0.22963489999999998</v>
      </c>
      <c r="E37" s="1068">
        <v>0.75614879999999995</v>
      </c>
      <c r="F37" s="1068">
        <v>31.425058150000002</v>
      </c>
      <c r="G37" s="1068">
        <v>234.31389999999999</v>
      </c>
      <c r="H37" s="1068">
        <v>271.91425500000003</v>
      </c>
      <c r="I37" s="1068">
        <v>401.959</v>
      </c>
      <c r="J37" s="1068">
        <v>362.25628</v>
      </c>
      <c r="K37" s="1068">
        <v>381.70819219999998</v>
      </c>
      <c r="L37" s="1068">
        <v>362.76100000000002</v>
      </c>
      <c r="M37" s="1068">
        <v>408.980549</v>
      </c>
      <c r="N37" s="1068">
        <v>567.94512100000009</v>
      </c>
      <c r="Q37" s="1059"/>
      <c r="R37" s="1059"/>
      <c r="S37" s="1059"/>
      <c r="T37" s="1059"/>
      <c r="U37" s="1059"/>
    </row>
    <row r="38" spans="1:21" ht="12.75" customHeight="1" thickBot="1">
      <c r="A38" s="1070" t="s">
        <v>1058</v>
      </c>
      <c r="B38" s="1071">
        <v>1804.5743280000002</v>
      </c>
      <c r="C38" s="1071">
        <v>2109.7861570499999</v>
      </c>
      <c r="D38" s="1071">
        <v>2654.2418848999996</v>
      </c>
      <c r="E38" s="1071">
        <v>3429.1167288000001</v>
      </c>
      <c r="F38" s="1071">
        <v>3881.8221311500001</v>
      </c>
      <c r="G38" s="1071">
        <v>4526.0381415000002</v>
      </c>
      <c r="H38" s="1071">
        <v>5080.1255949419892</v>
      </c>
      <c r="I38" s="1071">
        <v>6173.7138825622087</v>
      </c>
      <c r="J38" s="1071">
        <v>7363.8778549999997</v>
      </c>
      <c r="K38" s="1071">
        <v>9106.791000950001</v>
      </c>
      <c r="L38" s="1071">
        <v>9287.5678065749998</v>
      </c>
      <c r="M38" s="1072">
        <v>9269.6557321250002</v>
      </c>
      <c r="N38" s="1071">
        <v>9315.3779182888757</v>
      </c>
      <c r="Q38" s="1059"/>
      <c r="R38" s="1059"/>
      <c r="S38" s="1059"/>
      <c r="T38" s="1059"/>
      <c r="U38" s="1059"/>
    </row>
    <row r="39" spans="1:21" ht="12.75" customHeight="1" thickTop="1" thickBot="1">
      <c r="A39" s="1063" t="s">
        <v>1059</v>
      </c>
      <c r="B39" s="1073">
        <v>5684.501174</v>
      </c>
      <c r="C39" s="1073">
        <v>6945.4375170499998</v>
      </c>
      <c r="D39" s="1073">
        <v>8648.3554949000008</v>
      </c>
      <c r="E39" s="1073">
        <v>9615.7292609499964</v>
      </c>
      <c r="F39" s="1073">
        <v>9914.1704094500001</v>
      </c>
      <c r="G39" s="1073">
        <v>9548.6765722555556</v>
      </c>
      <c r="H39" s="1073">
        <v>11126.819571061555</v>
      </c>
      <c r="I39" s="1073">
        <v>10599.542726442209</v>
      </c>
      <c r="J39" s="1073">
        <v>14146.947575989998</v>
      </c>
      <c r="K39" s="1073">
        <v>16940.370396990002</v>
      </c>
      <c r="L39" s="1073">
        <v>18116.388146974994</v>
      </c>
      <c r="M39" s="1074">
        <v>19645.883533124997</v>
      </c>
      <c r="N39" s="1073">
        <v>21597.454205988877</v>
      </c>
      <c r="Q39" s="1059"/>
      <c r="R39" s="1059"/>
      <c r="S39" s="1059"/>
      <c r="T39" s="1059"/>
      <c r="U39" s="1059"/>
    </row>
    <row r="40" spans="1:21" ht="12.75" customHeight="1" thickTop="1" thickBot="1">
      <c r="A40" s="1066" t="s">
        <v>1060</v>
      </c>
      <c r="B40" s="1075">
        <v>416.69885999999997</v>
      </c>
      <c r="C40" s="1075">
        <v>482.90372000000002</v>
      </c>
      <c r="D40" s="1075">
        <v>582.93799999999999</v>
      </c>
      <c r="E40" s="1075">
        <v>558.71442000000002</v>
      </c>
      <c r="F40" s="1075">
        <v>519.26889700000004</v>
      </c>
      <c r="G40" s="1075">
        <v>528.2118375</v>
      </c>
      <c r="H40" s="1075">
        <v>544.76445404999993</v>
      </c>
      <c r="I40" s="1075">
        <v>579.06507499999998</v>
      </c>
      <c r="J40" s="1075">
        <v>582.73422500000015</v>
      </c>
      <c r="K40" s="1075">
        <v>578.38950125000008</v>
      </c>
      <c r="L40" s="1075">
        <v>650.62942712500001</v>
      </c>
      <c r="M40" s="1075">
        <v>707.2384498749999</v>
      </c>
      <c r="N40" s="1075">
        <v>736.29363981332506</v>
      </c>
      <c r="Q40" s="1059"/>
      <c r="R40" s="1059"/>
      <c r="S40" s="1059"/>
      <c r="T40" s="1059"/>
      <c r="U40" s="1059"/>
    </row>
    <row r="41" spans="1:21" ht="12.75" customHeight="1" thickTop="1">
      <c r="A41" s="905" t="s">
        <v>1061</v>
      </c>
      <c r="B41" s="1076"/>
      <c r="C41" s="1077"/>
      <c r="D41" s="1078"/>
      <c r="E41" s="1078"/>
      <c r="F41" s="1078"/>
      <c r="G41" s="1078"/>
      <c r="H41" s="1078"/>
      <c r="I41" s="1078"/>
      <c r="J41" s="1078"/>
      <c r="K41" s="1078"/>
      <c r="L41" s="1078"/>
      <c r="M41" s="1078"/>
      <c r="N41" s="1078"/>
      <c r="Q41" s="1059"/>
      <c r="R41" s="1059"/>
      <c r="S41" s="1059"/>
      <c r="T41" s="1059"/>
      <c r="U41" s="1059"/>
    </row>
    <row r="42" spans="1:21" ht="12.75" customHeight="1">
      <c r="A42" s="803" t="s">
        <v>1062</v>
      </c>
      <c r="B42" s="1058">
        <v>25.4</v>
      </c>
      <c r="C42" s="1058">
        <v>27.223740977965178</v>
      </c>
      <c r="D42" s="1058">
        <v>30.657808315396558</v>
      </c>
      <c r="E42" s="1058">
        <v>28.199873968330479</v>
      </c>
      <c r="F42" s="1058">
        <v>28.201649346250857</v>
      </c>
      <c r="G42" s="1058">
        <v>26.365319276710473</v>
      </c>
      <c r="H42" s="1058">
        <v>29.94201788951737</v>
      </c>
      <c r="I42" s="1058">
        <v>24.086681743462488</v>
      </c>
      <c r="J42" s="1058">
        <v>26.646984961477486</v>
      </c>
      <c r="K42" s="1058">
        <v>26.430511715802417</v>
      </c>
      <c r="L42" s="1058">
        <v>27.179380983159383</v>
      </c>
      <c r="M42" s="1058">
        <v>27.460686620946454</v>
      </c>
      <c r="N42" s="1058">
        <v>26.968125907719223</v>
      </c>
      <c r="Q42" s="1059"/>
      <c r="R42" s="1059"/>
      <c r="S42" s="1059"/>
      <c r="T42" s="1059"/>
      <c r="U42" s="1059"/>
    </row>
    <row r="43" spans="1:21" ht="12.75" customHeight="1">
      <c r="A43" s="803" t="s">
        <v>1063</v>
      </c>
      <c r="B43" s="1058" t="s">
        <v>264</v>
      </c>
      <c r="C43" s="1058" t="s">
        <v>264</v>
      </c>
      <c r="D43" s="1058" t="s">
        <v>264</v>
      </c>
      <c r="E43" s="1058" t="s">
        <v>264</v>
      </c>
      <c r="F43" s="1058" t="s">
        <v>264</v>
      </c>
      <c r="G43" s="1058" t="s">
        <v>1064</v>
      </c>
      <c r="H43" s="1058" t="s">
        <v>1064</v>
      </c>
      <c r="I43" s="1058" t="s">
        <v>1064</v>
      </c>
      <c r="J43" s="1058">
        <v>24.183804315019813</v>
      </c>
      <c r="K43" s="1058">
        <v>27.236000427405912</v>
      </c>
      <c r="L43" s="1058">
        <v>28.733181067519215</v>
      </c>
      <c r="M43" s="1058">
        <v>25.61137206233505</v>
      </c>
      <c r="N43" s="1058">
        <v>30.411928885868988</v>
      </c>
      <c r="Q43" s="1059"/>
      <c r="R43" s="1059"/>
      <c r="S43" s="1059"/>
      <c r="T43" s="1059"/>
      <c r="U43" s="1059"/>
    </row>
    <row r="44" spans="1:21" ht="12.75" customHeight="1">
      <c r="A44" s="1061" t="s">
        <v>1065</v>
      </c>
      <c r="B44" s="1079">
        <v>25.3</v>
      </c>
      <c r="C44" s="1079">
        <v>30.001845718939297</v>
      </c>
      <c r="D44" s="1079">
        <v>36.792797466304926</v>
      </c>
      <c r="E44" s="1079">
        <v>38.383698942964955</v>
      </c>
      <c r="F44" s="1079">
        <v>36.369852774145137</v>
      </c>
      <c r="G44" s="1079">
        <v>28.656422316556238</v>
      </c>
      <c r="H44" s="1079">
        <v>34.035502949747439</v>
      </c>
      <c r="I44" s="1079">
        <v>23.351781242047764</v>
      </c>
      <c r="J44" s="1079">
        <v>37.070862241088442</v>
      </c>
      <c r="K44" s="1079">
        <v>37.455904896303551</v>
      </c>
      <c r="L44" s="1080">
        <v>34.771330343106619</v>
      </c>
      <c r="M44" s="1079">
        <v>38.219289366241576</v>
      </c>
      <c r="N44" s="1079">
        <v>37.400367514948975</v>
      </c>
      <c r="Q44" s="1059"/>
      <c r="R44" s="1059"/>
      <c r="S44" s="1059"/>
      <c r="T44" s="1059"/>
      <c r="U44" s="1059"/>
    </row>
    <row r="45" spans="1:21" ht="12.75" customHeight="1" thickBot="1">
      <c r="A45" s="1081" t="s">
        <v>1066</v>
      </c>
      <c r="B45" s="1082">
        <v>62.6</v>
      </c>
      <c r="C45" s="1082">
        <v>63.680923466563904</v>
      </c>
      <c r="D45" s="1082">
        <v>65.709327864854643</v>
      </c>
      <c r="E45" s="1082">
        <v>64.152171877084243</v>
      </c>
      <c r="F45" s="1082">
        <v>59.355470325311636</v>
      </c>
      <c r="G45" s="1082">
        <v>61.138804700938501</v>
      </c>
      <c r="H45" s="1082">
        <v>61.214011445904148</v>
      </c>
      <c r="I45" s="1082">
        <v>62.610276554490248</v>
      </c>
      <c r="J45" s="1083">
        <v>62.008638211990487</v>
      </c>
      <c r="K45" s="1083">
        <v>58.546771640664602</v>
      </c>
      <c r="L45" s="1083">
        <v>56.237959616003586</v>
      </c>
      <c r="M45" s="1083">
        <v>56.676363376377907</v>
      </c>
      <c r="N45" s="1082">
        <v>56.253730897721681</v>
      </c>
      <c r="Q45" s="1059"/>
      <c r="R45" s="1059"/>
      <c r="S45" s="1059"/>
      <c r="T45" s="1059"/>
      <c r="U45" s="1059"/>
    </row>
    <row r="46" spans="1:21" ht="12.75" customHeight="1" thickTop="1" thickBot="1">
      <c r="A46" s="1084" t="s">
        <v>1067</v>
      </c>
      <c r="B46" s="1082">
        <v>32.299999999999997</v>
      </c>
      <c r="C46" s="1082">
        <v>36.376845938319747</v>
      </c>
      <c r="D46" s="1082">
        <v>42.539400213047649</v>
      </c>
      <c r="E46" s="1082">
        <v>43.968838200478075</v>
      </c>
      <c r="F46" s="1082">
        <v>42.104772829371299</v>
      </c>
      <c r="G46" s="1082">
        <v>38.579848856994452</v>
      </c>
      <c r="H46" s="1082">
        <v>42.112412883430672</v>
      </c>
      <c r="I46" s="1082">
        <v>36.597553190967055</v>
      </c>
      <c r="J46" s="1083">
        <v>43.32661011460717</v>
      </c>
      <c r="K46" s="1083">
        <v>41.186431985939116</v>
      </c>
      <c r="L46" s="1082">
        <v>38.742255232722222</v>
      </c>
      <c r="M46" s="1083">
        <v>39.124235564981085</v>
      </c>
      <c r="N46" s="1082">
        <v>37.832394816557702</v>
      </c>
      <c r="Q46" s="1059"/>
      <c r="R46" s="1059"/>
      <c r="S46" s="1059"/>
      <c r="T46" s="1059"/>
      <c r="U46" s="1059"/>
    </row>
    <row r="47" spans="1:21" ht="12.75" customHeight="1" thickTop="1">
      <c r="A47" s="1085" t="s">
        <v>1068</v>
      </c>
      <c r="B47" s="1061"/>
      <c r="C47" s="1079"/>
      <c r="D47" s="1078"/>
      <c r="E47" s="1078"/>
      <c r="F47" s="1078"/>
      <c r="G47" s="1086"/>
      <c r="H47" s="1086"/>
      <c r="I47" s="1086"/>
      <c r="J47" s="1086"/>
      <c r="K47" s="1086"/>
      <c r="L47" s="1086"/>
      <c r="M47" s="1086"/>
      <c r="N47" s="1086"/>
      <c r="Q47" s="1059"/>
      <c r="R47" s="1059"/>
      <c r="S47" s="1059"/>
      <c r="T47" s="1059"/>
      <c r="U47" s="1059"/>
    </row>
    <row r="48" spans="1:21" ht="12.75" customHeight="1">
      <c r="A48" s="1061" t="s">
        <v>1062</v>
      </c>
      <c r="B48" s="1079" t="s">
        <v>264</v>
      </c>
      <c r="C48" s="1079" t="s">
        <v>264</v>
      </c>
      <c r="D48" s="1079">
        <v>30.88</v>
      </c>
      <c r="E48" s="1079">
        <v>30.51</v>
      </c>
      <c r="F48" s="1079">
        <v>29.06</v>
      </c>
      <c r="G48" s="1079">
        <v>25.57</v>
      </c>
      <c r="H48" s="1079">
        <v>28.36</v>
      </c>
      <c r="I48" s="1079">
        <v>26.15</v>
      </c>
      <c r="J48" s="1079">
        <v>29.15</v>
      </c>
      <c r="K48" s="1079">
        <v>28.13</v>
      </c>
      <c r="L48" s="1079">
        <v>26.7</v>
      </c>
      <c r="M48" s="1079">
        <v>27.3</v>
      </c>
      <c r="N48" s="1079">
        <v>29.427929432093858</v>
      </c>
      <c r="Q48" s="1059"/>
      <c r="R48" s="1059"/>
      <c r="S48" s="1059"/>
      <c r="T48" s="1059"/>
      <c r="U48" s="1059"/>
    </row>
    <row r="49" spans="1:21" ht="12.75" customHeight="1" thickBot="1">
      <c r="A49" s="1081" t="s">
        <v>1069</v>
      </c>
      <c r="B49" s="1082" t="s">
        <v>264</v>
      </c>
      <c r="C49" s="1082" t="s">
        <v>264</v>
      </c>
      <c r="D49" s="1082" t="s">
        <v>264</v>
      </c>
      <c r="E49" s="1082" t="s">
        <v>264</v>
      </c>
      <c r="F49" s="1082" t="s">
        <v>264</v>
      </c>
      <c r="G49" s="1082" t="s">
        <v>264</v>
      </c>
      <c r="H49" s="1082" t="s">
        <v>264</v>
      </c>
      <c r="I49" s="1082" t="s">
        <v>1064</v>
      </c>
      <c r="J49" s="1082" t="s">
        <v>1064</v>
      </c>
      <c r="K49" s="1082" t="s">
        <v>1064</v>
      </c>
      <c r="L49" s="1087">
        <v>27.5</v>
      </c>
      <c r="M49" s="1088">
        <v>28.3</v>
      </c>
      <c r="N49" s="1088">
        <v>34.910519845451354</v>
      </c>
      <c r="Q49" s="1059"/>
      <c r="R49" s="1059"/>
      <c r="S49" s="1059"/>
      <c r="T49" s="1059"/>
      <c r="U49" s="1059"/>
    </row>
    <row r="50" spans="1:21" ht="6.75" customHeight="1" thickTop="1">
      <c r="A50" s="886"/>
      <c r="B50" s="886"/>
      <c r="C50" s="886"/>
      <c r="D50" s="886"/>
      <c r="E50" s="886"/>
      <c r="F50" s="886"/>
      <c r="G50" s="886"/>
      <c r="Q50" s="1059"/>
      <c r="R50" s="1059"/>
      <c r="S50" s="1059"/>
      <c r="T50" s="1059"/>
      <c r="U50" s="1059"/>
    </row>
    <row r="51" spans="1:21" s="800" customFormat="1" ht="10.5" customHeight="1">
      <c r="A51" s="877" t="s">
        <v>1070</v>
      </c>
      <c r="B51" s="1089"/>
      <c r="C51" s="1089"/>
      <c r="D51" s="1089"/>
      <c r="E51" s="1089"/>
      <c r="F51" s="1089"/>
      <c r="G51" s="1090"/>
    </row>
    <row r="52" spans="1:21" s="800" customFormat="1" ht="10.5" customHeight="1">
      <c r="A52" s="877" t="s">
        <v>1071</v>
      </c>
      <c r="B52" s="1089"/>
      <c r="C52" s="1089"/>
      <c r="D52" s="1089"/>
      <c r="E52" s="1089"/>
      <c r="F52" s="1089"/>
      <c r="G52" s="1090"/>
    </row>
    <row r="53" spans="1:21" s="800" customFormat="1" ht="10.5" customHeight="1">
      <c r="A53" s="877" t="s">
        <v>1072</v>
      </c>
      <c r="B53" s="803"/>
      <c r="C53" s="803"/>
      <c r="D53" s="803"/>
      <c r="E53" s="803"/>
      <c r="F53" s="803"/>
      <c r="G53" s="886"/>
      <c r="H53" s="880"/>
      <c r="I53" s="880"/>
      <c r="J53" s="880"/>
      <c r="K53" s="880"/>
    </row>
    <row r="54" spans="1:21" s="800" customFormat="1" ht="10.5" customHeight="1">
      <c r="A54" s="877" t="s">
        <v>1073</v>
      </c>
      <c r="B54" s="803"/>
      <c r="C54" s="803"/>
      <c r="D54" s="803"/>
      <c r="E54" s="803"/>
      <c r="F54" s="803"/>
      <c r="G54" s="886"/>
      <c r="H54" s="880"/>
      <c r="I54" s="880"/>
      <c r="J54" s="880"/>
      <c r="K54" s="880"/>
    </row>
    <row r="55" spans="1:21" s="800" customFormat="1" ht="10.5" customHeight="1">
      <c r="A55" s="877" t="s">
        <v>1074</v>
      </c>
      <c r="B55" s="803"/>
      <c r="C55" s="803"/>
      <c r="D55" s="803"/>
      <c r="E55" s="803"/>
      <c r="F55" s="803"/>
      <c r="G55" s="886"/>
      <c r="H55" s="880"/>
      <c r="I55" s="880"/>
      <c r="J55" s="880"/>
      <c r="K55" s="880"/>
      <c r="L55" s="880"/>
    </row>
    <row r="56" spans="1:21" s="800" customFormat="1" ht="10.5" customHeight="1">
      <c r="A56" s="877" t="s">
        <v>1075</v>
      </c>
      <c r="B56" s="1089"/>
      <c r="C56" s="1089"/>
      <c r="D56" s="1089"/>
      <c r="E56" s="1089"/>
      <c r="F56" s="1089"/>
      <c r="G56" s="1090"/>
    </row>
    <row r="57" spans="1:21" s="800" customFormat="1" ht="10.5" customHeight="1">
      <c r="A57" s="877" t="s">
        <v>1076</v>
      </c>
      <c r="B57" s="1089"/>
      <c r="C57" s="1089"/>
      <c r="D57" s="1089"/>
      <c r="E57" s="1089"/>
      <c r="F57" s="1089"/>
      <c r="G57" s="1090"/>
    </row>
    <row r="58" spans="1:21" s="800" customFormat="1" ht="10.5" customHeight="1">
      <c r="A58" s="877" t="s">
        <v>1077</v>
      </c>
      <c r="B58" s="1089"/>
      <c r="C58" s="1089"/>
      <c r="D58" s="1089"/>
      <c r="E58" s="1089"/>
      <c r="F58" s="1089"/>
      <c r="G58" s="1090"/>
    </row>
    <row r="59" spans="1:21" s="800" customFormat="1" ht="10.5" customHeight="1">
      <c r="A59" s="877" t="s">
        <v>1078</v>
      </c>
      <c r="B59" s="1089"/>
      <c r="C59" s="1089"/>
      <c r="D59" s="1089"/>
      <c r="E59" s="1089"/>
      <c r="F59" s="1089"/>
      <c r="G59" s="1090"/>
    </row>
    <row r="60" spans="1:21" s="800" customFormat="1" ht="10.5" customHeight="1">
      <c r="A60" s="877" t="s">
        <v>1079</v>
      </c>
      <c r="B60" s="1089"/>
      <c r="C60" s="1089"/>
      <c r="D60" s="1089"/>
      <c r="E60" s="1089"/>
      <c r="F60" s="1089"/>
    </row>
    <row r="61" spans="1:21" s="800" customFormat="1" ht="10.5" customHeight="1">
      <c r="A61" s="877" t="s">
        <v>1080</v>
      </c>
      <c r="B61" s="1089"/>
      <c r="C61" s="1089"/>
      <c r="D61" s="1089"/>
      <c r="E61" s="1089"/>
      <c r="F61" s="1089"/>
    </row>
    <row r="62" spans="1:21" s="800" customFormat="1" ht="10.5" customHeight="1">
      <c r="A62" s="877" t="s">
        <v>1081</v>
      </c>
    </row>
    <row r="63" spans="1:21" s="800" customFormat="1" ht="10.5" customHeight="1">
      <c r="A63" s="877" t="s">
        <v>1082</v>
      </c>
    </row>
    <row r="64" spans="1:21" s="800" customFormat="1" ht="10.5" customHeight="1">
      <c r="A64" s="877" t="s">
        <v>1083</v>
      </c>
    </row>
    <row r="65" spans="1:11" s="800" customFormat="1" ht="10.5" customHeight="1">
      <c r="A65" s="877" t="s">
        <v>1084</v>
      </c>
    </row>
    <row r="66" spans="1:11" s="800" customFormat="1" ht="10.5" customHeight="1">
      <c r="A66" s="877" t="s">
        <v>1085</v>
      </c>
    </row>
    <row r="67" spans="1:11" s="800" customFormat="1" ht="10.5" customHeight="1">
      <c r="A67" s="877" t="s">
        <v>1086</v>
      </c>
    </row>
    <row r="68" spans="1:11" ht="10.5" customHeight="1"/>
    <row r="69" spans="1:11">
      <c r="A69" s="1091"/>
    </row>
    <row r="70" spans="1:11">
      <c r="A70" s="883"/>
      <c r="B70" s="883"/>
      <c r="C70" s="883"/>
      <c r="D70" s="883"/>
      <c r="E70" s="883"/>
      <c r="F70" s="883"/>
      <c r="G70" s="883"/>
      <c r="H70" s="883"/>
      <c r="I70" s="883"/>
      <c r="J70" s="1092"/>
      <c r="K70" s="883"/>
    </row>
    <row r="71" spans="1:11">
      <c r="A71" s="1061"/>
      <c r="B71" s="883"/>
      <c r="C71" s="883"/>
      <c r="D71" s="883"/>
      <c r="E71" s="883"/>
      <c r="F71" s="883"/>
      <c r="G71" s="883"/>
      <c r="H71" s="883"/>
      <c r="I71" s="883"/>
      <c r="J71" s="1092"/>
      <c r="K71" s="883"/>
    </row>
    <row r="72" spans="1:11">
      <c r="A72" s="1061"/>
      <c r="B72" s="1093"/>
      <c r="C72" s="1093"/>
      <c r="D72" s="1093"/>
      <c r="E72" s="1093"/>
      <c r="F72" s="1093"/>
      <c r="G72" s="1093"/>
      <c r="H72" s="1093"/>
      <c r="I72" s="1093"/>
      <c r="J72" s="1094"/>
      <c r="K72" s="883"/>
    </row>
    <row r="73" spans="1:11">
      <c r="A73" s="1061"/>
      <c r="B73" s="1095"/>
      <c r="C73" s="1095"/>
      <c r="D73" s="1095"/>
      <c r="E73" s="1095"/>
      <c r="F73" s="1095"/>
      <c r="G73" s="1095"/>
      <c r="H73" s="1095"/>
      <c r="I73" s="1095"/>
      <c r="J73" s="1096"/>
      <c r="K73" s="883"/>
    </row>
    <row r="74" spans="1:11">
      <c r="A74" s="1061"/>
      <c r="B74" s="1095"/>
      <c r="C74" s="1095"/>
      <c r="D74" s="1095"/>
      <c r="E74" s="1095"/>
      <c r="F74" s="1095"/>
      <c r="G74" s="1095"/>
      <c r="H74" s="1095"/>
      <c r="I74" s="1095"/>
      <c r="J74" s="1096"/>
      <c r="K74" s="883"/>
    </row>
    <row r="75" spans="1:11">
      <c r="A75" s="1061"/>
      <c r="B75" s="1095"/>
      <c r="C75" s="1095"/>
      <c r="D75" s="1095"/>
      <c r="E75" s="1095"/>
      <c r="F75" s="1095"/>
      <c r="G75" s="1095"/>
      <c r="H75" s="1095"/>
      <c r="I75" s="1095"/>
      <c r="J75" s="1096"/>
      <c r="K75" s="883"/>
    </row>
    <row r="76" spans="1:11">
      <c r="A76" s="883"/>
      <c r="B76" s="883"/>
      <c r="C76" s="883"/>
      <c r="D76" s="883"/>
      <c r="E76" s="883"/>
      <c r="F76" s="883"/>
      <c r="G76" s="883"/>
      <c r="H76" s="883"/>
      <c r="I76" s="883"/>
      <c r="J76" s="1092"/>
      <c r="K76" s="883"/>
    </row>
  </sheetData>
  <pageMargins left="0.6692913385826772" right="0.6692913385826772" top="0.51181102362204722" bottom="0.51181102362204722" header="0.27559055118110237" footer="0.27559055118110237"/>
  <pageSetup paperSize="9" scale="60" orientation="portrait"/>
  <headerFooter alignWithMargins="0">
    <oddFooter>&amp;C206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 enableFormatConditionsCalculation="0"/>
  <dimension ref="A1:H67"/>
  <sheetViews>
    <sheetView workbookViewId="0"/>
  </sheetViews>
  <sheetFormatPr baseColWidth="10" defaultColWidth="8.83203125" defaultRowHeight="13" x14ac:dyDescent="0"/>
  <cols>
    <col min="1" max="1" width="27.33203125" style="217" customWidth="1"/>
    <col min="2" max="3" width="7.83203125" style="217" customWidth="1"/>
    <col min="4" max="4" width="31" style="217" customWidth="1"/>
    <col min="5" max="6" width="7.83203125" style="217" customWidth="1"/>
    <col min="7" max="256" width="8.83203125" style="217"/>
    <col min="257" max="257" width="27.33203125" style="217" customWidth="1"/>
    <col min="258" max="259" width="7.83203125" style="217" customWidth="1"/>
    <col min="260" max="260" width="31" style="217" customWidth="1"/>
    <col min="261" max="262" width="7.83203125" style="217" customWidth="1"/>
    <col min="263" max="512" width="8.83203125" style="217"/>
    <col min="513" max="513" width="27.33203125" style="217" customWidth="1"/>
    <col min="514" max="515" width="7.83203125" style="217" customWidth="1"/>
    <col min="516" max="516" width="31" style="217" customWidth="1"/>
    <col min="517" max="518" width="7.83203125" style="217" customWidth="1"/>
    <col min="519" max="768" width="8.83203125" style="217"/>
    <col min="769" max="769" width="27.33203125" style="217" customWidth="1"/>
    <col min="770" max="771" width="7.83203125" style="217" customWidth="1"/>
    <col min="772" max="772" width="31" style="217" customWidth="1"/>
    <col min="773" max="774" width="7.83203125" style="217" customWidth="1"/>
    <col min="775" max="1024" width="8.83203125" style="217"/>
    <col min="1025" max="1025" width="27.33203125" style="217" customWidth="1"/>
    <col min="1026" max="1027" width="7.83203125" style="217" customWidth="1"/>
    <col min="1028" max="1028" width="31" style="217" customWidth="1"/>
    <col min="1029" max="1030" width="7.83203125" style="217" customWidth="1"/>
    <col min="1031" max="1280" width="8.83203125" style="217"/>
    <col min="1281" max="1281" width="27.33203125" style="217" customWidth="1"/>
    <col min="1282" max="1283" width="7.83203125" style="217" customWidth="1"/>
    <col min="1284" max="1284" width="31" style="217" customWidth="1"/>
    <col min="1285" max="1286" width="7.83203125" style="217" customWidth="1"/>
    <col min="1287" max="1536" width="8.83203125" style="217"/>
    <col min="1537" max="1537" width="27.33203125" style="217" customWidth="1"/>
    <col min="1538" max="1539" width="7.83203125" style="217" customWidth="1"/>
    <col min="1540" max="1540" width="31" style="217" customWidth="1"/>
    <col min="1541" max="1542" width="7.83203125" style="217" customWidth="1"/>
    <col min="1543" max="1792" width="8.83203125" style="217"/>
    <col min="1793" max="1793" width="27.33203125" style="217" customWidth="1"/>
    <col min="1794" max="1795" width="7.83203125" style="217" customWidth="1"/>
    <col min="1796" max="1796" width="31" style="217" customWidth="1"/>
    <col min="1797" max="1798" width="7.83203125" style="217" customWidth="1"/>
    <col min="1799" max="2048" width="8.83203125" style="217"/>
    <col min="2049" max="2049" width="27.33203125" style="217" customWidth="1"/>
    <col min="2050" max="2051" width="7.83203125" style="217" customWidth="1"/>
    <col min="2052" max="2052" width="31" style="217" customWidth="1"/>
    <col min="2053" max="2054" width="7.83203125" style="217" customWidth="1"/>
    <col min="2055" max="2304" width="8.83203125" style="217"/>
    <col min="2305" max="2305" width="27.33203125" style="217" customWidth="1"/>
    <col min="2306" max="2307" width="7.83203125" style="217" customWidth="1"/>
    <col min="2308" max="2308" width="31" style="217" customWidth="1"/>
    <col min="2309" max="2310" width="7.83203125" style="217" customWidth="1"/>
    <col min="2311" max="2560" width="8.83203125" style="217"/>
    <col min="2561" max="2561" width="27.33203125" style="217" customWidth="1"/>
    <col min="2562" max="2563" width="7.83203125" style="217" customWidth="1"/>
    <col min="2564" max="2564" width="31" style="217" customWidth="1"/>
    <col min="2565" max="2566" width="7.83203125" style="217" customWidth="1"/>
    <col min="2567" max="2816" width="8.83203125" style="217"/>
    <col min="2817" max="2817" width="27.33203125" style="217" customWidth="1"/>
    <col min="2818" max="2819" width="7.83203125" style="217" customWidth="1"/>
    <col min="2820" max="2820" width="31" style="217" customWidth="1"/>
    <col min="2821" max="2822" width="7.83203125" style="217" customWidth="1"/>
    <col min="2823" max="3072" width="8.83203125" style="217"/>
    <col min="3073" max="3073" width="27.33203125" style="217" customWidth="1"/>
    <col min="3074" max="3075" width="7.83203125" style="217" customWidth="1"/>
    <col min="3076" max="3076" width="31" style="217" customWidth="1"/>
    <col min="3077" max="3078" width="7.83203125" style="217" customWidth="1"/>
    <col min="3079" max="3328" width="8.83203125" style="217"/>
    <col min="3329" max="3329" width="27.33203125" style="217" customWidth="1"/>
    <col min="3330" max="3331" width="7.83203125" style="217" customWidth="1"/>
    <col min="3332" max="3332" width="31" style="217" customWidth="1"/>
    <col min="3333" max="3334" width="7.83203125" style="217" customWidth="1"/>
    <col min="3335" max="3584" width="8.83203125" style="217"/>
    <col min="3585" max="3585" width="27.33203125" style="217" customWidth="1"/>
    <col min="3586" max="3587" width="7.83203125" style="217" customWidth="1"/>
    <col min="3588" max="3588" width="31" style="217" customWidth="1"/>
    <col min="3589" max="3590" width="7.83203125" style="217" customWidth="1"/>
    <col min="3591" max="3840" width="8.83203125" style="217"/>
    <col min="3841" max="3841" width="27.33203125" style="217" customWidth="1"/>
    <col min="3842" max="3843" width="7.83203125" style="217" customWidth="1"/>
    <col min="3844" max="3844" width="31" style="217" customWidth="1"/>
    <col min="3845" max="3846" width="7.83203125" style="217" customWidth="1"/>
    <col min="3847" max="4096" width="8.83203125" style="217"/>
    <col min="4097" max="4097" width="27.33203125" style="217" customWidth="1"/>
    <col min="4098" max="4099" width="7.83203125" style="217" customWidth="1"/>
    <col min="4100" max="4100" width="31" style="217" customWidth="1"/>
    <col min="4101" max="4102" width="7.83203125" style="217" customWidth="1"/>
    <col min="4103" max="4352" width="8.83203125" style="217"/>
    <col min="4353" max="4353" width="27.33203125" style="217" customWidth="1"/>
    <col min="4354" max="4355" width="7.83203125" style="217" customWidth="1"/>
    <col min="4356" max="4356" width="31" style="217" customWidth="1"/>
    <col min="4357" max="4358" width="7.83203125" style="217" customWidth="1"/>
    <col min="4359" max="4608" width="8.83203125" style="217"/>
    <col min="4609" max="4609" width="27.33203125" style="217" customWidth="1"/>
    <col min="4610" max="4611" width="7.83203125" style="217" customWidth="1"/>
    <col min="4612" max="4612" width="31" style="217" customWidth="1"/>
    <col min="4613" max="4614" width="7.83203125" style="217" customWidth="1"/>
    <col min="4615" max="4864" width="8.83203125" style="217"/>
    <col min="4865" max="4865" width="27.33203125" style="217" customWidth="1"/>
    <col min="4866" max="4867" width="7.83203125" style="217" customWidth="1"/>
    <col min="4868" max="4868" width="31" style="217" customWidth="1"/>
    <col min="4869" max="4870" width="7.83203125" style="217" customWidth="1"/>
    <col min="4871" max="5120" width="8.83203125" style="217"/>
    <col min="5121" max="5121" width="27.33203125" style="217" customWidth="1"/>
    <col min="5122" max="5123" width="7.83203125" style="217" customWidth="1"/>
    <col min="5124" max="5124" width="31" style="217" customWidth="1"/>
    <col min="5125" max="5126" width="7.83203125" style="217" customWidth="1"/>
    <col min="5127" max="5376" width="8.83203125" style="217"/>
    <col min="5377" max="5377" width="27.33203125" style="217" customWidth="1"/>
    <col min="5378" max="5379" width="7.83203125" style="217" customWidth="1"/>
    <col min="5380" max="5380" width="31" style="217" customWidth="1"/>
    <col min="5381" max="5382" width="7.83203125" style="217" customWidth="1"/>
    <col min="5383" max="5632" width="8.83203125" style="217"/>
    <col min="5633" max="5633" width="27.33203125" style="217" customWidth="1"/>
    <col min="5634" max="5635" width="7.83203125" style="217" customWidth="1"/>
    <col min="5636" max="5636" width="31" style="217" customWidth="1"/>
    <col min="5637" max="5638" width="7.83203125" style="217" customWidth="1"/>
    <col min="5639" max="5888" width="8.83203125" style="217"/>
    <col min="5889" max="5889" width="27.33203125" style="217" customWidth="1"/>
    <col min="5890" max="5891" width="7.83203125" style="217" customWidth="1"/>
    <col min="5892" max="5892" width="31" style="217" customWidth="1"/>
    <col min="5893" max="5894" width="7.83203125" style="217" customWidth="1"/>
    <col min="5895" max="6144" width="8.83203125" style="217"/>
    <col min="6145" max="6145" width="27.33203125" style="217" customWidth="1"/>
    <col min="6146" max="6147" width="7.83203125" style="217" customWidth="1"/>
    <col min="6148" max="6148" width="31" style="217" customWidth="1"/>
    <col min="6149" max="6150" width="7.83203125" style="217" customWidth="1"/>
    <col min="6151" max="6400" width="8.83203125" style="217"/>
    <col min="6401" max="6401" width="27.33203125" style="217" customWidth="1"/>
    <col min="6402" max="6403" width="7.83203125" style="217" customWidth="1"/>
    <col min="6404" max="6404" width="31" style="217" customWidth="1"/>
    <col min="6405" max="6406" width="7.83203125" style="217" customWidth="1"/>
    <col min="6407" max="6656" width="8.83203125" style="217"/>
    <col min="6657" max="6657" width="27.33203125" style="217" customWidth="1"/>
    <col min="6658" max="6659" width="7.83203125" style="217" customWidth="1"/>
    <col min="6660" max="6660" width="31" style="217" customWidth="1"/>
    <col min="6661" max="6662" width="7.83203125" style="217" customWidth="1"/>
    <col min="6663" max="6912" width="8.83203125" style="217"/>
    <col min="6913" max="6913" width="27.33203125" style="217" customWidth="1"/>
    <col min="6914" max="6915" width="7.83203125" style="217" customWidth="1"/>
    <col min="6916" max="6916" width="31" style="217" customWidth="1"/>
    <col min="6917" max="6918" width="7.83203125" style="217" customWidth="1"/>
    <col min="6919" max="7168" width="8.83203125" style="217"/>
    <col min="7169" max="7169" width="27.33203125" style="217" customWidth="1"/>
    <col min="7170" max="7171" width="7.83203125" style="217" customWidth="1"/>
    <col min="7172" max="7172" width="31" style="217" customWidth="1"/>
    <col min="7173" max="7174" width="7.83203125" style="217" customWidth="1"/>
    <col min="7175" max="7424" width="8.83203125" style="217"/>
    <col min="7425" max="7425" width="27.33203125" style="217" customWidth="1"/>
    <col min="7426" max="7427" width="7.83203125" style="217" customWidth="1"/>
    <col min="7428" max="7428" width="31" style="217" customWidth="1"/>
    <col min="7429" max="7430" width="7.83203125" style="217" customWidth="1"/>
    <col min="7431" max="7680" width="8.83203125" style="217"/>
    <col min="7681" max="7681" width="27.33203125" style="217" customWidth="1"/>
    <col min="7682" max="7683" width="7.83203125" style="217" customWidth="1"/>
    <col min="7684" max="7684" width="31" style="217" customWidth="1"/>
    <col min="7685" max="7686" width="7.83203125" style="217" customWidth="1"/>
    <col min="7687" max="7936" width="8.83203125" style="217"/>
    <col min="7937" max="7937" width="27.33203125" style="217" customWidth="1"/>
    <col min="7938" max="7939" width="7.83203125" style="217" customWidth="1"/>
    <col min="7940" max="7940" width="31" style="217" customWidth="1"/>
    <col min="7941" max="7942" width="7.83203125" style="217" customWidth="1"/>
    <col min="7943" max="8192" width="8.83203125" style="217"/>
    <col min="8193" max="8193" width="27.33203125" style="217" customWidth="1"/>
    <col min="8194" max="8195" width="7.83203125" style="217" customWidth="1"/>
    <col min="8196" max="8196" width="31" style="217" customWidth="1"/>
    <col min="8197" max="8198" width="7.83203125" style="217" customWidth="1"/>
    <col min="8199" max="8448" width="8.83203125" style="217"/>
    <col min="8449" max="8449" width="27.33203125" style="217" customWidth="1"/>
    <col min="8450" max="8451" width="7.83203125" style="217" customWidth="1"/>
    <col min="8452" max="8452" width="31" style="217" customWidth="1"/>
    <col min="8453" max="8454" width="7.83203125" style="217" customWidth="1"/>
    <col min="8455" max="8704" width="8.83203125" style="217"/>
    <col min="8705" max="8705" width="27.33203125" style="217" customWidth="1"/>
    <col min="8706" max="8707" width="7.83203125" style="217" customWidth="1"/>
    <col min="8708" max="8708" width="31" style="217" customWidth="1"/>
    <col min="8709" max="8710" width="7.83203125" style="217" customWidth="1"/>
    <col min="8711" max="8960" width="8.83203125" style="217"/>
    <col min="8961" max="8961" width="27.33203125" style="217" customWidth="1"/>
    <col min="8962" max="8963" width="7.83203125" style="217" customWidth="1"/>
    <col min="8964" max="8964" width="31" style="217" customWidth="1"/>
    <col min="8965" max="8966" width="7.83203125" style="217" customWidth="1"/>
    <col min="8967" max="9216" width="8.83203125" style="217"/>
    <col min="9217" max="9217" width="27.33203125" style="217" customWidth="1"/>
    <col min="9218" max="9219" width="7.83203125" style="217" customWidth="1"/>
    <col min="9220" max="9220" width="31" style="217" customWidth="1"/>
    <col min="9221" max="9222" width="7.83203125" style="217" customWidth="1"/>
    <col min="9223" max="9472" width="8.83203125" style="217"/>
    <col min="9473" max="9473" width="27.33203125" style="217" customWidth="1"/>
    <col min="9474" max="9475" width="7.83203125" style="217" customWidth="1"/>
    <col min="9476" max="9476" width="31" style="217" customWidth="1"/>
    <col min="9477" max="9478" width="7.83203125" style="217" customWidth="1"/>
    <col min="9479" max="9728" width="8.83203125" style="217"/>
    <col min="9729" max="9729" width="27.33203125" style="217" customWidth="1"/>
    <col min="9730" max="9731" width="7.83203125" style="217" customWidth="1"/>
    <col min="9732" max="9732" width="31" style="217" customWidth="1"/>
    <col min="9733" max="9734" width="7.83203125" style="217" customWidth="1"/>
    <col min="9735" max="9984" width="8.83203125" style="217"/>
    <col min="9985" max="9985" width="27.33203125" style="217" customWidth="1"/>
    <col min="9986" max="9987" width="7.83203125" style="217" customWidth="1"/>
    <col min="9988" max="9988" width="31" style="217" customWidth="1"/>
    <col min="9989" max="9990" width="7.83203125" style="217" customWidth="1"/>
    <col min="9991" max="10240" width="8.83203125" style="217"/>
    <col min="10241" max="10241" width="27.33203125" style="217" customWidth="1"/>
    <col min="10242" max="10243" width="7.83203125" style="217" customWidth="1"/>
    <col min="10244" max="10244" width="31" style="217" customWidth="1"/>
    <col min="10245" max="10246" width="7.83203125" style="217" customWidth="1"/>
    <col min="10247" max="10496" width="8.83203125" style="217"/>
    <col min="10497" max="10497" width="27.33203125" style="217" customWidth="1"/>
    <col min="10498" max="10499" width="7.83203125" style="217" customWidth="1"/>
    <col min="10500" max="10500" width="31" style="217" customWidth="1"/>
    <col min="10501" max="10502" width="7.83203125" style="217" customWidth="1"/>
    <col min="10503" max="10752" width="8.83203125" style="217"/>
    <col min="10753" max="10753" width="27.33203125" style="217" customWidth="1"/>
    <col min="10754" max="10755" width="7.83203125" style="217" customWidth="1"/>
    <col min="10756" max="10756" width="31" style="217" customWidth="1"/>
    <col min="10757" max="10758" width="7.83203125" style="217" customWidth="1"/>
    <col min="10759" max="11008" width="8.83203125" style="217"/>
    <col min="11009" max="11009" width="27.33203125" style="217" customWidth="1"/>
    <col min="11010" max="11011" width="7.83203125" style="217" customWidth="1"/>
    <col min="11012" max="11012" width="31" style="217" customWidth="1"/>
    <col min="11013" max="11014" width="7.83203125" style="217" customWidth="1"/>
    <col min="11015" max="11264" width="8.83203125" style="217"/>
    <col min="11265" max="11265" width="27.33203125" style="217" customWidth="1"/>
    <col min="11266" max="11267" width="7.83203125" style="217" customWidth="1"/>
    <col min="11268" max="11268" width="31" style="217" customWidth="1"/>
    <col min="11269" max="11270" width="7.83203125" style="217" customWidth="1"/>
    <col min="11271" max="11520" width="8.83203125" style="217"/>
    <col min="11521" max="11521" width="27.33203125" style="217" customWidth="1"/>
    <col min="11522" max="11523" width="7.83203125" style="217" customWidth="1"/>
    <col min="11524" max="11524" width="31" style="217" customWidth="1"/>
    <col min="11525" max="11526" width="7.83203125" style="217" customWidth="1"/>
    <col min="11527" max="11776" width="8.83203125" style="217"/>
    <col min="11777" max="11777" width="27.33203125" style="217" customWidth="1"/>
    <col min="11778" max="11779" width="7.83203125" style="217" customWidth="1"/>
    <col min="11780" max="11780" width="31" style="217" customWidth="1"/>
    <col min="11781" max="11782" width="7.83203125" style="217" customWidth="1"/>
    <col min="11783" max="12032" width="8.83203125" style="217"/>
    <col min="12033" max="12033" width="27.33203125" style="217" customWidth="1"/>
    <col min="12034" max="12035" width="7.83203125" style="217" customWidth="1"/>
    <col min="12036" max="12036" width="31" style="217" customWidth="1"/>
    <col min="12037" max="12038" width="7.83203125" style="217" customWidth="1"/>
    <col min="12039" max="12288" width="8.83203125" style="217"/>
    <col min="12289" max="12289" width="27.33203125" style="217" customWidth="1"/>
    <col min="12290" max="12291" width="7.83203125" style="217" customWidth="1"/>
    <col min="12292" max="12292" width="31" style="217" customWidth="1"/>
    <col min="12293" max="12294" width="7.83203125" style="217" customWidth="1"/>
    <col min="12295" max="12544" width="8.83203125" style="217"/>
    <col min="12545" max="12545" width="27.33203125" style="217" customWidth="1"/>
    <col min="12546" max="12547" width="7.83203125" style="217" customWidth="1"/>
    <col min="12548" max="12548" width="31" style="217" customWidth="1"/>
    <col min="12549" max="12550" width="7.83203125" style="217" customWidth="1"/>
    <col min="12551" max="12800" width="8.83203125" style="217"/>
    <col min="12801" max="12801" width="27.33203125" style="217" customWidth="1"/>
    <col min="12802" max="12803" width="7.83203125" style="217" customWidth="1"/>
    <col min="12804" max="12804" width="31" style="217" customWidth="1"/>
    <col min="12805" max="12806" width="7.83203125" style="217" customWidth="1"/>
    <col min="12807" max="13056" width="8.83203125" style="217"/>
    <col min="13057" max="13057" width="27.33203125" style="217" customWidth="1"/>
    <col min="13058" max="13059" width="7.83203125" style="217" customWidth="1"/>
    <col min="13060" max="13060" width="31" style="217" customWidth="1"/>
    <col min="13061" max="13062" width="7.83203125" style="217" customWidth="1"/>
    <col min="13063" max="13312" width="8.83203125" style="217"/>
    <col min="13313" max="13313" width="27.33203125" style="217" customWidth="1"/>
    <col min="13314" max="13315" width="7.83203125" style="217" customWidth="1"/>
    <col min="13316" max="13316" width="31" style="217" customWidth="1"/>
    <col min="13317" max="13318" width="7.83203125" style="217" customWidth="1"/>
    <col min="13319" max="13568" width="8.83203125" style="217"/>
    <col min="13569" max="13569" width="27.33203125" style="217" customWidth="1"/>
    <col min="13570" max="13571" width="7.83203125" style="217" customWidth="1"/>
    <col min="13572" max="13572" width="31" style="217" customWidth="1"/>
    <col min="13573" max="13574" width="7.83203125" style="217" customWidth="1"/>
    <col min="13575" max="13824" width="8.83203125" style="217"/>
    <col min="13825" max="13825" width="27.33203125" style="217" customWidth="1"/>
    <col min="13826" max="13827" width="7.83203125" style="217" customWidth="1"/>
    <col min="13828" max="13828" width="31" style="217" customWidth="1"/>
    <col min="13829" max="13830" width="7.83203125" style="217" customWidth="1"/>
    <col min="13831" max="14080" width="8.83203125" style="217"/>
    <col min="14081" max="14081" width="27.33203125" style="217" customWidth="1"/>
    <col min="14082" max="14083" width="7.83203125" style="217" customWidth="1"/>
    <col min="14084" max="14084" width="31" style="217" customWidth="1"/>
    <col min="14085" max="14086" width="7.83203125" style="217" customWidth="1"/>
    <col min="14087" max="14336" width="8.83203125" style="217"/>
    <col min="14337" max="14337" width="27.33203125" style="217" customWidth="1"/>
    <col min="14338" max="14339" width="7.83203125" style="217" customWidth="1"/>
    <col min="14340" max="14340" width="31" style="217" customWidth="1"/>
    <col min="14341" max="14342" width="7.83203125" style="217" customWidth="1"/>
    <col min="14343" max="14592" width="8.83203125" style="217"/>
    <col min="14593" max="14593" width="27.33203125" style="217" customWidth="1"/>
    <col min="14594" max="14595" width="7.83203125" style="217" customWidth="1"/>
    <col min="14596" max="14596" width="31" style="217" customWidth="1"/>
    <col min="14597" max="14598" width="7.83203125" style="217" customWidth="1"/>
    <col min="14599" max="14848" width="8.83203125" style="217"/>
    <col min="14849" max="14849" width="27.33203125" style="217" customWidth="1"/>
    <col min="14850" max="14851" width="7.83203125" style="217" customWidth="1"/>
    <col min="14852" max="14852" width="31" style="217" customWidth="1"/>
    <col min="14853" max="14854" width="7.83203125" style="217" customWidth="1"/>
    <col min="14855" max="15104" width="8.83203125" style="217"/>
    <col min="15105" max="15105" width="27.33203125" style="217" customWidth="1"/>
    <col min="15106" max="15107" width="7.83203125" style="217" customWidth="1"/>
    <col min="15108" max="15108" width="31" style="217" customWidth="1"/>
    <col min="15109" max="15110" width="7.83203125" style="217" customWidth="1"/>
    <col min="15111" max="15360" width="8.83203125" style="217"/>
    <col min="15361" max="15361" width="27.33203125" style="217" customWidth="1"/>
    <col min="15362" max="15363" width="7.83203125" style="217" customWidth="1"/>
    <col min="15364" max="15364" width="31" style="217" customWidth="1"/>
    <col min="15365" max="15366" width="7.83203125" style="217" customWidth="1"/>
    <col min="15367" max="15616" width="8.83203125" style="217"/>
    <col min="15617" max="15617" width="27.33203125" style="217" customWidth="1"/>
    <col min="15618" max="15619" width="7.83203125" style="217" customWidth="1"/>
    <col min="15620" max="15620" width="31" style="217" customWidth="1"/>
    <col min="15621" max="15622" width="7.83203125" style="217" customWidth="1"/>
    <col min="15623" max="15872" width="8.83203125" style="217"/>
    <col min="15873" max="15873" width="27.33203125" style="217" customWidth="1"/>
    <col min="15874" max="15875" width="7.83203125" style="217" customWidth="1"/>
    <col min="15876" max="15876" width="31" style="217" customWidth="1"/>
    <col min="15877" max="15878" width="7.83203125" style="217" customWidth="1"/>
    <col min="15879" max="16128" width="8.83203125" style="217"/>
    <col min="16129" max="16129" width="27.33203125" style="217" customWidth="1"/>
    <col min="16130" max="16131" width="7.83203125" style="217" customWidth="1"/>
    <col min="16132" max="16132" width="31" style="217" customWidth="1"/>
    <col min="16133" max="16134" width="7.83203125" style="217" customWidth="1"/>
    <col min="16135" max="16384" width="8.83203125" style="217"/>
  </cols>
  <sheetData>
    <row r="1" spans="1:6" s="214" customFormat="1" ht="26">
      <c r="A1" s="211" t="s">
        <v>271</v>
      </c>
      <c r="B1" s="212"/>
      <c r="C1" s="213"/>
      <c r="D1" s="213"/>
      <c r="E1" s="213"/>
      <c r="F1" s="213"/>
    </row>
    <row r="3" spans="1:6" ht="12" customHeight="1">
      <c r="A3" s="215" t="s">
        <v>272</v>
      </c>
      <c r="B3" s="1784" t="s">
        <v>273</v>
      </c>
      <c r="C3" s="1784"/>
      <c r="D3" s="216"/>
      <c r="E3" s="1784" t="s">
        <v>273</v>
      </c>
      <c r="F3" s="1784"/>
    </row>
    <row r="4" spans="1:6" ht="12" customHeight="1">
      <c r="A4" s="215"/>
      <c r="B4" s="218" t="s">
        <v>274</v>
      </c>
      <c r="C4" s="218" t="s">
        <v>275</v>
      </c>
      <c r="D4" s="216"/>
      <c r="E4" s="218" t="s">
        <v>274</v>
      </c>
      <c r="F4" s="218" t="s">
        <v>275</v>
      </c>
    </row>
    <row r="5" spans="1:6" ht="6" customHeight="1">
      <c r="A5" s="215"/>
      <c r="B5" s="215"/>
      <c r="C5" s="215"/>
      <c r="D5" s="215"/>
      <c r="E5" s="215"/>
      <c r="F5" s="215"/>
    </row>
    <row r="6" spans="1:6" ht="12" customHeight="1">
      <c r="A6" s="219" t="s">
        <v>276</v>
      </c>
      <c r="B6" s="219"/>
      <c r="C6" s="215"/>
      <c r="D6" s="219" t="s">
        <v>277</v>
      </c>
      <c r="E6" s="219"/>
      <c r="F6" s="215"/>
    </row>
    <row r="7" spans="1:6" ht="12" customHeight="1">
      <c r="A7" s="215" t="s">
        <v>278</v>
      </c>
      <c r="B7" s="220">
        <f>C7*0.95</f>
        <v>24.795000000000002</v>
      </c>
      <c r="C7" s="221">
        <v>26.1</v>
      </c>
      <c r="D7" s="215" t="s">
        <v>279</v>
      </c>
      <c r="E7" s="220">
        <v>12.3</v>
      </c>
      <c r="F7" s="221">
        <v>13.9</v>
      </c>
    </row>
    <row r="8" spans="1:6" ht="12" customHeight="1">
      <c r="A8" s="215" t="s">
        <v>280</v>
      </c>
      <c r="B8" s="220">
        <f>C8*0.95</f>
        <v>24.13</v>
      </c>
      <c r="C8" s="221">
        <v>25.4</v>
      </c>
      <c r="D8" s="215" t="s">
        <v>281</v>
      </c>
      <c r="E8" s="220">
        <v>12.1</v>
      </c>
      <c r="F8" s="221">
        <v>13.7</v>
      </c>
    </row>
    <row r="9" spans="1:6" ht="12" customHeight="1">
      <c r="A9" s="215" t="s">
        <v>282</v>
      </c>
      <c r="B9" s="220">
        <f>C9*0.95</f>
        <v>30.97</v>
      </c>
      <c r="C9" s="221">
        <v>32.6</v>
      </c>
      <c r="D9" s="215" t="s">
        <v>283</v>
      </c>
      <c r="E9" s="220">
        <f>F9*0.85</f>
        <v>12.75</v>
      </c>
      <c r="F9" s="221">
        <v>15</v>
      </c>
    </row>
    <row r="10" spans="1:6" ht="12" customHeight="1">
      <c r="A10" s="215" t="s">
        <v>284</v>
      </c>
      <c r="B10" s="222"/>
      <c r="C10" s="223"/>
      <c r="D10" s="215" t="s">
        <v>285</v>
      </c>
      <c r="E10" s="220">
        <f>F10*0.84</f>
        <v>7.3920000000000003</v>
      </c>
      <c r="F10" s="221">
        <v>8.8000000000000007</v>
      </c>
    </row>
    <row r="11" spans="1:6" ht="12" customHeight="1">
      <c r="A11" s="215" t="s">
        <v>286</v>
      </c>
      <c r="B11" s="220">
        <f>C11*0.95</f>
        <v>28.974999999999998</v>
      </c>
      <c r="C11" s="221">
        <v>30.5</v>
      </c>
      <c r="D11" s="215" t="s">
        <v>287</v>
      </c>
      <c r="E11" s="220">
        <f>F11*0.84</f>
        <v>15.624000000000001</v>
      </c>
      <c r="F11" s="221">
        <v>18.600000000000001</v>
      </c>
    </row>
    <row r="12" spans="1:6" ht="12" customHeight="1">
      <c r="A12" s="215" t="s">
        <v>288</v>
      </c>
      <c r="B12" s="220">
        <f t="shared" ref="B12:B21" si="0">C12*0.95</f>
        <v>28.214999999999996</v>
      </c>
      <c r="C12" s="221">
        <v>29.7</v>
      </c>
      <c r="D12" s="215" t="s">
        <v>289</v>
      </c>
      <c r="E12" s="220">
        <f>F12*0.95</f>
        <v>15.2</v>
      </c>
      <c r="F12" s="221">
        <v>16</v>
      </c>
    </row>
    <row r="13" spans="1:6" ht="12" customHeight="1">
      <c r="A13" s="215" t="s">
        <v>290</v>
      </c>
      <c r="B13" s="220">
        <f t="shared" si="0"/>
        <v>26.599999999999998</v>
      </c>
      <c r="C13" s="221">
        <v>28</v>
      </c>
      <c r="D13" s="215" t="s">
        <v>291</v>
      </c>
      <c r="E13" s="220">
        <f>F13*0.95</f>
        <v>13.299999999999999</v>
      </c>
      <c r="F13" s="221">
        <v>14</v>
      </c>
    </row>
    <row r="14" spans="1:6" ht="12" customHeight="1">
      <c r="A14" s="215" t="s">
        <v>292</v>
      </c>
      <c r="B14" s="220">
        <f t="shared" si="0"/>
        <v>28.88</v>
      </c>
      <c r="C14" s="221">
        <v>30.4</v>
      </c>
      <c r="D14" s="215" t="s">
        <v>293</v>
      </c>
      <c r="E14" s="220">
        <f>F14*0.7</f>
        <v>6.6499999999999995</v>
      </c>
      <c r="F14" s="221">
        <v>9.5</v>
      </c>
    </row>
    <row r="15" spans="1:6" ht="12" customHeight="1">
      <c r="A15" s="215" t="s">
        <v>294</v>
      </c>
      <c r="B15" s="220">
        <f t="shared" si="0"/>
        <v>25.65</v>
      </c>
      <c r="C15" s="221">
        <v>27</v>
      </c>
      <c r="D15" s="215" t="s">
        <v>295</v>
      </c>
      <c r="E15" s="220">
        <f>F15*0.7</f>
        <v>12.95</v>
      </c>
      <c r="F15" s="221">
        <v>18.5</v>
      </c>
    </row>
    <row r="16" spans="1:6" ht="12" customHeight="1">
      <c r="A16" s="215" t="s">
        <v>296</v>
      </c>
      <c r="B16" s="220">
        <f t="shared" si="0"/>
        <v>24.13</v>
      </c>
      <c r="C16" s="221">
        <v>25.4</v>
      </c>
      <c r="D16" s="215" t="s">
        <v>297</v>
      </c>
      <c r="E16" s="220">
        <v>9.3000000000000007</v>
      </c>
      <c r="F16" s="221">
        <v>11.1</v>
      </c>
    </row>
    <row r="17" spans="1:8" ht="12" customHeight="1">
      <c r="A17" s="215" t="s">
        <v>298</v>
      </c>
      <c r="B17" s="220">
        <f t="shared" si="0"/>
        <v>28.88</v>
      </c>
      <c r="C17" s="221">
        <v>30.4</v>
      </c>
      <c r="D17" s="215" t="s">
        <v>299</v>
      </c>
      <c r="E17" s="224" t="s">
        <v>264</v>
      </c>
      <c r="F17" s="221">
        <v>32</v>
      </c>
    </row>
    <row r="18" spans="1:8" ht="12" customHeight="1">
      <c r="A18" s="215" t="s">
        <v>300</v>
      </c>
      <c r="B18" s="220">
        <f t="shared" si="0"/>
        <v>25.364999999999998</v>
      </c>
      <c r="C18" s="221">
        <v>26.7</v>
      </c>
      <c r="D18" s="215"/>
      <c r="E18" s="225"/>
      <c r="F18" s="226"/>
    </row>
    <row r="19" spans="1:8" ht="12" customHeight="1">
      <c r="A19" s="215" t="s">
        <v>301</v>
      </c>
      <c r="B19" s="220">
        <f t="shared" si="0"/>
        <v>28.024999999999999</v>
      </c>
      <c r="C19" s="221">
        <v>29.5</v>
      </c>
      <c r="D19" s="219" t="s">
        <v>302</v>
      </c>
      <c r="E19" s="227"/>
      <c r="F19" s="226"/>
    </row>
    <row r="20" spans="1:8" ht="12" customHeight="1">
      <c r="A20" s="215" t="s">
        <v>303</v>
      </c>
      <c r="B20" s="220">
        <f t="shared" si="0"/>
        <v>27.929999999999996</v>
      </c>
      <c r="C20" s="221">
        <v>29.4</v>
      </c>
      <c r="D20" s="215" t="s">
        <v>304</v>
      </c>
      <c r="E20" s="228">
        <v>43.371365384442143</v>
      </c>
      <c r="F20" s="229">
        <v>45.654068825728572</v>
      </c>
      <c r="H20" s="230"/>
    </row>
    <row r="21" spans="1:8" ht="12" customHeight="1">
      <c r="A21" s="215" t="s">
        <v>305</v>
      </c>
      <c r="B21" s="220">
        <f t="shared" si="0"/>
        <v>26.22</v>
      </c>
      <c r="C21" s="221">
        <v>27.6</v>
      </c>
      <c r="D21" s="215" t="s">
        <v>306</v>
      </c>
      <c r="E21" s="228">
        <v>43.754628403318421</v>
      </c>
      <c r="F21" s="231">
        <v>46.057503582440447</v>
      </c>
      <c r="G21" s="217">
        <f>F21*30000000*Unit.MJ</f>
        <v>0.38381252985367037</v>
      </c>
      <c r="H21" s="230"/>
    </row>
    <row r="22" spans="1:8" ht="12" customHeight="1">
      <c r="A22" s="215" t="s">
        <v>307</v>
      </c>
      <c r="B22" s="222"/>
      <c r="C22" s="226"/>
      <c r="D22" s="215" t="s">
        <v>308</v>
      </c>
      <c r="E22" s="228">
        <v>46.601867162581009</v>
      </c>
      <c r="F22" s="229">
        <v>50.654203437588052</v>
      </c>
      <c r="H22" s="230"/>
    </row>
    <row r="23" spans="1:8" ht="12" customHeight="1">
      <c r="A23" s="215" t="s">
        <v>309</v>
      </c>
      <c r="B23" s="222"/>
      <c r="C23" s="226"/>
      <c r="D23" s="215"/>
      <c r="E23" s="222"/>
      <c r="F23" s="226"/>
      <c r="H23" s="230"/>
    </row>
    <row r="24" spans="1:8" ht="12" customHeight="1">
      <c r="A24" s="215" t="s">
        <v>310</v>
      </c>
      <c r="B24" s="220">
        <f>C24*0.95</f>
        <v>28.024999999999999</v>
      </c>
      <c r="C24" s="221">
        <v>29.5</v>
      </c>
      <c r="D24" s="215" t="s">
        <v>311</v>
      </c>
      <c r="E24" s="228">
        <v>45.906668363195465</v>
      </c>
      <c r="F24" s="229">
        <v>49.293104652845983</v>
      </c>
      <c r="H24" s="230"/>
    </row>
    <row r="25" spans="1:8" ht="12" customHeight="1">
      <c r="A25" s="215" t="s">
        <v>312</v>
      </c>
      <c r="B25" s="220">
        <f>C25*0.95</f>
        <v>24.795000000000002</v>
      </c>
      <c r="C25" s="221">
        <v>26.1</v>
      </c>
      <c r="D25" s="215" t="s">
        <v>313</v>
      </c>
      <c r="E25" s="228">
        <v>45.274121759809745</v>
      </c>
      <c r="F25" s="229">
        <v>47.656970273483942</v>
      </c>
      <c r="H25" s="230"/>
    </row>
    <row r="26" spans="1:8" ht="12" customHeight="1">
      <c r="A26" s="215"/>
      <c r="B26" s="225"/>
      <c r="C26" s="226"/>
      <c r="D26" s="215" t="s">
        <v>314</v>
      </c>
      <c r="E26" s="228">
        <v>45.0159854155849</v>
      </c>
      <c r="F26" s="229">
        <v>47.385247805878848</v>
      </c>
      <c r="H26" s="230"/>
    </row>
    <row r="27" spans="1:8" ht="12" customHeight="1">
      <c r="B27" s="232"/>
      <c r="C27" s="233"/>
      <c r="D27" s="215" t="s">
        <v>315</v>
      </c>
      <c r="E27" s="228">
        <v>43.869054390679381</v>
      </c>
      <c r="F27" s="229">
        <v>46.177951990188824</v>
      </c>
      <c r="H27" s="230"/>
    </row>
    <row r="28" spans="1:8" ht="12" customHeight="1">
      <c r="A28" s="219" t="s">
        <v>38</v>
      </c>
      <c r="B28" s="227"/>
      <c r="C28" s="226"/>
      <c r="D28" s="215" t="s">
        <v>316</v>
      </c>
      <c r="E28" s="228">
        <v>44.738426529958893</v>
      </c>
      <c r="F28" s="229">
        <v>47.093080557851472</v>
      </c>
      <c r="H28" s="230"/>
    </row>
    <row r="29" spans="1:8" ht="12" customHeight="1">
      <c r="A29" s="215" t="s">
        <v>317</v>
      </c>
      <c r="B29" s="220">
        <f>C29*0.95</f>
        <v>28.974999999999998</v>
      </c>
      <c r="C29" s="221">
        <v>30.5</v>
      </c>
      <c r="D29" s="215" t="s">
        <v>318</v>
      </c>
      <c r="E29" s="228">
        <v>43.851769299324857</v>
      </c>
      <c r="F29" s="229">
        <v>46.15975715718406</v>
      </c>
      <c r="H29" s="230"/>
    </row>
    <row r="30" spans="1:8" ht="12" customHeight="1">
      <c r="A30" s="215" t="s">
        <v>319</v>
      </c>
      <c r="B30" s="220">
        <f>C30*0.95</f>
        <v>32.965000000000003</v>
      </c>
      <c r="C30" s="221">
        <v>34.700000000000003</v>
      </c>
      <c r="D30" s="215" t="s">
        <v>320</v>
      </c>
      <c r="E30" s="228">
        <v>42.813932275437679</v>
      </c>
      <c r="F30" s="229">
        <v>45.546736463231575</v>
      </c>
      <c r="H30" s="230"/>
    </row>
    <row r="31" spans="1:8" ht="12" customHeight="1">
      <c r="A31" s="215" t="s">
        <v>321</v>
      </c>
      <c r="B31" s="220">
        <f>C31*0.95</f>
        <v>28.12</v>
      </c>
      <c r="C31" s="221">
        <v>29.6</v>
      </c>
      <c r="D31" s="215" t="s">
        <v>322</v>
      </c>
      <c r="E31" s="228">
        <v>40.972793020838921</v>
      </c>
      <c r="F31" s="229">
        <v>43.588077681743535</v>
      </c>
      <c r="H31" s="230"/>
    </row>
    <row r="32" spans="1:8" ht="12" customHeight="1">
      <c r="A32" s="215" t="s">
        <v>323</v>
      </c>
      <c r="B32" s="220">
        <f>C32*0.95</f>
        <v>25.934999999999999</v>
      </c>
      <c r="C32" s="221">
        <v>27.3</v>
      </c>
      <c r="D32" s="215" t="s">
        <v>324</v>
      </c>
      <c r="E32" s="228">
        <v>40.972793020838921</v>
      </c>
      <c r="F32" s="229">
        <v>43.588077681743535</v>
      </c>
      <c r="H32" s="230"/>
    </row>
    <row r="33" spans="1:8" ht="12" customHeight="1">
      <c r="A33" s="215" t="s">
        <v>325</v>
      </c>
      <c r="B33" s="220">
        <f>C33*0.95</f>
        <v>31.349999999999998</v>
      </c>
      <c r="C33" s="221">
        <v>33</v>
      </c>
      <c r="D33" s="215" t="s">
        <v>326</v>
      </c>
      <c r="E33" s="228">
        <v>40.926410956344426</v>
      </c>
      <c r="F33" s="229">
        <v>43.080432585625715</v>
      </c>
      <c r="H33" s="230"/>
    </row>
    <row r="34" spans="1:8" ht="6" customHeight="1">
      <c r="A34" s="215"/>
      <c r="B34" s="222"/>
      <c r="C34" s="226"/>
      <c r="D34" s="215"/>
      <c r="E34" s="225"/>
      <c r="F34" s="225"/>
    </row>
    <row r="35" spans="1:8" ht="12" customHeight="1">
      <c r="A35" s="215"/>
      <c r="B35" s="222"/>
      <c r="C35" s="226"/>
      <c r="D35" s="215"/>
      <c r="E35" s="1785" t="s">
        <v>327</v>
      </c>
      <c r="F35" s="1785"/>
    </row>
    <row r="36" spans="1:8" ht="12" customHeight="1">
      <c r="A36" s="215"/>
      <c r="B36" s="222"/>
      <c r="C36" s="226"/>
      <c r="D36" s="215"/>
      <c r="E36" s="234" t="s">
        <v>274</v>
      </c>
      <c r="F36" s="234" t="s">
        <v>275</v>
      </c>
    </row>
    <row r="37" spans="1:8" ht="12" customHeight="1">
      <c r="A37" s="215" t="s">
        <v>328</v>
      </c>
      <c r="B37" s="232"/>
      <c r="C37" s="232"/>
      <c r="D37" s="215" t="s">
        <v>329</v>
      </c>
      <c r="E37" s="228">
        <v>35.694950436443094</v>
      </c>
      <c r="F37" s="231">
        <v>39.661056040492326</v>
      </c>
    </row>
    <row r="38" spans="1:8" ht="12" customHeight="1">
      <c r="A38" s="215" t="s">
        <v>330</v>
      </c>
      <c r="B38" s="220">
        <f>C38*1</f>
        <v>29.8</v>
      </c>
      <c r="C38" s="221">
        <v>29.8</v>
      </c>
      <c r="D38" s="215" t="s">
        <v>331</v>
      </c>
      <c r="E38" s="220">
        <v>35.5</v>
      </c>
      <c r="F38" s="221">
        <v>39.4</v>
      </c>
    </row>
    <row r="39" spans="1:8" ht="12" customHeight="1">
      <c r="A39" s="215" t="s">
        <v>332</v>
      </c>
      <c r="B39" s="220">
        <f>C39*1</f>
        <v>24.8</v>
      </c>
      <c r="C39" s="221">
        <v>24.8</v>
      </c>
      <c r="D39" s="215" t="s">
        <v>258</v>
      </c>
      <c r="E39" s="220">
        <f>F39*0.9</f>
        <v>16.2</v>
      </c>
      <c r="F39" s="221">
        <v>18</v>
      </c>
    </row>
    <row r="40" spans="1:8" ht="12" customHeight="1">
      <c r="A40" s="215" t="s">
        <v>333</v>
      </c>
      <c r="B40" s="220">
        <f>C40*0.95</f>
        <v>30.97</v>
      </c>
      <c r="C40" s="221">
        <v>32.6</v>
      </c>
      <c r="D40" s="215" t="s">
        <v>253</v>
      </c>
      <c r="E40" s="220">
        <f>F40*0.99</f>
        <v>2.9699999999999998</v>
      </c>
      <c r="F40" s="221">
        <v>3</v>
      </c>
    </row>
    <row r="41" spans="1:8" ht="12" customHeight="1">
      <c r="A41" s="215"/>
      <c r="B41" s="225"/>
      <c r="C41" s="225"/>
      <c r="D41" s="215" t="s">
        <v>334</v>
      </c>
      <c r="E41" s="235" t="s">
        <v>335</v>
      </c>
      <c r="F41" s="235" t="s">
        <v>336</v>
      </c>
    </row>
    <row r="42" spans="1:8" ht="12" customHeight="1">
      <c r="A42" s="215"/>
      <c r="B42" s="225"/>
      <c r="C42" s="225"/>
      <c r="D42" s="215" t="s">
        <v>337</v>
      </c>
      <c r="E42" s="235" t="s">
        <v>335</v>
      </c>
      <c r="F42" s="235" t="s">
        <v>336</v>
      </c>
    </row>
    <row r="43" spans="1:8" ht="6" customHeight="1">
      <c r="A43" s="215"/>
      <c r="B43" s="215"/>
      <c r="C43" s="215"/>
      <c r="D43" s="215"/>
      <c r="E43" s="236"/>
      <c r="F43" s="236"/>
    </row>
    <row r="44" spans="1:8" s="216" customFormat="1" ht="12" customHeight="1">
      <c r="A44" s="237" t="s">
        <v>338</v>
      </c>
      <c r="B44" s="237"/>
      <c r="C44" s="215"/>
      <c r="D44" s="215"/>
      <c r="E44" s="215"/>
      <c r="F44" s="215"/>
    </row>
    <row r="45" spans="1:8" s="216" customFormat="1" ht="12" customHeight="1">
      <c r="A45" s="237" t="s">
        <v>339</v>
      </c>
      <c r="B45" s="237"/>
      <c r="C45" s="215"/>
      <c r="D45" s="215"/>
      <c r="E45" s="215"/>
      <c r="F45" s="215"/>
    </row>
    <row r="46" spans="1:8" s="232" customFormat="1" ht="12" customHeight="1">
      <c r="A46" s="237" t="s">
        <v>340</v>
      </c>
      <c r="B46" s="238"/>
      <c r="C46" s="225"/>
      <c r="D46" s="225"/>
      <c r="E46" s="225"/>
      <c r="F46" s="225"/>
    </row>
    <row r="47" spans="1:8" s="232" customFormat="1" ht="12" customHeight="1">
      <c r="A47" s="237" t="s">
        <v>341</v>
      </c>
      <c r="B47" s="238"/>
      <c r="C47" s="225"/>
      <c r="D47" s="225"/>
      <c r="E47" s="225"/>
      <c r="F47" s="225"/>
    </row>
    <row r="48" spans="1:8" s="232" customFormat="1" ht="12" customHeight="1">
      <c r="A48" s="237" t="s">
        <v>342</v>
      </c>
      <c r="B48" s="238"/>
      <c r="C48" s="225"/>
      <c r="D48" s="225"/>
      <c r="E48" s="225"/>
      <c r="F48" s="225"/>
    </row>
    <row r="49" spans="1:6" s="232" customFormat="1" ht="12" customHeight="1">
      <c r="A49" s="237" t="s">
        <v>343</v>
      </c>
      <c r="B49" s="238"/>
      <c r="C49" s="225"/>
      <c r="D49" s="225"/>
      <c r="E49" s="225"/>
      <c r="F49" s="225"/>
    </row>
    <row r="50" spans="1:6" s="216" customFormat="1" ht="12" customHeight="1">
      <c r="A50" s="237" t="s">
        <v>344</v>
      </c>
      <c r="B50" s="237"/>
      <c r="C50" s="215"/>
      <c r="D50" s="215"/>
      <c r="E50" s="215"/>
      <c r="F50" s="215"/>
    </row>
    <row r="51" spans="1:6" s="216" customFormat="1" ht="12" customHeight="1">
      <c r="A51" s="237" t="s">
        <v>345</v>
      </c>
      <c r="B51" s="237"/>
      <c r="C51" s="215"/>
      <c r="D51" s="215"/>
      <c r="E51" s="215"/>
      <c r="F51" s="215"/>
    </row>
    <row r="52" spans="1:6" s="216" customFormat="1" ht="12" customHeight="1">
      <c r="A52" s="237" t="s">
        <v>346</v>
      </c>
      <c r="B52" s="237"/>
      <c r="C52" s="215"/>
      <c r="D52" s="215"/>
      <c r="E52" s="215"/>
      <c r="F52" s="215"/>
    </row>
    <row r="53" spans="1:6" s="216" customFormat="1" ht="12" customHeight="1">
      <c r="A53" s="237" t="s">
        <v>347</v>
      </c>
      <c r="B53" s="237"/>
      <c r="C53" s="215"/>
      <c r="D53" s="215"/>
      <c r="E53" s="215"/>
      <c r="F53" s="215"/>
    </row>
    <row r="54" spans="1:6" s="216" customFormat="1" ht="12" customHeight="1">
      <c r="A54" s="237" t="s">
        <v>348</v>
      </c>
      <c r="B54" s="237"/>
      <c r="C54" s="215"/>
      <c r="D54" s="215"/>
      <c r="E54" s="215"/>
      <c r="F54" s="215"/>
    </row>
    <row r="55" spans="1:6" s="216" customFormat="1" ht="12" customHeight="1">
      <c r="A55" s="237" t="s">
        <v>349</v>
      </c>
      <c r="B55" s="237"/>
      <c r="C55" s="215"/>
      <c r="D55" s="215"/>
      <c r="E55" s="215"/>
      <c r="F55" s="215"/>
    </row>
    <row r="56" spans="1:6" s="232" customFormat="1" ht="12" customHeight="1">
      <c r="A56" s="237" t="s">
        <v>350</v>
      </c>
      <c r="B56" s="238"/>
      <c r="C56" s="225"/>
      <c r="D56" s="225"/>
      <c r="E56" s="225"/>
      <c r="F56" s="225"/>
    </row>
    <row r="57" spans="1:6" s="232" customFormat="1" ht="6" customHeight="1">
      <c r="A57" s="238"/>
      <c r="B57" s="238"/>
      <c r="C57" s="225"/>
      <c r="D57" s="225"/>
      <c r="E57" s="225"/>
      <c r="F57" s="225"/>
    </row>
    <row r="58" spans="1:6" s="232" customFormat="1" ht="12" customHeight="1">
      <c r="A58" s="215" t="s">
        <v>351</v>
      </c>
      <c r="B58" s="225"/>
      <c r="D58" s="225"/>
      <c r="E58" s="225"/>
      <c r="F58" s="225"/>
    </row>
    <row r="59" spans="1:6" s="232" customFormat="1" ht="12" customHeight="1">
      <c r="A59" s="215" t="s">
        <v>352</v>
      </c>
      <c r="B59" s="225"/>
    </row>
    <row r="60" spans="1:6" s="232" customFormat="1" ht="12" customHeight="1">
      <c r="A60" s="215" t="s">
        <v>353</v>
      </c>
      <c r="B60" s="225"/>
    </row>
    <row r="61" spans="1:6" s="232" customFormat="1" ht="12" customHeight="1">
      <c r="A61" s="215" t="s">
        <v>354</v>
      </c>
      <c r="B61" s="225"/>
    </row>
    <row r="62" spans="1:6" s="232" customFormat="1" ht="12" customHeight="1">
      <c r="A62" s="215" t="s">
        <v>355</v>
      </c>
      <c r="B62" s="225"/>
    </row>
    <row r="63" spans="1:6" s="232" customFormat="1" ht="12" customHeight="1">
      <c r="A63" s="215" t="s">
        <v>356</v>
      </c>
      <c r="B63" s="225"/>
    </row>
    <row r="64" spans="1:6" s="232" customFormat="1" ht="6" customHeight="1">
      <c r="A64" s="216"/>
    </row>
    <row r="65" spans="1:6" s="232" customFormat="1" ht="12" customHeight="1">
      <c r="A65" s="215" t="s">
        <v>357</v>
      </c>
      <c r="B65" s="225"/>
    </row>
    <row r="66" spans="1:6" s="232" customFormat="1" ht="12">
      <c r="A66" s="215" t="s">
        <v>358</v>
      </c>
      <c r="B66" s="225"/>
    </row>
    <row r="67" spans="1:6">
      <c r="F67" s="239"/>
    </row>
  </sheetData>
  <mergeCells count="3">
    <mergeCell ref="B3:C3"/>
    <mergeCell ref="E3:F3"/>
    <mergeCell ref="E35:F35"/>
  </mergeCells>
  <pageMargins left="0.6692913385826772" right="0.51181102362204722" top="0.51181102362204722" bottom="0.51181102362204722" header="0.27559055118110237" footer="0.27559055118110237"/>
  <pageSetup paperSize="9" orientation="portrait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 enableFormatConditionsCalculation="0">
    <pageSetUpPr fitToPage="1"/>
  </sheetPr>
  <dimension ref="A1:U54"/>
  <sheetViews>
    <sheetView workbookViewId="0"/>
  </sheetViews>
  <sheetFormatPr baseColWidth="10" defaultColWidth="8.83203125" defaultRowHeight="12" x14ac:dyDescent="0"/>
  <cols>
    <col min="1" max="1" width="13.5" style="82" customWidth="1"/>
    <col min="2" max="2" width="25.5" style="82" customWidth="1"/>
    <col min="3" max="3" width="13" style="82" customWidth="1"/>
    <col min="4" max="4" width="8.83203125" style="82"/>
    <col min="5" max="5" width="13" style="82" customWidth="1"/>
    <col min="6" max="6" width="12.1640625" style="82" customWidth="1"/>
    <col min="7" max="9" width="8.83203125" style="82"/>
    <col min="10" max="10" width="29.1640625" style="82" customWidth="1"/>
    <col min="11" max="11" width="11.33203125" style="82" customWidth="1"/>
    <col min="12" max="256" width="8.83203125" style="82"/>
    <col min="257" max="257" width="13.5" style="82" customWidth="1"/>
    <col min="258" max="258" width="25.5" style="82" customWidth="1"/>
    <col min="259" max="259" width="13" style="82" customWidth="1"/>
    <col min="260" max="260" width="8.83203125" style="82"/>
    <col min="261" max="261" width="13" style="82" customWidth="1"/>
    <col min="262" max="262" width="12.1640625" style="82" customWidth="1"/>
    <col min="263" max="265" width="8.83203125" style="82"/>
    <col min="266" max="266" width="29.1640625" style="82" customWidth="1"/>
    <col min="267" max="267" width="11.33203125" style="82" customWidth="1"/>
    <col min="268" max="512" width="8.83203125" style="82"/>
    <col min="513" max="513" width="13.5" style="82" customWidth="1"/>
    <col min="514" max="514" width="25.5" style="82" customWidth="1"/>
    <col min="515" max="515" width="13" style="82" customWidth="1"/>
    <col min="516" max="516" width="8.83203125" style="82"/>
    <col min="517" max="517" width="13" style="82" customWidth="1"/>
    <col min="518" max="518" width="12.1640625" style="82" customWidth="1"/>
    <col min="519" max="521" width="8.83203125" style="82"/>
    <col min="522" max="522" width="29.1640625" style="82" customWidth="1"/>
    <col min="523" max="523" width="11.33203125" style="82" customWidth="1"/>
    <col min="524" max="768" width="8.83203125" style="82"/>
    <col min="769" max="769" width="13.5" style="82" customWidth="1"/>
    <col min="770" max="770" width="25.5" style="82" customWidth="1"/>
    <col min="771" max="771" width="13" style="82" customWidth="1"/>
    <col min="772" max="772" width="8.83203125" style="82"/>
    <col min="773" max="773" width="13" style="82" customWidth="1"/>
    <col min="774" max="774" width="12.1640625" style="82" customWidth="1"/>
    <col min="775" max="777" width="8.83203125" style="82"/>
    <col min="778" max="778" width="29.1640625" style="82" customWidth="1"/>
    <col min="779" max="779" width="11.33203125" style="82" customWidth="1"/>
    <col min="780" max="1024" width="8.83203125" style="82"/>
    <col min="1025" max="1025" width="13.5" style="82" customWidth="1"/>
    <col min="1026" max="1026" width="25.5" style="82" customWidth="1"/>
    <col min="1027" max="1027" width="13" style="82" customWidth="1"/>
    <col min="1028" max="1028" width="8.83203125" style="82"/>
    <col min="1029" max="1029" width="13" style="82" customWidth="1"/>
    <col min="1030" max="1030" width="12.1640625" style="82" customWidth="1"/>
    <col min="1031" max="1033" width="8.83203125" style="82"/>
    <col min="1034" max="1034" width="29.1640625" style="82" customWidth="1"/>
    <col min="1035" max="1035" width="11.33203125" style="82" customWidth="1"/>
    <col min="1036" max="1280" width="8.83203125" style="82"/>
    <col min="1281" max="1281" width="13.5" style="82" customWidth="1"/>
    <col min="1282" max="1282" width="25.5" style="82" customWidth="1"/>
    <col min="1283" max="1283" width="13" style="82" customWidth="1"/>
    <col min="1284" max="1284" width="8.83203125" style="82"/>
    <col min="1285" max="1285" width="13" style="82" customWidth="1"/>
    <col min="1286" max="1286" width="12.1640625" style="82" customWidth="1"/>
    <col min="1287" max="1289" width="8.83203125" style="82"/>
    <col min="1290" max="1290" width="29.1640625" style="82" customWidth="1"/>
    <col min="1291" max="1291" width="11.33203125" style="82" customWidth="1"/>
    <col min="1292" max="1536" width="8.83203125" style="82"/>
    <col min="1537" max="1537" width="13.5" style="82" customWidth="1"/>
    <col min="1538" max="1538" width="25.5" style="82" customWidth="1"/>
    <col min="1539" max="1539" width="13" style="82" customWidth="1"/>
    <col min="1540" max="1540" width="8.83203125" style="82"/>
    <col min="1541" max="1541" width="13" style="82" customWidth="1"/>
    <col min="1542" max="1542" width="12.1640625" style="82" customWidth="1"/>
    <col min="1543" max="1545" width="8.83203125" style="82"/>
    <col min="1546" max="1546" width="29.1640625" style="82" customWidth="1"/>
    <col min="1547" max="1547" width="11.33203125" style="82" customWidth="1"/>
    <col min="1548" max="1792" width="8.83203125" style="82"/>
    <col min="1793" max="1793" width="13.5" style="82" customWidth="1"/>
    <col min="1794" max="1794" width="25.5" style="82" customWidth="1"/>
    <col min="1795" max="1795" width="13" style="82" customWidth="1"/>
    <col min="1796" max="1796" width="8.83203125" style="82"/>
    <col min="1797" max="1797" width="13" style="82" customWidth="1"/>
    <col min="1798" max="1798" width="12.1640625" style="82" customWidth="1"/>
    <col min="1799" max="1801" width="8.83203125" style="82"/>
    <col min="1802" max="1802" width="29.1640625" style="82" customWidth="1"/>
    <col min="1803" max="1803" width="11.33203125" style="82" customWidth="1"/>
    <col min="1804" max="2048" width="8.83203125" style="82"/>
    <col min="2049" max="2049" width="13.5" style="82" customWidth="1"/>
    <col min="2050" max="2050" width="25.5" style="82" customWidth="1"/>
    <col min="2051" max="2051" width="13" style="82" customWidth="1"/>
    <col min="2052" max="2052" width="8.83203125" style="82"/>
    <col min="2053" max="2053" width="13" style="82" customWidth="1"/>
    <col min="2054" max="2054" width="12.1640625" style="82" customWidth="1"/>
    <col min="2055" max="2057" width="8.83203125" style="82"/>
    <col min="2058" max="2058" width="29.1640625" style="82" customWidth="1"/>
    <col min="2059" max="2059" width="11.33203125" style="82" customWidth="1"/>
    <col min="2060" max="2304" width="8.83203125" style="82"/>
    <col min="2305" max="2305" width="13.5" style="82" customWidth="1"/>
    <col min="2306" max="2306" width="25.5" style="82" customWidth="1"/>
    <col min="2307" max="2307" width="13" style="82" customWidth="1"/>
    <col min="2308" max="2308" width="8.83203125" style="82"/>
    <col min="2309" max="2309" width="13" style="82" customWidth="1"/>
    <col min="2310" max="2310" width="12.1640625" style="82" customWidth="1"/>
    <col min="2311" max="2313" width="8.83203125" style="82"/>
    <col min="2314" max="2314" width="29.1640625" style="82" customWidth="1"/>
    <col min="2315" max="2315" width="11.33203125" style="82" customWidth="1"/>
    <col min="2316" max="2560" width="8.83203125" style="82"/>
    <col min="2561" max="2561" width="13.5" style="82" customWidth="1"/>
    <col min="2562" max="2562" width="25.5" style="82" customWidth="1"/>
    <col min="2563" max="2563" width="13" style="82" customWidth="1"/>
    <col min="2564" max="2564" width="8.83203125" style="82"/>
    <col min="2565" max="2565" width="13" style="82" customWidth="1"/>
    <col min="2566" max="2566" width="12.1640625" style="82" customWidth="1"/>
    <col min="2567" max="2569" width="8.83203125" style="82"/>
    <col min="2570" max="2570" width="29.1640625" style="82" customWidth="1"/>
    <col min="2571" max="2571" width="11.33203125" style="82" customWidth="1"/>
    <col min="2572" max="2816" width="8.83203125" style="82"/>
    <col min="2817" max="2817" width="13.5" style="82" customWidth="1"/>
    <col min="2818" max="2818" width="25.5" style="82" customWidth="1"/>
    <col min="2819" max="2819" width="13" style="82" customWidth="1"/>
    <col min="2820" max="2820" width="8.83203125" style="82"/>
    <col min="2821" max="2821" width="13" style="82" customWidth="1"/>
    <col min="2822" max="2822" width="12.1640625" style="82" customWidth="1"/>
    <col min="2823" max="2825" width="8.83203125" style="82"/>
    <col min="2826" max="2826" width="29.1640625" style="82" customWidth="1"/>
    <col min="2827" max="2827" width="11.33203125" style="82" customWidth="1"/>
    <col min="2828" max="3072" width="8.83203125" style="82"/>
    <col min="3073" max="3073" width="13.5" style="82" customWidth="1"/>
    <col min="3074" max="3074" width="25.5" style="82" customWidth="1"/>
    <col min="3075" max="3075" width="13" style="82" customWidth="1"/>
    <col min="3076" max="3076" width="8.83203125" style="82"/>
    <col min="3077" max="3077" width="13" style="82" customWidth="1"/>
    <col min="3078" max="3078" width="12.1640625" style="82" customWidth="1"/>
    <col min="3079" max="3081" width="8.83203125" style="82"/>
    <col min="3082" max="3082" width="29.1640625" style="82" customWidth="1"/>
    <col min="3083" max="3083" width="11.33203125" style="82" customWidth="1"/>
    <col min="3084" max="3328" width="8.83203125" style="82"/>
    <col min="3329" max="3329" width="13.5" style="82" customWidth="1"/>
    <col min="3330" max="3330" width="25.5" style="82" customWidth="1"/>
    <col min="3331" max="3331" width="13" style="82" customWidth="1"/>
    <col min="3332" max="3332" width="8.83203125" style="82"/>
    <col min="3333" max="3333" width="13" style="82" customWidth="1"/>
    <col min="3334" max="3334" width="12.1640625" style="82" customWidth="1"/>
    <col min="3335" max="3337" width="8.83203125" style="82"/>
    <col min="3338" max="3338" width="29.1640625" style="82" customWidth="1"/>
    <col min="3339" max="3339" width="11.33203125" style="82" customWidth="1"/>
    <col min="3340" max="3584" width="8.83203125" style="82"/>
    <col min="3585" max="3585" width="13.5" style="82" customWidth="1"/>
    <col min="3586" max="3586" width="25.5" style="82" customWidth="1"/>
    <col min="3587" max="3587" width="13" style="82" customWidth="1"/>
    <col min="3588" max="3588" width="8.83203125" style="82"/>
    <col min="3589" max="3589" width="13" style="82" customWidth="1"/>
    <col min="3590" max="3590" width="12.1640625" style="82" customWidth="1"/>
    <col min="3591" max="3593" width="8.83203125" style="82"/>
    <col min="3594" max="3594" width="29.1640625" style="82" customWidth="1"/>
    <col min="3595" max="3595" width="11.33203125" style="82" customWidth="1"/>
    <col min="3596" max="3840" width="8.83203125" style="82"/>
    <col min="3841" max="3841" width="13.5" style="82" customWidth="1"/>
    <col min="3842" max="3842" width="25.5" style="82" customWidth="1"/>
    <col min="3843" max="3843" width="13" style="82" customWidth="1"/>
    <col min="3844" max="3844" width="8.83203125" style="82"/>
    <col min="3845" max="3845" width="13" style="82" customWidth="1"/>
    <col min="3846" max="3846" width="12.1640625" style="82" customWidth="1"/>
    <col min="3847" max="3849" width="8.83203125" style="82"/>
    <col min="3850" max="3850" width="29.1640625" style="82" customWidth="1"/>
    <col min="3851" max="3851" width="11.33203125" style="82" customWidth="1"/>
    <col min="3852" max="4096" width="8.83203125" style="82"/>
    <col min="4097" max="4097" width="13.5" style="82" customWidth="1"/>
    <col min="4098" max="4098" width="25.5" style="82" customWidth="1"/>
    <col min="4099" max="4099" width="13" style="82" customWidth="1"/>
    <col min="4100" max="4100" width="8.83203125" style="82"/>
    <col min="4101" max="4101" width="13" style="82" customWidth="1"/>
    <col min="4102" max="4102" width="12.1640625" style="82" customWidth="1"/>
    <col min="4103" max="4105" width="8.83203125" style="82"/>
    <col min="4106" max="4106" width="29.1640625" style="82" customWidth="1"/>
    <col min="4107" max="4107" width="11.33203125" style="82" customWidth="1"/>
    <col min="4108" max="4352" width="8.83203125" style="82"/>
    <col min="4353" max="4353" width="13.5" style="82" customWidth="1"/>
    <col min="4354" max="4354" width="25.5" style="82" customWidth="1"/>
    <col min="4355" max="4355" width="13" style="82" customWidth="1"/>
    <col min="4356" max="4356" width="8.83203125" style="82"/>
    <col min="4357" max="4357" width="13" style="82" customWidth="1"/>
    <col min="4358" max="4358" width="12.1640625" style="82" customWidth="1"/>
    <col min="4359" max="4361" width="8.83203125" style="82"/>
    <col min="4362" max="4362" width="29.1640625" style="82" customWidth="1"/>
    <col min="4363" max="4363" width="11.33203125" style="82" customWidth="1"/>
    <col min="4364" max="4608" width="8.83203125" style="82"/>
    <col min="4609" max="4609" width="13.5" style="82" customWidth="1"/>
    <col min="4610" max="4610" width="25.5" style="82" customWidth="1"/>
    <col min="4611" max="4611" width="13" style="82" customWidth="1"/>
    <col min="4612" max="4612" width="8.83203125" style="82"/>
    <col min="4613" max="4613" width="13" style="82" customWidth="1"/>
    <col min="4614" max="4614" width="12.1640625" style="82" customWidth="1"/>
    <col min="4615" max="4617" width="8.83203125" style="82"/>
    <col min="4618" max="4618" width="29.1640625" style="82" customWidth="1"/>
    <col min="4619" max="4619" width="11.33203125" style="82" customWidth="1"/>
    <col min="4620" max="4864" width="8.83203125" style="82"/>
    <col min="4865" max="4865" width="13.5" style="82" customWidth="1"/>
    <col min="4866" max="4866" width="25.5" style="82" customWidth="1"/>
    <col min="4867" max="4867" width="13" style="82" customWidth="1"/>
    <col min="4868" max="4868" width="8.83203125" style="82"/>
    <col min="4869" max="4869" width="13" style="82" customWidth="1"/>
    <col min="4870" max="4870" width="12.1640625" style="82" customWidth="1"/>
    <col min="4871" max="4873" width="8.83203125" style="82"/>
    <col min="4874" max="4874" width="29.1640625" style="82" customWidth="1"/>
    <col min="4875" max="4875" width="11.33203125" style="82" customWidth="1"/>
    <col min="4876" max="5120" width="8.83203125" style="82"/>
    <col min="5121" max="5121" width="13.5" style="82" customWidth="1"/>
    <col min="5122" max="5122" width="25.5" style="82" customWidth="1"/>
    <col min="5123" max="5123" width="13" style="82" customWidth="1"/>
    <col min="5124" max="5124" width="8.83203125" style="82"/>
    <col min="5125" max="5125" width="13" style="82" customWidth="1"/>
    <col min="5126" max="5126" width="12.1640625" style="82" customWidth="1"/>
    <col min="5127" max="5129" width="8.83203125" style="82"/>
    <col min="5130" max="5130" width="29.1640625" style="82" customWidth="1"/>
    <col min="5131" max="5131" width="11.33203125" style="82" customWidth="1"/>
    <col min="5132" max="5376" width="8.83203125" style="82"/>
    <col min="5377" max="5377" width="13.5" style="82" customWidth="1"/>
    <col min="5378" max="5378" width="25.5" style="82" customWidth="1"/>
    <col min="5379" max="5379" width="13" style="82" customWidth="1"/>
    <col min="5380" max="5380" width="8.83203125" style="82"/>
    <col min="5381" max="5381" width="13" style="82" customWidth="1"/>
    <col min="5382" max="5382" width="12.1640625" style="82" customWidth="1"/>
    <col min="5383" max="5385" width="8.83203125" style="82"/>
    <col min="5386" max="5386" width="29.1640625" style="82" customWidth="1"/>
    <col min="5387" max="5387" width="11.33203125" style="82" customWidth="1"/>
    <col min="5388" max="5632" width="8.83203125" style="82"/>
    <col min="5633" max="5633" width="13.5" style="82" customWidth="1"/>
    <col min="5634" max="5634" width="25.5" style="82" customWidth="1"/>
    <col min="5635" max="5635" width="13" style="82" customWidth="1"/>
    <col min="5636" max="5636" width="8.83203125" style="82"/>
    <col min="5637" max="5637" width="13" style="82" customWidth="1"/>
    <col min="5638" max="5638" width="12.1640625" style="82" customWidth="1"/>
    <col min="5639" max="5641" width="8.83203125" style="82"/>
    <col min="5642" max="5642" width="29.1640625" style="82" customWidth="1"/>
    <col min="5643" max="5643" width="11.33203125" style="82" customWidth="1"/>
    <col min="5644" max="5888" width="8.83203125" style="82"/>
    <col min="5889" max="5889" width="13.5" style="82" customWidth="1"/>
    <col min="5890" max="5890" width="25.5" style="82" customWidth="1"/>
    <col min="5891" max="5891" width="13" style="82" customWidth="1"/>
    <col min="5892" max="5892" width="8.83203125" style="82"/>
    <col min="5893" max="5893" width="13" style="82" customWidth="1"/>
    <col min="5894" max="5894" width="12.1640625" style="82" customWidth="1"/>
    <col min="5895" max="5897" width="8.83203125" style="82"/>
    <col min="5898" max="5898" width="29.1640625" style="82" customWidth="1"/>
    <col min="5899" max="5899" width="11.33203125" style="82" customWidth="1"/>
    <col min="5900" max="6144" width="8.83203125" style="82"/>
    <col min="6145" max="6145" width="13.5" style="82" customWidth="1"/>
    <col min="6146" max="6146" width="25.5" style="82" customWidth="1"/>
    <col min="6147" max="6147" width="13" style="82" customWidth="1"/>
    <col min="6148" max="6148" width="8.83203125" style="82"/>
    <col min="6149" max="6149" width="13" style="82" customWidth="1"/>
    <col min="6150" max="6150" width="12.1640625" style="82" customWidth="1"/>
    <col min="6151" max="6153" width="8.83203125" style="82"/>
    <col min="6154" max="6154" width="29.1640625" style="82" customWidth="1"/>
    <col min="6155" max="6155" width="11.33203125" style="82" customWidth="1"/>
    <col min="6156" max="6400" width="8.83203125" style="82"/>
    <col min="6401" max="6401" width="13.5" style="82" customWidth="1"/>
    <col min="6402" max="6402" width="25.5" style="82" customWidth="1"/>
    <col min="6403" max="6403" width="13" style="82" customWidth="1"/>
    <col min="6404" max="6404" width="8.83203125" style="82"/>
    <col min="6405" max="6405" width="13" style="82" customWidth="1"/>
    <col min="6406" max="6406" width="12.1640625" style="82" customWidth="1"/>
    <col min="6407" max="6409" width="8.83203125" style="82"/>
    <col min="6410" max="6410" width="29.1640625" style="82" customWidth="1"/>
    <col min="6411" max="6411" width="11.33203125" style="82" customWidth="1"/>
    <col min="6412" max="6656" width="8.83203125" style="82"/>
    <col min="6657" max="6657" width="13.5" style="82" customWidth="1"/>
    <col min="6658" max="6658" width="25.5" style="82" customWidth="1"/>
    <col min="6659" max="6659" width="13" style="82" customWidth="1"/>
    <col min="6660" max="6660" width="8.83203125" style="82"/>
    <col min="6661" max="6661" width="13" style="82" customWidth="1"/>
    <col min="6662" max="6662" width="12.1640625" style="82" customWidth="1"/>
    <col min="6663" max="6665" width="8.83203125" style="82"/>
    <col min="6666" max="6666" width="29.1640625" style="82" customWidth="1"/>
    <col min="6667" max="6667" width="11.33203125" style="82" customWidth="1"/>
    <col min="6668" max="6912" width="8.83203125" style="82"/>
    <col min="6913" max="6913" width="13.5" style="82" customWidth="1"/>
    <col min="6914" max="6914" width="25.5" style="82" customWidth="1"/>
    <col min="6915" max="6915" width="13" style="82" customWidth="1"/>
    <col min="6916" max="6916" width="8.83203125" style="82"/>
    <col min="6917" max="6917" width="13" style="82" customWidth="1"/>
    <col min="6918" max="6918" width="12.1640625" style="82" customWidth="1"/>
    <col min="6919" max="6921" width="8.83203125" style="82"/>
    <col min="6922" max="6922" width="29.1640625" style="82" customWidth="1"/>
    <col min="6923" max="6923" width="11.33203125" style="82" customWidth="1"/>
    <col min="6924" max="7168" width="8.83203125" style="82"/>
    <col min="7169" max="7169" width="13.5" style="82" customWidth="1"/>
    <col min="7170" max="7170" width="25.5" style="82" customWidth="1"/>
    <col min="7171" max="7171" width="13" style="82" customWidth="1"/>
    <col min="7172" max="7172" width="8.83203125" style="82"/>
    <col min="7173" max="7173" width="13" style="82" customWidth="1"/>
    <col min="7174" max="7174" width="12.1640625" style="82" customWidth="1"/>
    <col min="7175" max="7177" width="8.83203125" style="82"/>
    <col min="7178" max="7178" width="29.1640625" style="82" customWidth="1"/>
    <col min="7179" max="7179" width="11.33203125" style="82" customWidth="1"/>
    <col min="7180" max="7424" width="8.83203125" style="82"/>
    <col min="7425" max="7425" width="13.5" style="82" customWidth="1"/>
    <col min="7426" max="7426" width="25.5" style="82" customWidth="1"/>
    <col min="7427" max="7427" width="13" style="82" customWidth="1"/>
    <col min="7428" max="7428" width="8.83203125" style="82"/>
    <col min="7429" max="7429" width="13" style="82" customWidth="1"/>
    <col min="7430" max="7430" width="12.1640625" style="82" customWidth="1"/>
    <col min="7431" max="7433" width="8.83203125" style="82"/>
    <col min="7434" max="7434" width="29.1640625" style="82" customWidth="1"/>
    <col min="7435" max="7435" width="11.33203125" style="82" customWidth="1"/>
    <col min="7436" max="7680" width="8.83203125" style="82"/>
    <col min="7681" max="7681" width="13.5" style="82" customWidth="1"/>
    <col min="7682" max="7682" width="25.5" style="82" customWidth="1"/>
    <col min="7683" max="7683" width="13" style="82" customWidth="1"/>
    <col min="7684" max="7684" width="8.83203125" style="82"/>
    <col min="7685" max="7685" width="13" style="82" customWidth="1"/>
    <col min="7686" max="7686" width="12.1640625" style="82" customWidth="1"/>
    <col min="7687" max="7689" width="8.83203125" style="82"/>
    <col min="7690" max="7690" width="29.1640625" style="82" customWidth="1"/>
    <col min="7691" max="7691" width="11.33203125" style="82" customWidth="1"/>
    <col min="7692" max="7936" width="8.83203125" style="82"/>
    <col min="7937" max="7937" width="13.5" style="82" customWidth="1"/>
    <col min="7938" max="7938" width="25.5" style="82" customWidth="1"/>
    <col min="7939" max="7939" width="13" style="82" customWidth="1"/>
    <col min="7940" max="7940" width="8.83203125" style="82"/>
    <col min="7941" max="7941" width="13" style="82" customWidth="1"/>
    <col min="7942" max="7942" width="12.1640625" style="82" customWidth="1"/>
    <col min="7943" max="7945" width="8.83203125" style="82"/>
    <col min="7946" max="7946" width="29.1640625" style="82" customWidth="1"/>
    <col min="7947" max="7947" width="11.33203125" style="82" customWidth="1"/>
    <col min="7948" max="8192" width="8.83203125" style="82"/>
    <col min="8193" max="8193" width="13.5" style="82" customWidth="1"/>
    <col min="8194" max="8194" width="25.5" style="82" customWidth="1"/>
    <col min="8195" max="8195" width="13" style="82" customWidth="1"/>
    <col min="8196" max="8196" width="8.83203125" style="82"/>
    <col min="8197" max="8197" width="13" style="82" customWidth="1"/>
    <col min="8198" max="8198" width="12.1640625" style="82" customWidth="1"/>
    <col min="8199" max="8201" width="8.83203125" style="82"/>
    <col min="8202" max="8202" width="29.1640625" style="82" customWidth="1"/>
    <col min="8203" max="8203" width="11.33203125" style="82" customWidth="1"/>
    <col min="8204" max="8448" width="8.83203125" style="82"/>
    <col min="8449" max="8449" width="13.5" style="82" customWidth="1"/>
    <col min="8450" max="8450" width="25.5" style="82" customWidth="1"/>
    <col min="8451" max="8451" width="13" style="82" customWidth="1"/>
    <col min="8452" max="8452" width="8.83203125" style="82"/>
    <col min="8453" max="8453" width="13" style="82" customWidth="1"/>
    <col min="8454" max="8454" width="12.1640625" style="82" customWidth="1"/>
    <col min="8455" max="8457" width="8.83203125" style="82"/>
    <col min="8458" max="8458" width="29.1640625" style="82" customWidth="1"/>
    <col min="8459" max="8459" width="11.33203125" style="82" customWidth="1"/>
    <col min="8460" max="8704" width="8.83203125" style="82"/>
    <col min="8705" max="8705" width="13.5" style="82" customWidth="1"/>
    <col min="8706" max="8706" width="25.5" style="82" customWidth="1"/>
    <col min="8707" max="8707" width="13" style="82" customWidth="1"/>
    <col min="8708" max="8708" width="8.83203125" style="82"/>
    <col min="8709" max="8709" width="13" style="82" customWidth="1"/>
    <col min="8710" max="8710" width="12.1640625" style="82" customWidth="1"/>
    <col min="8711" max="8713" width="8.83203125" style="82"/>
    <col min="8714" max="8714" width="29.1640625" style="82" customWidth="1"/>
    <col min="8715" max="8715" width="11.33203125" style="82" customWidth="1"/>
    <col min="8716" max="8960" width="8.83203125" style="82"/>
    <col min="8961" max="8961" width="13.5" style="82" customWidth="1"/>
    <col min="8962" max="8962" width="25.5" style="82" customWidth="1"/>
    <col min="8963" max="8963" width="13" style="82" customWidth="1"/>
    <col min="8964" max="8964" width="8.83203125" style="82"/>
    <col min="8965" max="8965" width="13" style="82" customWidth="1"/>
    <col min="8966" max="8966" width="12.1640625" style="82" customWidth="1"/>
    <col min="8967" max="8969" width="8.83203125" style="82"/>
    <col min="8970" max="8970" width="29.1640625" style="82" customWidth="1"/>
    <col min="8971" max="8971" width="11.33203125" style="82" customWidth="1"/>
    <col min="8972" max="9216" width="8.83203125" style="82"/>
    <col min="9217" max="9217" width="13.5" style="82" customWidth="1"/>
    <col min="9218" max="9218" width="25.5" style="82" customWidth="1"/>
    <col min="9219" max="9219" width="13" style="82" customWidth="1"/>
    <col min="9220" max="9220" width="8.83203125" style="82"/>
    <col min="9221" max="9221" width="13" style="82" customWidth="1"/>
    <col min="9222" max="9222" width="12.1640625" style="82" customWidth="1"/>
    <col min="9223" max="9225" width="8.83203125" style="82"/>
    <col min="9226" max="9226" width="29.1640625" style="82" customWidth="1"/>
    <col min="9227" max="9227" width="11.33203125" style="82" customWidth="1"/>
    <col min="9228" max="9472" width="8.83203125" style="82"/>
    <col min="9473" max="9473" width="13.5" style="82" customWidth="1"/>
    <col min="9474" max="9474" width="25.5" style="82" customWidth="1"/>
    <col min="9475" max="9475" width="13" style="82" customWidth="1"/>
    <col min="9476" max="9476" width="8.83203125" style="82"/>
    <col min="9477" max="9477" width="13" style="82" customWidth="1"/>
    <col min="9478" max="9478" width="12.1640625" style="82" customWidth="1"/>
    <col min="9479" max="9481" width="8.83203125" style="82"/>
    <col min="9482" max="9482" width="29.1640625" style="82" customWidth="1"/>
    <col min="9483" max="9483" width="11.33203125" style="82" customWidth="1"/>
    <col min="9484" max="9728" width="8.83203125" style="82"/>
    <col min="9729" max="9729" width="13.5" style="82" customWidth="1"/>
    <col min="9730" max="9730" width="25.5" style="82" customWidth="1"/>
    <col min="9731" max="9731" width="13" style="82" customWidth="1"/>
    <col min="9732" max="9732" width="8.83203125" style="82"/>
    <col min="9733" max="9733" width="13" style="82" customWidth="1"/>
    <col min="9734" max="9734" width="12.1640625" style="82" customWidth="1"/>
    <col min="9735" max="9737" width="8.83203125" style="82"/>
    <col min="9738" max="9738" width="29.1640625" style="82" customWidth="1"/>
    <col min="9739" max="9739" width="11.33203125" style="82" customWidth="1"/>
    <col min="9740" max="9984" width="8.83203125" style="82"/>
    <col min="9985" max="9985" width="13.5" style="82" customWidth="1"/>
    <col min="9986" max="9986" width="25.5" style="82" customWidth="1"/>
    <col min="9987" max="9987" width="13" style="82" customWidth="1"/>
    <col min="9988" max="9988" width="8.83203125" style="82"/>
    <col min="9989" max="9989" width="13" style="82" customWidth="1"/>
    <col min="9990" max="9990" width="12.1640625" style="82" customWidth="1"/>
    <col min="9991" max="9993" width="8.83203125" style="82"/>
    <col min="9994" max="9994" width="29.1640625" style="82" customWidth="1"/>
    <col min="9995" max="9995" width="11.33203125" style="82" customWidth="1"/>
    <col min="9996" max="10240" width="8.83203125" style="82"/>
    <col min="10241" max="10241" width="13.5" style="82" customWidth="1"/>
    <col min="10242" max="10242" width="25.5" style="82" customWidth="1"/>
    <col min="10243" max="10243" width="13" style="82" customWidth="1"/>
    <col min="10244" max="10244" width="8.83203125" style="82"/>
    <col min="10245" max="10245" width="13" style="82" customWidth="1"/>
    <col min="10246" max="10246" width="12.1640625" style="82" customWidth="1"/>
    <col min="10247" max="10249" width="8.83203125" style="82"/>
    <col min="10250" max="10250" width="29.1640625" style="82" customWidth="1"/>
    <col min="10251" max="10251" width="11.33203125" style="82" customWidth="1"/>
    <col min="10252" max="10496" width="8.83203125" style="82"/>
    <col min="10497" max="10497" width="13.5" style="82" customWidth="1"/>
    <col min="10498" max="10498" width="25.5" style="82" customWidth="1"/>
    <col min="10499" max="10499" width="13" style="82" customWidth="1"/>
    <col min="10500" max="10500" width="8.83203125" style="82"/>
    <col min="10501" max="10501" width="13" style="82" customWidth="1"/>
    <col min="10502" max="10502" width="12.1640625" style="82" customWidth="1"/>
    <col min="10503" max="10505" width="8.83203125" style="82"/>
    <col min="10506" max="10506" width="29.1640625" style="82" customWidth="1"/>
    <col min="10507" max="10507" width="11.33203125" style="82" customWidth="1"/>
    <col min="10508" max="10752" width="8.83203125" style="82"/>
    <col min="10753" max="10753" width="13.5" style="82" customWidth="1"/>
    <col min="10754" max="10754" width="25.5" style="82" customWidth="1"/>
    <col min="10755" max="10755" width="13" style="82" customWidth="1"/>
    <col min="10756" max="10756" width="8.83203125" style="82"/>
    <col min="10757" max="10757" width="13" style="82" customWidth="1"/>
    <col min="10758" max="10758" width="12.1640625" style="82" customWidth="1"/>
    <col min="10759" max="10761" width="8.83203125" style="82"/>
    <col min="10762" max="10762" width="29.1640625" style="82" customWidth="1"/>
    <col min="10763" max="10763" width="11.33203125" style="82" customWidth="1"/>
    <col min="10764" max="11008" width="8.83203125" style="82"/>
    <col min="11009" max="11009" width="13.5" style="82" customWidth="1"/>
    <col min="11010" max="11010" width="25.5" style="82" customWidth="1"/>
    <col min="11011" max="11011" width="13" style="82" customWidth="1"/>
    <col min="11012" max="11012" width="8.83203125" style="82"/>
    <col min="11013" max="11013" width="13" style="82" customWidth="1"/>
    <col min="11014" max="11014" width="12.1640625" style="82" customWidth="1"/>
    <col min="11015" max="11017" width="8.83203125" style="82"/>
    <col min="11018" max="11018" width="29.1640625" style="82" customWidth="1"/>
    <col min="11019" max="11019" width="11.33203125" style="82" customWidth="1"/>
    <col min="11020" max="11264" width="8.83203125" style="82"/>
    <col min="11265" max="11265" width="13.5" style="82" customWidth="1"/>
    <col min="11266" max="11266" width="25.5" style="82" customWidth="1"/>
    <col min="11267" max="11267" width="13" style="82" customWidth="1"/>
    <col min="11268" max="11268" width="8.83203125" style="82"/>
    <col min="11269" max="11269" width="13" style="82" customWidth="1"/>
    <col min="11270" max="11270" width="12.1640625" style="82" customWidth="1"/>
    <col min="11271" max="11273" width="8.83203125" style="82"/>
    <col min="11274" max="11274" width="29.1640625" style="82" customWidth="1"/>
    <col min="11275" max="11275" width="11.33203125" style="82" customWidth="1"/>
    <col min="11276" max="11520" width="8.83203125" style="82"/>
    <col min="11521" max="11521" width="13.5" style="82" customWidth="1"/>
    <col min="11522" max="11522" width="25.5" style="82" customWidth="1"/>
    <col min="11523" max="11523" width="13" style="82" customWidth="1"/>
    <col min="11524" max="11524" width="8.83203125" style="82"/>
    <col min="11525" max="11525" width="13" style="82" customWidth="1"/>
    <col min="11526" max="11526" width="12.1640625" style="82" customWidth="1"/>
    <col min="11527" max="11529" width="8.83203125" style="82"/>
    <col min="11530" max="11530" width="29.1640625" style="82" customWidth="1"/>
    <col min="11531" max="11531" width="11.33203125" style="82" customWidth="1"/>
    <col min="11532" max="11776" width="8.83203125" style="82"/>
    <col min="11777" max="11777" width="13.5" style="82" customWidth="1"/>
    <col min="11778" max="11778" width="25.5" style="82" customWidth="1"/>
    <col min="11779" max="11779" width="13" style="82" customWidth="1"/>
    <col min="11780" max="11780" width="8.83203125" style="82"/>
    <col min="11781" max="11781" width="13" style="82" customWidth="1"/>
    <col min="11782" max="11782" width="12.1640625" style="82" customWidth="1"/>
    <col min="11783" max="11785" width="8.83203125" style="82"/>
    <col min="11786" max="11786" width="29.1640625" style="82" customWidth="1"/>
    <col min="11787" max="11787" width="11.33203125" style="82" customWidth="1"/>
    <col min="11788" max="12032" width="8.83203125" style="82"/>
    <col min="12033" max="12033" width="13.5" style="82" customWidth="1"/>
    <col min="12034" max="12034" width="25.5" style="82" customWidth="1"/>
    <col min="12035" max="12035" width="13" style="82" customWidth="1"/>
    <col min="12036" max="12036" width="8.83203125" style="82"/>
    <col min="12037" max="12037" width="13" style="82" customWidth="1"/>
    <col min="12038" max="12038" width="12.1640625" style="82" customWidth="1"/>
    <col min="12039" max="12041" width="8.83203125" style="82"/>
    <col min="12042" max="12042" width="29.1640625" style="82" customWidth="1"/>
    <col min="12043" max="12043" width="11.33203125" style="82" customWidth="1"/>
    <col min="12044" max="12288" width="8.83203125" style="82"/>
    <col min="12289" max="12289" width="13.5" style="82" customWidth="1"/>
    <col min="12290" max="12290" width="25.5" style="82" customWidth="1"/>
    <col min="12291" max="12291" width="13" style="82" customWidth="1"/>
    <col min="12292" max="12292" width="8.83203125" style="82"/>
    <col min="12293" max="12293" width="13" style="82" customWidth="1"/>
    <col min="12294" max="12294" width="12.1640625" style="82" customWidth="1"/>
    <col min="12295" max="12297" width="8.83203125" style="82"/>
    <col min="12298" max="12298" width="29.1640625" style="82" customWidth="1"/>
    <col min="12299" max="12299" width="11.33203125" style="82" customWidth="1"/>
    <col min="12300" max="12544" width="8.83203125" style="82"/>
    <col min="12545" max="12545" width="13.5" style="82" customWidth="1"/>
    <col min="12546" max="12546" width="25.5" style="82" customWidth="1"/>
    <col min="12547" max="12547" width="13" style="82" customWidth="1"/>
    <col min="12548" max="12548" width="8.83203125" style="82"/>
    <col min="12549" max="12549" width="13" style="82" customWidth="1"/>
    <col min="12550" max="12550" width="12.1640625" style="82" customWidth="1"/>
    <col min="12551" max="12553" width="8.83203125" style="82"/>
    <col min="12554" max="12554" width="29.1640625" style="82" customWidth="1"/>
    <col min="12555" max="12555" width="11.33203125" style="82" customWidth="1"/>
    <col min="12556" max="12800" width="8.83203125" style="82"/>
    <col min="12801" max="12801" width="13.5" style="82" customWidth="1"/>
    <col min="12802" max="12802" width="25.5" style="82" customWidth="1"/>
    <col min="12803" max="12803" width="13" style="82" customWidth="1"/>
    <col min="12804" max="12804" width="8.83203125" style="82"/>
    <col min="12805" max="12805" width="13" style="82" customWidth="1"/>
    <col min="12806" max="12806" width="12.1640625" style="82" customWidth="1"/>
    <col min="12807" max="12809" width="8.83203125" style="82"/>
    <col min="12810" max="12810" width="29.1640625" style="82" customWidth="1"/>
    <col min="12811" max="12811" width="11.33203125" style="82" customWidth="1"/>
    <col min="12812" max="13056" width="8.83203125" style="82"/>
    <col min="13057" max="13057" width="13.5" style="82" customWidth="1"/>
    <col min="13058" max="13058" width="25.5" style="82" customWidth="1"/>
    <col min="13059" max="13059" width="13" style="82" customWidth="1"/>
    <col min="13060" max="13060" width="8.83203125" style="82"/>
    <col min="13061" max="13061" width="13" style="82" customWidth="1"/>
    <col min="13062" max="13062" width="12.1640625" style="82" customWidth="1"/>
    <col min="13063" max="13065" width="8.83203125" style="82"/>
    <col min="13066" max="13066" width="29.1640625" style="82" customWidth="1"/>
    <col min="13067" max="13067" width="11.33203125" style="82" customWidth="1"/>
    <col min="13068" max="13312" width="8.83203125" style="82"/>
    <col min="13313" max="13313" width="13.5" style="82" customWidth="1"/>
    <col min="13314" max="13314" width="25.5" style="82" customWidth="1"/>
    <col min="13315" max="13315" width="13" style="82" customWidth="1"/>
    <col min="13316" max="13316" width="8.83203125" style="82"/>
    <col min="13317" max="13317" width="13" style="82" customWidth="1"/>
    <col min="13318" max="13318" width="12.1640625" style="82" customWidth="1"/>
    <col min="13319" max="13321" width="8.83203125" style="82"/>
    <col min="13322" max="13322" width="29.1640625" style="82" customWidth="1"/>
    <col min="13323" max="13323" width="11.33203125" style="82" customWidth="1"/>
    <col min="13324" max="13568" width="8.83203125" style="82"/>
    <col min="13569" max="13569" width="13.5" style="82" customWidth="1"/>
    <col min="13570" max="13570" width="25.5" style="82" customWidth="1"/>
    <col min="13571" max="13571" width="13" style="82" customWidth="1"/>
    <col min="13572" max="13572" width="8.83203125" style="82"/>
    <col min="13573" max="13573" width="13" style="82" customWidth="1"/>
    <col min="13574" max="13574" width="12.1640625" style="82" customWidth="1"/>
    <col min="13575" max="13577" width="8.83203125" style="82"/>
    <col min="13578" max="13578" width="29.1640625" style="82" customWidth="1"/>
    <col min="13579" max="13579" width="11.33203125" style="82" customWidth="1"/>
    <col min="13580" max="13824" width="8.83203125" style="82"/>
    <col min="13825" max="13825" width="13.5" style="82" customWidth="1"/>
    <col min="13826" max="13826" width="25.5" style="82" customWidth="1"/>
    <col min="13827" max="13827" width="13" style="82" customWidth="1"/>
    <col min="13828" max="13828" width="8.83203125" style="82"/>
    <col min="13829" max="13829" width="13" style="82" customWidth="1"/>
    <col min="13830" max="13830" width="12.1640625" style="82" customWidth="1"/>
    <col min="13831" max="13833" width="8.83203125" style="82"/>
    <col min="13834" max="13834" width="29.1640625" style="82" customWidth="1"/>
    <col min="13835" max="13835" width="11.33203125" style="82" customWidth="1"/>
    <col min="13836" max="14080" width="8.83203125" style="82"/>
    <col min="14081" max="14081" width="13.5" style="82" customWidth="1"/>
    <col min="14082" max="14082" width="25.5" style="82" customWidth="1"/>
    <col min="14083" max="14083" width="13" style="82" customWidth="1"/>
    <col min="14084" max="14084" width="8.83203125" style="82"/>
    <col min="14085" max="14085" width="13" style="82" customWidth="1"/>
    <col min="14086" max="14086" width="12.1640625" style="82" customWidth="1"/>
    <col min="14087" max="14089" width="8.83203125" style="82"/>
    <col min="14090" max="14090" width="29.1640625" style="82" customWidth="1"/>
    <col min="14091" max="14091" width="11.33203125" style="82" customWidth="1"/>
    <col min="14092" max="14336" width="8.83203125" style="82"/>
    <col min="14337" max="14337" width="13.5" style="82" customWidth="1"/>
    <col min="14338" max="14338" width="25.5" style="82" customWidth="1"/>
    <col min="14339" max="14339" width="13" style="82" customWidth="1"/>
    <col min="14340" max="14340" width="8.83203125" style="82"/>
    <col min="14341" max="14341" width="13" style="82" customWidth="1"/>
    <col min="14342" max="14342" width="12.1640625" style="82" customWidth="1"/>
    <col min="14343" max="14345" width="8.83203125" style="82"/>
    <col min="14346" max="14346" width="29.1640625" style="82" customWidth="1"/>
    <col min="14347" max="14347" width="11.33203125" style="82" customWidth="1"/>
    <col min="14348" max="14592" width="8.83203125" style="82"/>
    <col min="14593" max="14593" width="13.5" style="82" customWidth="1"/>
    <col min="14594" max="14594" width="25.5" style="82" customWidth="1"/>
    <col min="14595" max="14595" width="13" style="82" customWidth="1"/>
    <col min="14596" max="14596" width="8.83203125" style="82"/>
    <col min="14597" max="14597" width="13" style="82" customWidth="1"/>
    <col min="14598" max="14598" width="12.1640625" style="82" customWidth="1"/>
    <col min="14599" max="14601" width="8.83203125" style="82"/>
    <col min="14602" max="14602" width="29.1640625" style="82" customWidth="1"/>
    <col min="14603" max="14603" width="11.33203125" style="82" customWidth="1"/>
    <col min="14604" max="14848" width="8.83203125" style="82"/>
    <col min="14849" max="14849" width="13.5" style="82" customWidth="1"/>
    <col min="14850" max="14850" width="25.5" style="82" customWidth="1"/>
    <col min="14851" max="14851" width="13" style="82" customWidth="1"/>
    <col min="14852" max="14852" width="8.83203125" style="82"/>
    <col min="14853" max="14853" width="13" style="82" customWidth="1"/>
    <col min="14854" max="14854" width="12.1640625" style="82" customWidth="1"/>
    <col min="14855" max="14857" width="8.83203125" style="82"/>
    <col min="14858" max="14858" width="29.1640625" style="82" customWidth="1"/>
    <col min="14859" max="14859" width="11.33203125" style="82" customWidth="1"/>
    <col min="14860" max="15104" width="8.83203125" style="82"/>
    <col min="15105" max="15105" width="13.5" style="82" customWidth="1"/>
    <col min="15106" max="15106" width="25.5" style="82" customWidth="1"/>
    <col min="15107" max="15107" width="13" style="82" customWidth="1"/>
    <col min="15108" max="15108" width="8.83203125" style="82"/>
    <col min="15109" max="15109" width="13" style="82" customWidth="1"/>
    <col min="15110" max="15110" width="12.1640625" style="82" customWidth="1"/>
    <col min="15111" max="15113" width="8.83203125" style="82"/>
    <col min="15114" max="15114" width="29.1640625" style="82" customWidth="1"/>
    <col min="15115" max="15115" width="11.33203125" style="82" customWidth="1"/>
    <col min="15116" max="15360" width="8.83203125" style="82"/>
    <col min="15361" max="15361" width="13.5" style="82" customWidth="1"/>
    <col min="15362" max="15362" width="25.5" style="82" customWidth="1"/>
    <col min="15363" max="15363" width="13" style="82" customWidth="1"/>
    <col min="15364" max="15364" width="8.83203125" style="82"/>
    <col min="15365" max="15365" width="13" style="82" customWidth="1"/>
    <col min="15366" max="15366" width="12.1640625" style="82" customWidth="1"/>
    <col min="15367" max="15369" width="8.83203125" style="82"/>
    <col min="15370" max="15370" width="29.1640625" style="82" customWidth="1"/>
    <col min="15371" max="15371" width="11.33203125" style="82" customWidth="1"/>
    <col min="15372" max="15616" width="8.83203125" style="82"/>
    <col min="15617" max="15617" width="13.5" style="82" customWidth="1"/>
    <col min="15618" max="15618" width="25.5" style="82" customWidth="1"/>
    <col min="15619" max="15619" width="13" style="82" customWidth="1"/>
    <col min="15620" max="15620" width="8.83203125" style="82"/>
    <col min="15621" max="15621" width="13" style="82" customWidth="1"/>
    <col min="15622" max="15622" width="12.1640625" style="82" customWidth="1"/>
    <col min="15623" max="15625" width="8.83203125" style="82"/>
    <col min="15626" max="15626" width="29.1640625" style="82" customWidth="1"/>
    <col min="15627" max="15627" width="11.33203125" style="82" customWidth="1"/>
    <col min="15628" max="15872" width="8.83203125" style="82"/>
    <col min="15873" max="15873" width="13.5" style="82" customWidth="1"/>
    <col min="15874" max="15874" width="25.5" style="82" customWidth="1"/>
    <col min="15875" max="15875" width="13" style="82" customWidth="1"/>
    <col min="15876" max="15876" width="8.83203125" style="82"/>
    <col min="15877" max="15877" width="13" style="82" customWidth="1"/>
    <col min="15878" max="15878" width="12.1640625" style="82" customWidth="1"/>
    <col min="15879" max="15881" width="8.83203125" style="82"/>
    <col min="15882" max="15882" width="29.1640625" style="82" customWidth="1"/>
    <col min="15883" max="15883" width="11.33203125" style="82" customWidth="1"/>
    <col min="15884" max="16128" width="8.83203125" style="82"/>
    <col min="16129" max="16129" width="13.5" style="82" customWidth="1"/>
    <col min="16130" max="16130" width="25.5" style="82" customWidth="1"/>
    <col min="16131" max="16131" width="13" style="82" customWidth="1"/>
    <col min="16132" max="16132" width="8.83203125" style="82"/>
    <col min="16133" max="16133" width="13" style="82" customWidth="1"/>
    <col min="16134" max="16134" width="12.1640625" style="82" customWidth="1"/>
    <col min="16135" max="16137" width="8.83203125" style="82"/>
    <col min="16138" max="16138" width="29.1640625" style="82" customWidth="1"/>
    <col min="16139" max="16139" width="11.33203125" style="82" customWidth="1"/>
    <col min="16140" max="16384" width="8.83203125" style="82"/>
  </cols>
  <sheetData>
    <row r="1" spans="1:21" ht="21" customHeight="1">
      <c r="A1" s="81" t="s">
        <v>184</v>
      </c>
    </row>
    <row r="2" spans="1:21" ht="15" customHeight="1" thickBot="1">
      <c r="A2" s="83"/>
      <c r="B2" s="84"/>
      <c r="C2" s="84"/>
      <c r="D2" s="84"/>
      <c r="E2" s="84"/>
      <c r="F2" s="84"/>
      <c r="G2" s="85" t="s">
        <v>125</v>
      </c>
      <c r="I2" s="86"/>
      <c r="R2" s="86"/>
      <c r="S2" s="86"/>
      <c r="T2" s="86"/>
      <c r="U2" s="86"/>
    </row>
    <row r="3" spans="1:21" ht="15" customHeight="1" thickTop="1">
      <c r="A3" s="87" t="s">
        <v>185</v>
      </c>
      <c r="B3" s="88" t="s">
        <v>186</v>
      </c>
      <c r="C3" s="89" t="s">
        <v>14</v>
      </c>
      <c r="D3" s="89" t="s">
        <v>187</v>
      </c>
      <c r="E3" s="89" t="s">
        <v>188</v>
      </c>
      <c r="F3" s="89" t="s">
        <v>5</v>
      </c>
      <c r="G3" s="89" t="s">
        <v>133</v>
      </c>
      <c r="I3" s="86"/>
      <c r="R3" s="86"/>
      <c r="S3" s="86"/>
      <c r="T3" s="86"/>
      <c r="U3" s="86"/>
    </row>
    <row r="4" spans="1:21" ht="15" customHeight="1">
      <c r="A4" s="82" t="s">
        <v>38</v>
      </c>
      <c r="B4" s="90" t="s">
        <v>107</v>
      </c>
      <c r="C4" s="91">
        <v>20761.808160068431</v>
      </c>
      <c r="D4" s="91">
        <v>2123.3524133312758</v>
      </c>
      <c r="E4" s="91">
        <v>524.2644503326494</v>
      </c>
      <c r="F4" s="91">
        <v>1201.3294743559929</v>
      </c>
      <c r="G4" s="91">
        <v>24610.754498088347</v>
      </c>
      <c r="R4" s="86"/>
      <c r="S4" s="86"/>
      <c r="T4" s="86"/>
      <c r="U4" s="86"/>
    </row>
    <row r="5" spans="1:21" ht="15" customHeight="1">
      <c r="B5" s="90" t="s">
        <v>189</v>
      </c>
      <c r="C5" s="91">
        <v>8900.1650974163058</v>
      </c>
      <c r="D5" s="91">
        <v>749.68389888293814</v>
      </c>
      <c r="E5" s="91">
        <v>152.75342740376871</v>
      </c>
      <c r="F5" s="91">
        <v>1391.0011648617194</v>
      </c>
      <c r="G5" s="91">
        <v>11193.603588564732</v>
      </c>
      <c r="I5" s="1181">
        <f>11194*Unit.ktoe</f>
        <v>130.18621999999999</v>
      </c>
      <c r="J5" s="84"/>
      <c r="K5" s="84"/>
      <c r="L5" s="84"/>
      <c r="M5" s="84"/>
      <c r="N5" s="85"/>
      <c r="O5" s="85"/>
      <c r="P5" s="86"/>
      <c r="R5" s="86"/>
      <c r="S5" s="86"/>
      <c r="T5" s="86"/>
      <c r="U5" s="86"/>
    </row>
    <row r="6" spans="1:21" ht="15" customHeight="1">
      <c r="B6" s="90" t="s">
        <v>190</v>
      </c>
      <c r="C6" s="91">
        <v>682.38249995224271</v>
      </c>
      <c r="D6" s="91">
        <v>3.5181593929284705</v>
      </c>
      <c r="E6" s="91">
        <v>2.977912368790709</v>
      </c>
      <c r="F6" s="91">
        <v>586.86909715644913</v>
      </c>
      <c r="G6" s="91">
        <v>1275.747668870411</v>
      </c>
      <c r="I6" s="92"/>
      <c r="J6" s="93"/>
      <c r="K6" s="93"/>
      <c r="L6" s="93"/>
      <c r="M6" s="93"/>
      <c r="N6" s="93"/>
      <c r="O6" s="93"/>
      <c r="P6" s="86"/>
      <c r="R6" s="86"/>
      <c r="S6" s="86"/>
      <c r="T6" s="86"/>
      <c r="U6" s="86"/>
    </row>
    <row r="7" spans="1:21" ht="15" customHeight="1">
      <c r="B7" s="94" t="s">
        <v>191</v>
      </c>
      <c r="C7" s="94">
        <v>30344.355757436981</v>
      </c>
      <c r="D7" s="94">
        <v>2876.5544716071422</v>
      </c>
      <c r="E7" s="94">
        <v>679.99579010520881</v>
      </c>
      <c r="F7" s="94">
        <v>3179.1997363741616</v>
      </c>
      <c r="G7" s="94">
        <v>37080.105755523495</v>
      </c>
      <c r="I7" s="95"/>
      <c r="J7" s="85"/>
      <c r="K7" s="85"/>
      <c r="L7" s="85"/>
      <c r="M7" s="85"/>
      <c r="N7" s="85"/>
      <c r="O7" s="85"/>
      <c r="P7" s="86"/>
      <c r="R7" s="86"/>
      <c r="S7" s="86"/>
      <c r="T7" s="86"/>
      <c r="U7" s="86"/>
    </row>
    <row r="8" spans="1:21" ht="15" customHeight="1">
      <c r="B8" s="94" t="s">
        <v>65</v>
      </c>
      <c r="C8" s="96">
        <v>3.2402428691751259</v>
      </c>
      <c r="D8" s="97" t="s">
        <v>192</v>
      </c>
      <c r="E8" s="97" t="s">
        <v>192</v>
      </c>
      <c r="F8" s="94">
        <v>6713.3698951860279</v>
      </c>
      <c r="G8" s="94">
        <v>6716.6101380552027</v>
      </c>
      <c r="I8" s="95"/>
      <c r="J8" s="85"/>
      <c r="K8" s="85"/>
      <c r="L8" s="85"/>
      <c r="M8" s="85"/>
      <c r="N8" s="85"/>
      <c r="O8" s="85"/>
      <c r="P8" s="86"/>
      <c r="R8" s="86"/>
      <c r="S8" s="86"/>
      <c r="T8" s="86"/>
      <c r="U8" s="86"/>
    </row>
    <row r="9" spans="1:21" ht="18" customHeight="1" thickBot="1">
      <c r="B9" s="98" t="s">
        <v>193</v>
      </c>
      <c r="C9" s="98">
        <v>30347.596000306155</v>
      </c>
      <c r="D9" s="98">
        <v>2876.5544716071422</v>
      </c>
      <c r="E9" s="98">
        <v>679.99579010520881</v>
      </c>
      <c r="F9" s="98">
        <v>9892.569631560189</v>
      </c>
      <c r="G9" s="98">
        <v>43796.715893578701</v>
      </c>
      <c r="I9" s="95"/>
      <c r="J9" s="85"/>
      <c r="K9" s="85"/>
      <c r="L9" s="85"/>
      <c r="M9" s="85"/>
      <c r="N9" s="85"/>
      <c r="O9" s="85"/>
      <c r="P9" s="86"/>
      <c r="R9" s="86"/>
      <c r="S9" s="86"/>
      <c r="T9" s="86"/>
      <c r="U9" s="86"/>
    </row>
    <row r="10" spans="1:21" ht="15" customHeight="1" thickTop="1">
      <c r="B10" s="84"/>
      <c r="C10" s="84"/>
      <c r="D10" s="84"/>
      <c r="E10" s="84"/>
      <c r="F10" s="84"/>
      <c r="G10" s="84"/>
      <c r="I10" s="95"/>
      <c r="J10" s="85"/>
      <c r="K10" s="85"/>
      <c r="L10" s="85"/>
      <c r="M10" s="85"/>
      <c r="N10" s="85"/>
      <c r="O10" s="85"/>
      <c r="P10" s="86"/>
      <c r="R10" s="86"/>
      <c r="S10" s="86"/>
      <c r="T10" s="86"/>
      <c r="U10" s="86"/>
    </row>
    <row r="11" spans="1:21" ht="15" customHeight="1">
      <c r="A11" s="82" t="s">
        <v>194</v>
      </c>
      <c r="B11" s="90" t="s">
        <v>107</v>
      </c>
      <c r="C11" s="99">
        <v>6228.4146697154792</v>
      </c>
      <c r="D11" s="99">
        <v>1056.729525903982</v>
      </c>
      <c r="E11" s="99">
        <v>10.104010221874312</v>
      </c>
      <c r="F11" s="99">
        <v>1207.7243864928994</v>
      </c>
      <c r="G11" s="99">
        <v>8502.9725923342339</v>
      </c>
      <c r="I11" s="95"/>
      <c r="J11" s="85"/>
      <c r="K11" s="85"/>
      <c r="L11" s="85"/>
      <c r="M11" s="85"/>
      <c r="N11" s="85"/>
      <c r="O11" s="85"/>
      <c r="P11" s="86"/>
      <c r="R11" s="86"/>
      <c r="S11" s="86"/>
      <c r="T11" s="86"/>
      <c r="U11" s="86"/>
    </row>
    <row r="12" spans="1:21" ht="15" customHeight="1">
      <c r="B12" s="90" t="s">
        <v>189</v>
      </c>
      <c r="C12" s="99">
        <v>1251.2212731879906</v>
      </c>
      <c r="D12" s="99">
        <v>100.03914835165267</v>
      </c>
      <c r="E12" s="99">
        <v>1.061255973783479</v>
      </c>
      <c r="F12" s="99">
        <v>284.8159539711279</v>
      </c>
      <c r="G12" s="99">
        <v>1637.1376314845547</v>
      </c>
      <c r="I12" s="92"/>
      <c r="J12" s="85"/>
      <c r="K12" s="85"/>
      <c r="L12" s="85"/>
      <c r="M12" s="85"/>
      <c r="N12" s="85"/>
      <c r="O12" s="85"/>
      <c r="P12" s="86"/>
      <c r="R12" s="86"/>
      <c r="S12" s="86"/>
      <c r="T12" s="86"/>
      <c r="U12" s="86"/>
    </row>
    <row r="13" spans="1:21" ht="15" customHeight="1">
      <c r="B13" s="90" t="s">
        <v>190</v>
      </c>
      <c r="C13" s="99">
        <v>755.68635160556403</v>
      </c>
      <c r="D13" s="99">
        <v>38.014686919374739</v>
      </c>
      <c r="E13" s="99" t="s">
        <v>192</v>
      </c>
      <c r="F13" s="99">
        <v>1137.719344181108</v>
      </c>
      <c r="G13" s="99">
        <v>1931.4203827060469</v>
      </c>
      <c r="I13" s="84"/>
      <c r="J13" s="85"/>
      <c r="K13" s="85"/>
      <c r="L13" s="85"/>
      <c r="M13" s="85"/>
      <c r="N13" s="85"/>
      <c r="O13" s="85"/>
      <c r="P13" s="86"/>
      <c r="R13" s="86"/>
      <c r="S13" s="86"/>
      <c r="T13" s="86"/>
      <c r="U13" s="86"/>
    </row>
    <row r="14" spans="1:21" ht="15" customHeight="1">
      <c r="B14" s="94" t="s">
        <v>191</v>
      </c>
      <c r="C14" s="97">
        <v>8235.3222945090347</v>
      </c>
      <c r="D14" s="97">
        <v>1194.7833611750095</v>
      </c>
      <c r="E14" s="97">
        <v>11.165266195657791</v>
      </c>
      <c r="F14" s="97">
        <v>2630.2596846451352</v>
      </c>
      <c r="G14" s="97">
        <v>12071.530606524837</v>
      </c>
      <c r="I14" s="92"/>
      <c r="J14" s="100"/>
      <c r="K14" s="100"/>
      <c r="L14" s="100"/>
      <c r="M14" s="100"/>
      <c r="N14" s="100"/>
      <c r="O14" s="100"/>
      <c r="P14" s="86"/>
      <c r="R14" s="86"/>
      <c r="S14" s="86"/>
      <c r="T14" s="86"/>
      <c r="U14" s="86"/>
    </row>
    <row r="15" spans="1:21" ht="15" customHeight="1">
      <c r="B15" s="90" t="s">
        <v>111</v>
      </c>
      <c r="C15" s="99" t="s">
        <v>192</v>
      </c>
      <c r="D15" s="99" t="s">
        <v>192</v>
      </c>
      <c r="E15" s="99" t="s">
        <v>192</v>
      </c>
      <c r="F15" s="99">
        <v>453.17031975990915</v>
      </c>
      <c r="G15" s="99">
        <v>453.17031975990915</v>
      </c>
      <c r="I15" s="84"/>
      <c r="J15" s="86"/>
      <c r="K15" s="86"/>
      <c r="L15" s="86"/>
      <c r="M15" s="86"/>
      <c r="N15" s="86"/>
      <c r="O15" s="86"/>
      <c r="P15" s="86"/>
      <c r="R15" s="86"/>
      <c r="S15" s="86"/>
      <c r="T15" s="86"/>
      <c r="U15" s="86"/>
    </row>
    <row r="16" spans="1:21" ht="15" customHeight="1">
      <c r="B16" s="90" t="s">
        <v>112</v>
      </c>
      <c r="C16" s="99">
        <v>34.98397921679743</v>
      </c>
      <c r="D16" s="99" t="s">
        <v>192</v>
      </c>
      <c r="E16" s="99" t="s">
        <v>192</v>
      </c>
      <c r="F16" s="99">
        <v>775.39567838460971</v>
      </c>
      <c r="G16" s="99">
        <v>810.37965760140719</v>
      </c>
      <c r="I16" s="86"/>
      <c r="J16" s="86"/>
      <c r="K16" s="86"/>
      <c r="L16" s="86"/>
      <c r="M16" s="86"/>
      <c r="N16" s="86"/>
      <c r="O16" s="86"/>
      <c r="P16" s="86"/>
    </row>
    <row r="17" spans="1:16" ht="15" customHeight="1">
      <c r="B17" s="90" t="s">
        <v>113</v>
      </c>
      <c r="C17" s="99" t="s">
        <v>192</v>
      </c>
      <c r="D17" s="99" t="s">
        <v>192</v>
      </c>
      <c r="E17" s="99" t="s">
        <v>192</v>
      </c>
      <c r="F17" s="99">
        <v>3373.2875772165198</v>
      </c>
      <c r="G17" s="99">
        <v>3373.2875772165198</v>
      </c>
      <c r="I17" s="86"/>
      <c r="J17" s="86"/>
      <c r="K17" s="86"/>
      <c r="L17" s="86"/>
      <c r="M17" s="86"/>
      <c r="N17" s="86"/>
      <c r="O17" s="86"/>
      <c r="P17" s="86"/>
    </row>
    <row r="18" spans="1:16" ht="15" customHeight="1">
      <c r="B18" s="90" t="s">
        <v>114</v>
      </c>
      <c r="C18" s="99">
        <v>133.08471060015648</v>
      </c>
      <c r="D18" s="99">
        <v>11.649257784068206</v>
      </c>
      <c r="E18" s="99" t="s">
        <v>192</v>
      </c>
      <c r="F18" s="99">
        <v>1115.3734578442952</v>
      </c>
      <c r="G18" s="99">
        <v>1260.1074262285199</v>
      </c>
      <c r="I18" s="86"/>
      <c r="J18" s="86"/>
      <c r="K18" s="86"/>
      <c r="L18" s="86"/>
      <c r="M18" s="86"/>
      <c r="N18" s="86"/>
      <c r="O18" s="86"/>
      <c r="P18" s="86"/>
    </row>
    <row r="19" spans="1:16" ht="17.25" customHeight="1" thickBot="1">
      <c r="B19" s="98" t="s">
        <v>193</v>
      </c>
      <c r="C19" s="101">
        <v>8403.390984325988</v>
      </c>
      <c r="D19" s="101">
        <v>1206.4326189590777</v>
      </c>
      <c r="E19" s="101">
        <v>11.165266195657791</v>
      </c>
      <c r="F19" s="101">
        <v>8347.4867178504683</v>
      </c>
      <c r="G19" s="101">
        <v>17968.475587331191</v>
      </c>
    </row>
    <row r="20" spans="1:16" ht="15" customHeight="1" thickTop="1">
      <c r="B20" s="84"/>
      <c r="C20" s="85"/>
      <c r="D20" s="85"/>
      <c r="E20" s="85"/>
      <c r="F20" s="85"/>
      <c r="G20" s="85"/>
    </row>
    <row r="21" spans="1:16" ht="15" customHeight="1">
      <c r="A21" s="82" t="s">
        <v>195</v>
      </c>
      <c r="B21" s="90" t="s">
        <v>107</v>
      </c>
      <c r="C21" s="91">
        <v>1369.4177746045293</v>
      </c>
      <c r="D21" s="91">
        <v>689.35063688899413</v>
      </c>
      <c r="E21" s="91">
        <v>93.4622114043284</v>
      </c>
      <c r="F21" s="91">
        <v>798.18708166868896</v>
      </c>
      <c r="G21" s="91">
        <v>2950.417704566541</v>
      </c>
    </row>
    <row r="22" spans="1:16" ht="15" customHeight="1">
      <c r="B22" s="90" t="s">
        <v>117</v>
      </c>
      <c r="C22" s="91">
        <v>2152.7854444625532</v>
      </c>
      <c r="D22" s="91">
        <v>259.32568093147376</v>
      </c>
      <c r="E22" s="91">
        <v>1189.3091878280718</v>
      </c>
      <c r="F22" s="91">
        <v>1286.0583033816426</v>
      </c>
      <c r="G22" s="91">
        <v>4887.478616603742</v>
      </c>
    </row>
    <row r="23" spans="1:16" ht="15" customHeight="1">
      <c r="B23" s="90" t="s">
        <v>118</v>
      </c>
      <c r="C23" s="91">
        <v>4793.4818800379771</v>
      </c>
      <c r="D23" s="91">
        <v>1834.1450867625672</v>
      </c>
      <c r="E23" s="91">
        <v>243.02101718527183</v>
      </c>
      <c r="F23" s="91">
        <v>1679.6365789530998</v>
      </c>
      <c r="G23" s="91">
        <v>8550.2845629389158</v>
      </c>
    </row>
    <row r="24" spans="1:16" ht="15" customHeight="1">
      <c r="B24" s="90" t="s">
        <v>119</v>
      </c>
      <c r="C24" s="91">
        <v>1679.4997615193138</v>
      </c>
      <c r="D24" s="91">
        <v>741.97706310508181</v>
      </c>
      <c r="E24" s="91">
        <v>151.6871471618133</v>
      </c>
      <c r="F24" s="91">
        <v>621.53506222563453</v>
      </c>
      <c r="G24" s="91">
        <v>3194.6990340118437</v>
      </c>
    </row>
    <row r="25" spans="1:16" ht="15" customHeight="1">
      <c r="B25" s="94" t="s">
        <v>191</v>
      </c>
      <c r="C25" s="94">
        <v>9995.184860624373</v>
      </c>
      <c r="D25" s="94">
        <v>3524.7984676881169</v>
      </c>
      <c r="E25" s="94">
        <v>1677.4795635794853</v>
      </c>
      <c r="F25" s="94">
        <v>4385.4170262290663</v>
      </c>
      <c r="G25" s="94">
        <v>19582.879918121042</v>
      </c>
    </row>
    <row r="26" spans="1:16" ht="15" customHeight="1">
      <c r="B26" s="90" t="s">
        <v>120</v>
      </c>
      <c r="C26" s="99" t="s">
        <v>192</v>
      </c>
      <c r="D26" s="99" t="s">
        <v>192</v>
      </c>
      <c r="E26" s="99" t="s">
        <v>192</v>
      </c>
      <c r="F26" s="99">
        <v>3210.6270060518964</v>
      </c>
      <c r="G26" s="84">
        <v>3210.6270060518964</v>
      </c>
    </row>
    <row r="27" spans="1:16" ht="15" customHeight="1">
      <c r="B27" s="90" t="s">
        <v>121</v>
      </c>
      <c r="C27" s="99" t="s">
        <v>192</v>
      </c>
      <c r="D27" s="99" t="s">
        <v>192</v>
      </c>
      <c r="E27" s="99" t="s">
        <v>192</v>
      </c>
      <c r="F27" s="99">
        <v>933.55506550179769</v>
      </c>
      <c r="G27" s="99">
        <v>933.55506550179769</v>
      </c>
    </row>
    <row r="28" spans="1:16" ht="15" customHeight="1">
      <c r="B28" s="90" t="s">
        <v>113</v>
      </c>
      <c r="C28" s="99" t="s">
        <v>192</v>
      </c>
      <c r="D28" s="99" t="s">
        <v>192</v>
      </c>
      <c r="E28" s="99" t="s">
        <v>192</v>
      </c>
      <c r="F28" s="99">
        <v>319.64348874124767</v>
      </c>
      <c r="G28" s="99">
        <v>319.64348874124767</v>
      </c>
    </row>
    <row r="29" spans="1:16" ht="15" customHeight="1">
      <c r="B29" s="90" t="s">
        <v>122</v>
      </c>
      <c r="C29" s="99" t="s">
        <v>192</v>
      </c>
      <c r="D29" s="99" t="s">
        <v>192</v>
      </c>
      <c r="E29" s="99" t="s">
        <v>192</v>
      </c>
      <c r="F29" s="99">
        <v>574.07630569071762</v>
      </c>
      <c r="G29" s="99">
        <v>574.07630569071762</v>
      </c>
    </row>
    <row r="30" spans="1:16" ht="15" customHeight="1">
      <c r="B30" s="90" t="s">
        <v>114</v>
      </c>
      <c r="C30" s="99">
        <v>1400.9454452386162</v>
      </c>
      <c r="D30" s="99">
        <v>492.8719860068295</v>
      </c>
      <c r="E30" s="99">
        <v>187.03051501601595</v>
      </c>
      <c r="F30" s="99">
        <v>500.03599669065829</v>
      </c>
      <c r="G30" s="99">
        <v>2580.8839429521204</v>
      </c>
    </row>
    <row r="31" spans="1:16" ht="15" customHeight="1" thickBot="1">
      <c r="B31" s="98" t="s">
        <v>196</v>
      </c>
      <c r="C31" s="101">
        <v>11396.130305862989</v>
      </c>
      <c r="D31" s="101">
        <v>4017.6704536949464</v>
      </c>
      <c r="E31" s="101">
        <v>1864.5100785955012</v>
      </c>
      <c r="F31" s="101">
        <v>9923.3548889053836</v>
      </c>
      <c r="G31" s="101">
        <v>27201.665727058818</v>
      </c>
    </row>
    <row r="32" spans="1:16" ht="15" customHeight="1" thickTop="1"/>
    <row r="33" spans="1:9" ht="15" customHeight="1">
      <c r="A33" s="102" t="s">
        <v>133</v>
      </c>
      <c r="B33" s="103" t="s">
        <v>107</v>
      </c>
      <c r="C33" s="104">
        <v>28359.640604388442</v>
      </c>
      <c r="D33" s="104">
        <v>3869.4325761242517</v>
      </c>
      <c r="E33" s="104">
        <v>627.83067195885212</v>
      </c>
      <c r="F33" s="104">
        <v>3207.2409425175811</v>
      </c>
      <c r="G33" s="104">
        <v>36064.144794989123</v>
      </c>
    </row>
    <row r="34" spans="1:9" ht="15" customHeight="1">
      <c r="A34" s="102"/>
      <c r="B34" s="103" t="s">
        <v>189</v>
      </c>
      <c r="C34" s="104">
        <v>10151.386370604296</v>
      </c>
      <c r="D34" s="104">
        <v>849.72304723459081</v>
      </c>
      <c r="E34" s="104">
        <v>153.8146833775522</v>
      </c>
      <c r="F34" s="104">
        <v>1675.8171188328474</v>
      </c>
      <c r="G34" s="104">
        <v>12830.741220049287</v>
      </c>
    </row>
    <row r="35" spans="1:9" ht="15" customHeight="1">
      <c r="A35" s="102"/>
      <c r="B35" s="103" t="s">
        <v>190</v>
      </c>
      <c r="C35" s="104">
        <v>1438.0688515578067</v>
      </c>
      <c r="D35" s="104">
        <v>41.532846312303207</v>
      </c>
      <c r="E35" s="104">
        <v>2.977912368790709</v>
      </c>
      <c r="F35" s="104">
        <v>1724.588441337557</v>
      </c>
      <c r="G35" s="104">
        <v>3207.1680515764579</v>
      </c>
    </row>
    <row r="36" spans="1:9" ht="15" customHeight="1">
      <c r="A36" s="102"/>
      <c r="B36" s="103" t="s">
        <v>197</v>
      </c>
      <c r="C36" s="104">
        <v>6946.2673245005299</v>
      </c>
      <c r="D36" s="104">
        <v>2093.4707676940411</v>
      </c>
      <c r="E36" s="104">
        <v>1432.3302050133436</v>
      </c>
      <c r="F36" s="104">
        <v>2965.6948823347425</v>
      </c>
      <c r="G36" s="104">
        <v>13437.763179542657</v>
      </c>
    </row>
    <row r="37" spans="1:9" ht="15" customHeight="1">
      <c r="A37" s="102"/>
      <c r="B37" s="103" t="s">
        <v>198</v>
      </c>
      <c r="C37" s="104">
        <v>1679.4997615193138</v>
      </c>
      <c r="D37" s="104">
        <v>741.97706310508181</v>
      </c>
      <c r="E37" s="104">
        <v>151.6871471618133</v>
      </c>
      <c r="F37" s="104">
        <v>621.53506222563453</v>
      </c>
      <c r="G37" s="104">
        <v>3194.6990340118437</v>
      </c>
    </row>
    <row r="38" spans="1:9" ht="15" customHeight="1">
      <c r="A38" s="102"/>
      <c r="B38" s="105" t="s">
        <v>191</v>
      </c>
      <c r="C38" s="106">
        <v>48574.862912570388</v>
      </c>
      <c r="D38" s="106">
        <v>7596.1363004702689</v>
      </c>
      <c r="E38" s="106">
        <v>2368.640619880352</v>
      </c>
      <c r="F38" s="106">
        <v>10194.876447248362</v>
      </c>
      <c r="G38" s="106">
        <v>68734.51628016938</v>
      </c>
      <c r="I38" s="107"/>
    </row>
    <row r="39" spans="1:9" ht="15" customHeight="1">
      <c r="A39" s="102"/>
      <c r="B39" s="103" t="s">
        <v>111</v>
      </c>
      <c r="C39" s="108" t="s">
        <v>192</v>
      </c>
      <c r="D39" s="108" t="s">
        <v>192</v>
      </c>
      <c r="E39" s="108" t="s">
        <v>192</v>
      </c>
      <c r="F39" s="104">
        <v>453.17031975990915</v>
      </c>
      <c r="G39" s="104">
        <v>453.17031975990915</v>
      </c>
    </row>
    <row r="40" spans="1:9" ht="15" customHeight="1">
      <c r="A40" s="102"/>
      <c r="B40" s="103" t="s">
        <v>112</v>
      </c>
      <c r="C40" s="104">
        <v>34.98397921679743</v>
      </c>
      <c r="D40" s="108" t="s">
        <v>192</v>
      </c>
      <c r="E40" s="108" t="s">
        <v>192</v>
      </c>
      <c r="F40" s="104">
        <v>775.39567838460971</v>
      </c>
      <c r="G40" s="104">
        <v>810.37965760140719</v>
      </c>
    </row>
    <row r="41" spans="1:9" ht="15" customHeight="1">
      <c r="A41" s="102"/>
      <c r="B41" s="103" t="s">
        <v>65</v>
      </c>
      <c r="C41" s="104">
        <v>3.2402428691751259</v>
      </c>
      <c r="D41" s="108" t="s">
        <v>192</v>
      </c>
      <c r="E41" s="108" t="s">
        <v>192</v>
      </c>
      <c r="F41" s="104">
        <v>10406.300961143796</v>
      </c>
      <c r="G41" s="104">
        <v>10409.54120401297</v>
      </c>
    </row>
    <row r="42" spans="1:9" ht="15" customHeight="1">
      <c r="A42" s="102"/>
      <c r="B42" s="103" t="s">
        <v>120</v>
      </c>
      <c r="C42" s="108" t="s">
        <v>192</v>
      </c>
      <c r="D42" s="108" t="s">
        <v>192</v>
      </c>
      <c r="E42" s="108" t="s">
        <v>192</v>
      </c>
      <c r="F42" s="104">
        <v>3210.6270060518964</v>
      </c>
      <c r="G42" s="104">
        <v>3210.6270060518964</v>
      </c>
    </row>
    <row r="43" spans="1:9" ht="15" customHeight="1">
      <c r="A43" s="102"/>
      <c r="B43" s="103" t="s">
        <v>121</v>
      </c>
      <c r="C43" s="108" t="s">
        <v>192</v>
      </c>
      <c r="D43" s="108" t="s">
        <v>192</v>
      </c>
      <c r="E43" s="108" t="s">
        <v>192</v>
      </c>
      <c r="F43" s="104">
        <v>933.55506550179769</v>
      </c>
      <c r="G43" s="104">
        <v>933.55506550179769</v>
      </c>
    </row>
    <row r="44" spans="1:9" ht="15" customHeight="1">
      <c r="A44" s="102"/>
      <c r="B44" s="103" t="s">
        <v>122</v>
      </c>
      <c r="C44" s="108" t="s">
        <v>192</v>
      </c>
      <c r="D44" s="108" t="s">
        <v>192</v>
      </c>
      <c r="E44" s="108" t="s">
        <v>192</v>
      </c>
      <c r="F44" s="104">
        <v>574.07630569071762</v>
      </c>
      <c r="G44" s="104">
        <v>574.07630569071762</v>
      </c>
    </row>
    <row r="45" spans="1:9" ht="15" customHeight="1">
      <c r="A45" s="102"/>
      <c r="B45" s="109" t="s">
        <v>114</v>
      </c>
      <c r="C45" s="110">
        <v>1534.0301558387728</v>
      </c>
      <c r="D45" s="110">
        <v>504.5212437908977</v>
      </c>
      <c r="E45" s="110">
        <v>187.03051501601595</v>
      </c>
      <c r="F45" s="110">
        <v>1615.4094545349535</v>
      </c>
      <c r="G45" s="110">
        <v>3840.9913691806405</v>
      </c>
    </row>
    <row r="46" spans="1:9" ht="15" customHeight="1">
      <c r="A46" s="102"/>
      <c r="B46" s="103" t="s">
        <v>199</v>
      </c>
      <c r="C46" s="104">
        <v>1572.2543779247453</v>
      </c>
      <c r="D46" s="104">
        <v>504.5212437908977</v>
      </c>
      <c r="E46" s="104">
        <v>187.03051501601595</v>
      </c>
      <c r="F46" s="104">
        <v>17968.534791067679</v>
      </c>
      <c r="G46" s="104">
        <v>20232.340927799338</v>
      </c>
    </row>
    <row r="47" spans="1:9" ht="15" customHeight="1" thickBot="1">
      <c r="A47" s="111"/>
      <c r="B47" s="112" t="s">
        <v>200</v>
      </c>
      <c r="C47" s="113">
        <v>50147.117290495131</v>
      </c>
      <c r="D47" s="113">
        <v>8100.6575442611665</v>
      </c>
      <c r="E47" s="113">
        <v>2555.6711348963681</v>
      </c>
      <c r="F47" s="113">
        <v>28163.411238316039</v>
      </c>
      <c r="G47" s="113">
        <v>88966.857207968715</v>
      </c>
    </row>
    <row r="48" spans="1:9" ht="15" customHeight="1" thickTop="1">
      <c r="A48" s="114" t="s">
        <v>201</v>
      </c>
    </row>
    <row r="49" spans="1:3" ht="15" customHeight="1">
      <c r="A49" s="115" t="s">
        <v>202</v>
      </c>
    </row>
    <row r="50" spans="1:3" ht="15" customHeight="1"/>
    <row r="51" spans="1:3" ht="15" customHeight="1">
      <c r="A51" s="116" t="s">
        <v>203</v>
      </c>
    </row>
    <row r="52" spans="1:3" ht="15" customHeight="1">
      <c r="A52" s="116" t="s">
        <v>204</v>
      </c>
      <c r="B52" s="116"/>
      <c r="C52" s="116"/>
    </row>
    <row r="53" spans="1:3" ht="15" customHeight="1"/>
    <row r="54" spans="1:3" ht="15" customHeight="1"/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 enableFormatConditionsCalculation="0">
    <pageSetUpPr fitToPage="1"/>
  </sheetPr>
  <dimension ref="A1:BM48"/>
  <sheetViews>
    <sheetView workbookViewId="0"/>
  </sheetViews>
  <sheetFormatPr baseColWidth="10" defaultColWidth="8.83203125" defaultRowHeight="12" x14ac:dyDescent="0"/>
  <cols>
    <col min="1" max="1" width="8.83203125" style="82"/>
    <col min="2" max="2" width="13.33203125" style="82" customWidth="1"/>
    <col min="3" max="3" width="16" style="82" customWidth="1"/>
    <col min="4" max="4" width="16.6640625" style="82" customWidth="1"/>
    <col min="5" max="5" width="18.6640625" style="82" customWidth="1"/>
    <col min="6" max="6" width="14.6640625" style="82" customWidth="1"/>
    <col min="7" max="7" width="10.83203125" style="82" customWidth="1"/>
    <col min="8" max="8" width="13.83203125" style="82" customWidth="1"/>
    <col min="9" max="10" width="12" style="82" customWidth="1"/>
    <col min="11" max="11" width="13.1640625" style="82" customWidth="1"/>
    <col min="12" max="12" width="11.6640625" style="82" customWidth="1"/>
    <col min="13" max="13" width="9.33203125" style="82" customWidth="1"/>
    <col min="14" max="257" width="8.83203125" style="82"/>
    <col min="258" max="258" width="13.33203125" style="82" customWidth="1"/>
    <col min="259" max="259" width="16" style="82" customWidth="1"/>
    <col min="260" max="260" width="16.6640625" style="82" customWidth="1"/>
    <col min="261" max="261" width="18.6640625" style="82" customWidth="1"/>
    <col min="262" max="262" width="14.6640625" style="82" customWidth="1"/>
    <col min="263" max="263" width="10.83203125" style="82" customWidth="1"/>
    <col min="264" max="264" width="13.83203125" style="82" customWidth="1"/>
    <col min="265" max="266" width="12" style="82" customWidth="1"/>
    <col min="267" max="267" width="13.1640625" style="82" customWidth="1"/>
    <col min="268" max="268" width="11.6640625" style="82" customWidth="1"/>
    <col min="269" max="269" width="9.33203125" style="82" customWidth="1"/>
    <col min="270" max="513" width="8.83203125" style="82"/>
    <col min="514" max="514" width="13.33203125" style="82" customWidth="1"/>
    <col min="515" max="515" width="16" style="82" customWidth="1"/>
    <col min="516" max="516" width="16.6640625" style="82" customWidth="1"/>
    <col min="517" max="517" width="18.6640625" style="82" customWidth="1"/>
    <col min="518" max="518" width="14.6640625" style="82" customWidth="1"/>
    <col min="519" max="519" width="10.83203125" style="82" customWidth="1"/>
    <col min="520" max="520" width="13.83203125" style="82" customWidth="1"/>
    <col min="521" max="522" width="12" style="82" customWidth="1"/>
    <col min="523" max="523" width="13.1640625" style="82" customWidth="1"/>
    <col min="524" max="524" width="11.6640625" style="82" customWidth="1"/>
    <col min="525" max="525" width="9.33203125" style="82" customWidth="1"/>
    <col min="526" max="769" width="8.83203125" style="82"/>
    <col min="770" max="770" width="13.33203125" style="82" customWidth="1"/>
    <col min="771" max="771" width="16" style="82" customWidth="1"/>
    <col min="772" max="772" width="16.6640625" style="82" customWidth="1"/>
    <col min="773" max="773" width="18.6640625" style="82" customWidth="1"/>
    <col min="774" max="774" width="14.6640625" style="82" customWidth="1"/>
    <col min="775" max="775" width="10.83203125" style="82" customWidth="1"/>
    <col min="776" max="776" width="13.83203125" style="82" customWidth="1"/>
    <col min="777" max="778" width="12" style="82" customWidth="1"/>
    <col min="779" max="779" width="13.1640625" style="82" customWidth="1"/>
    <col min="780" max="780" width="11.6640625" style="82" customWidth="1"/>
    <col min="781" max="781" width="9.33203125" style="82" customWidth="1"/>
    <col min="782" max="1025" width="8.83203125" style="82"/>
    <col min="1026" max="1026" width="13.33203125" style="82" customWidth="1"/>
    <col min="1027" max="1027" width="16" style="82" customWidth="1"/>
    <col min="1028" max="1028" width="16.6640625" style="82" customWidth="1"/>
    <col min="1029" max="1029" width="18.6640625" style="82" customWidth="1"/>
    <col min="1030" max="1030" width="14.6640625" style="82" customWidth="1"/>
    <col min="1031" max="1031" width="10.83203125" style="82" customWidth="1"/>
    <col min="1032" max="1032" width="13.83203125" style="82" customWidth="1"/>
    <col min="1033" max="1034" width="12" style="82" customWidth="1"/>
    <col min="1035" max="1035" width="13.1640625" style="82" customWidth="1"/>
    <col min="1036" max="1036" width="11.6640625" style="82" customWidth="1"/>
    <col min="1037" max="1037" width="9.33203125" style="82" customWidth="1"/>
    <col min="1038" max="1281" width="8.83203125" style="82"/>
    <col min="1282" max="1282" width="13.33203125" style="82" customWidth="1"/>
    <col min="1283" max="1283" width="16" style="82" customWidth="1"/>
    <col min="1284" max="1284" width="16.6640625" style="82" customWidth="1"/>
    <col min="1285" max="1285" width="18.6640625" style="82" customWidth="1"/>
    <col min="1286" max="1286" width="14.6640625" style="82" customWidth="1"/>
    <col min="1287" max="1287" width="10.83203125" style="82" customWidth="1"/>
    <col min="1288" max="1288" width="13.83203125" style="82" customWidth="1"/>
    <col min="1289" max="1290" width="12" style="82" customWidth="1"/>
    <col min="1291" max="1291" width="13.1640625" style="82" customWidth="1"/>
    <col min="1292" max="1292" width="11.6640625" style="82" customWidth="1"/>
    <col min="1293" max="1293" width="9.33203125" style="82" customWidth="1"/>
    <col min="1294" max="1537" width="8.83203125" style="82"/>
    <col min="1538" max="1538" width="13.33203125" style="82" customWidth="1"/>
    <col min="1539" max="1539" width="16" style="82" customWidth="1"/>
    <col min="1540" max="1540" width="16.6640625" style="82" customWidth="1"/>
    <col min="1541" max="1541" width="18.6640625" style="82" customWidth="1"/>
    <col min="1542" max="1542" width="14.6640625" style="82" customWidth="1"/>
    <col min="1543" max="1543" width="10.83203125" style="82" customWidth="1"/>
    <col min="1544" max="1544" width="13.83203125" style="82" customWidth="1"/>
    <col min="1545" max="1546" width="12" style="82" customWidth="1"/>
    <col min="1547" max="1547" width="13.1640625" style="82" customWidth="1"/>
    <col min="1548" max="1548" width="11.6640625" style="82" customWidth="1"/>
    <col min="1549" max="1549" width="9.33203125" style="82" customWidth="1"/>
    <col min="1550" max="1793" width="8.83203125" style="82"/>
    <col min="1794" max="1794" width="13.33203125" style="82" customWidth="1"/>
    <col min="1795" max="1795" width="16" style="82" customWidth="1"/>
    <col min="1796" max="1796" width="16.6640625" style="82" customWidth="1"/>
    <col min="1797" max="1797" width="18.6640625" style="82" customWidth="1"/>
    <col min="1798" max="1798" width="14.6640625" style="82" customWidth="1"/>
    <col min="1799" max="1799" width="10.83203125" style="82" customWidth="1"/>
    <col min="1800" max="1800" width="13.83203125" style="82" customWidth="1"/>
    <col min="1801" max="1802" width="12" style="82" customWidth="1"/>
    <col min="1803" max="1803" width="13.1640625" style="82" customWidth="1"/>
    <col min="1804" max="1804" width="11.6640625" style="82" customWidth="1"/>
    <col min="1805" max="1805" width="9.33203125" style="82" customWidth="1"/>
    <col min="1806" max="2049" width="8.83203125" style="82"/>
    <col min="2050" max="2050" width="13.33203125" style="82" customWidth="1"/>
    <col min="2051" max="2051" width="16" style="82" customWidth="1"/>
    <col min="2052" max="2052" width="16.6640625" style="82" customWidth="1"/>
    <col min="2053" max="2053" width="18.6640625" style="82" customWidth="1"/>
    <col min="2054" max="2054" width="14.6640625" style="82" customWidth="1"/>
    <col min="2055" max="2055" width="10.83203125" style="82" customWidth="1"/>
    <col min="2056" max="2056" width="13.83203125" style="82" customWidth="1"/>
    <col min="2057" max="2058" width="12" style="82" customWidth="1"/>
    <col min="2059" max="2059" width="13.1640625" style="82" customWidth="1"/>
    <col min="2060" max="2060" width="11.6640625" style="82" customWidth="1"/>
    <col min="2061" max="2061" width="9.33203125" style="82" customWidth="1"/>
    <col min="2062" max="2305" width="8.83203125" style="82"/>
    <col min="2306" max="2306" width="13.33203125" style="82" customWidth="1"/>
    <col min="2307" max="2307" width="16" style="82" customWidth="1"/>
    <col min="2308" max="2308" width="16.6640625" style="82" customWidth="1"/>
    <col min="2309" max="2309" width="18.6640625" style="82" customWidth="1"/>
    <col min="2310" max="2310" width="14.6640625" style="82" customWidth="1"/>
    <col min="2311" max="2311" width="10.83203125" style="82" customWidth="1"/>
    <col min="2312" max="2312" width="13.83203125" style="82" customWidth="1"/>
    <col min="2313" max="2314" width="12" style="82" customWidth="1"/>
    <col min="2315" max="2315" width="13.1640625" style="82" customWidth="1"/>
    <col min="2316" max="2316" width="11.6640625" style="82" customWidth="1"/>
    <col min="2317" max="2317" width="9.33203125" style="82" customWidth="1"/>
    <col min="2318" max="2561" width="8.83203125" style="82"/>
    <col min="2562" max="2562" width="13.33203125" style="82" customWidth="1"/>
    <col min="2563" max="2563" width="16" style="82" customWidth="1"/>
    <col min="2564" max="2564" width="16.6640625" style="82" customWidth="1"/>
    <col min="2565" max="2565" width="18.6640625" style="82" customWidth="1"/>
    <col min="2566" max="2566" width="14.6640625" style="82" customWidth="1"/>
    <col min="2567" max="2567" width="10.83203125" style="82" customWidth="1"/>
    <col min="2568" max="2568" width="13.83203125" style="82" customWidth="1"/>
    <col min="2569" max="2570" width="12" style="82" customWidth="1"/>
    <col min="2571" max="2571" width="13.1640625" style="82" customWidth="1"/>
    <col min="2572" max="2572" width="11.6640625" style="82" customWidth="1"/>
    <col min="2573" max="2573" width="9.33203125" style="82" customWidth="1"/>
    <col min="2574" max="2817" width="8.83203125" style="82"/>
    <col min="2818" max="2818" width="13.33203125" style="82" customWidth="1"/>
    <col min="2819" max="2819" width="16" style="82" customWidth="1"/>
    <col min="2820" max="2820" width="16.6640625" style="82" customWidth="1"/>
    <col min="2821" max="2821" width="18.6640625" style="82" customWidth="1"/>
    <col min="2822" max="2822" width="14.6640625" style="82" customWidth="1"/>
    <col min="2823" max="2823" width="10.83203125" style="82" customWidth="1"/>
    <col min="2824" max="2824" width="13.83203125" style="82" customWidth="1"/>
    <col min="2825" max="2826" width="12" style="82" customWidth="1"/>
    <col min="2827" max="2827" width="13.1640625" style="82" customWidth="1"/>
    <col min="2828" max="2828" width="11.6640625" style="82" customWidth="1"/>
    <col min="2829" max="2829" width="9.33203125" style="82" customWidth="1"/>
    <col min="2830" max="3073" width="8.83203125" style="82"/>
    <col min="3074" max="3074" width="13.33203125" style="82" customWidth="1"/>
    <col min="3075" max="3075" width="16" style="82" customWidth="1"/>
    <col min="3076" max="3076" width="16.6640625" style="82" customWidth="1"/>
    <col min="3077" max="3077" width="18.6640625" style="82" customWidth="1"/>
    <col min="3078" max="3078" width="14.6640625" style="82" customWidth="1"/>
    <col min="3079" max="3079" width="10.83203125" style="82" customWidth="1"/>
    <col min="3080" max="3080" width="13.83203125" style="82" customWidth="1"/>
    <col min="3081" max="3082" width="12" style="82" customWidth="1"/>
    <col min="3083" max="3083" width="13.1640625" style="82" customWidth="1"/>
    <col min="3084" max="3084" width="11.6640625" style="82" customWidth="1"/>
    <col min="3085" max="3085" width="9.33203125" style="82" customWidth="1"/>
    <col min="3086" max="3329" width="8.83203125" style="82"/>
    <col min="3330" max="3330" width="13.33203125" style="82" customWidth="1"/>
    <col min="3331" max="3331" width="16" style="82" customWidth="1"/>
    <col min="3332" max="3332" width="16.6640625" style="82" customWidth="1"/>
    <col min="3333" max="3333" width="18.6640625" style="82" customWidth="1"/>
    <col min="3334" max="3334" width="14.6640625" style="82" customWidth="1"/>
    <col min="3335" max="3335" width="10.83203125" style="82" customWidth="1"/>
    <col min="3336" max="3336" width="13.83203125" style="82" customWidth="1"/>
    <col min="3337" max="3338" width="12" style="82" customWidth="1"/>
    <col min="3339" max="3339" width="13.1640625" style="82" customWidth="1"/>
    <col min="3340" max="3340" width="11.6640625" style="82" customWidth="1"/>
    <col min="3341" max="3341" width="9.33203125" style="82" customWidth="1"/>
    <col min="3342" max="3585" width="8.83203125" style="82"/>
    <col min="3586" max="3586" width="13.33203125" style="82" customWidth="1"/>
    <col min="3587" max="3587" width="16" style="82" customWidth="1"/>
    <col min="3588" max="3588" width="16.6640625" style="82" customWidth="1"/>
    <col min="3589" max="3589" width="18.6640625" style="82" customWidth="1"/>
    <col min="3590" max="3590" width="14.6640625" style="82" customWidth="1"/>
    <col min="3591" max="3591" width="10.83203125" style="82" customWidth="1"/>
    <col min="3592" max="3592" width="13.83203125" style="82" customWidth="1"/>
    <col min="3593" max="3594" width="12" style="82" customWidth="1"/>
    <col min="3595" max="3595" width="13.1640625" style="82" customWidth="1"/>
    <col min="3596" max="3596" width="11.6640625" style="82" customWidth="1"/>
    <col min="3597" max="3597" width="9.33203125" style="82" customWidth="1"/>
    <col min="3598" max="3841" width="8.83203125" style="82"/>
    <col min="3842" max="3842" width="13.33203125" style="82" customWidth="1"/>
    <col min="3843" max="3843" width="16" style="82" customWidth="1"/>
    <col min="3844" max="3844" width="16.6640625" style="82" customWidth="1"/>
    <col min="3845" max="3845" width="18.6640625" style="82" customWidth="1"/>
    <col min="3846" max="3846" width="14.6640625" style="82" customWidth="1"/>
    <col min="3847" max="3847" width="10.83203125" style="82" customWidth="1"/>
    <col min="3848" max="3848" width="13.83203125" style="82" customWidth="1"/>
    <col min="3849" max="3850" width="12" style="82" customWidth="1"/>
    <col min="3851" max="3851" width="13.1640625" style="82" customWidth="1"/>
    <col min="3852" max="3852" width="11.6640625" style="82" customWidth="1"/>
    <col min="3853" max="3853" width="9.33203125" style="82" customWidth="1"/>
    <col min="3854" max="4097" width="8.83203125" style="82"/>
    <col min="4098" max="4098" width="13.33203125" style="82" customWidth="1"/>
    <col min="4099" max="4099" width="16" style="82" customWidth="1"/>
    <col min="4100" max="4100" width="16.6640625" style="82" customWidth="1"/>
    <col min="4101" max="4101" width="18.6640625" style="82" customWidth="1"/>
    <col min="4102" max="4102" width="14.6640625" style="82" customWidth="1"/>
    <col min="4103" max="4103" width="10.83203125" style="82" customWidth="1"/>
    <col min="4104" max="4104" width="13.83203125" style="82" customWidth="1"/>
    <col min="4105" max="4106" width="12" style="82" customWidth="1"/>
    <col min="4107" max="4107" width="13.1640625" style="82" customWidth="1"/>
    <col min="4108" max="4108" width="11.6640625" style="82" customWidth="1"/>
    <col min="4109" max="4109" width="9.33203125" style="82" customWidth="1"/>
    <col min="4110" max="4353" width="8.83203125" style="82"/>
    <col min="4354" max="4354" width="13.33203125" style="82" customWidth="1"/>
    <col min="4355" max="4355" width="16" style="82" customWidth="1"/>
    <col min="4356" max="4356" width="16.6640625" style="82" customWidth="1"/>
    <col min="4357" max="4357" width="18.6640625" style="82" customWidth="1"/>
    <col min="4358" max="4358" width="14.6640625" style="82" customWidth="1"/>
    <col min="4359" max="4359" width="10.83203125" style="82" customWidth="1"/>
    <col min="4360" max="4360" width="13.83203125" style="82" customWidth="1"/>
    <col min="4361" max="4362" width="12" style="82" customWidth="1"/>
    <col min="4363" max="4363" width="13.1640625" style="82" customWidth="1"/>
    <col min="4364" max="4364" width="11.6640625" style="82" customWidth="1"/>
    <col min="4365" max="4365" width="9.33203125" style="82" customWidth="1"/>
    <col min="4366" max="4609" width="8.83203125" style="82"/>
    <col min="4610" max="4610" width="13.33203125" style="82" customWidth="1"/>
    <col min="4611" max="4611" width="16" style="82" customWidth="1"/>
    <col min="4612" max="4612" width="16.6640625" style="82" customWidth="1"/>
    <col min="4613" max="4613" width="18.6640625" style="82" customWidth="1"/>
    <col min="4614" max="4614" width="14.6640625" style="82" customWidth="1"/>
    <col min="4615" max="4615" width="10.83203125" style="82" customWidth="1"/>
    <col min="4616" max="4616" width="13.83203125" style="82" customWidth="1"/>
    <col min="4617" max="4618" width="12" style="82" customWidth="1"/>
    <col min="4619" max="4619" width="13.1640625" style="82" customWidth="1"/>
    <col min="4620" max="4620" width="11.6640625" style="82" customWidth="1"/>
    <col min="4621" max="4621" width="9.33203125" style="82" customWidth="1"/>
    <col min="4622" max="4865" width="8.83203125" style="82"/>
    <col min="4866" max="4866" width="13.33203125" style="82" customWidth="1"/>
    <col min="4867" max="4867" width="16" style="82" customWidth="1"/>
    <col min="4868" max="4868" width="16.6640625" style="82" customWidth="1"/>
    <col min="4869" max="4869" width="18.6640625" style="82" customWidth="1"/>
    <col min="4870" max="4870" width="14.6640625" style="82" customWidth="1"/>
    <col min="4871" max="4871" width="10.83203125" style="82" customWidth="1"/>
    <col min="4872" max="4872" width="13.83203125" style="82" customWidth="1"/>
    <col min="4873" max="4874" width="12" style="82" customWidth="1"/>
    <col min="4875" max="4875" width="13.1640625" style="82" customWidth="1"/>
    <col min="4876" max="4876" width="11.6640625" style="82" customWidth="1"/>
    <col min="4877" max="4877" width="9.33203125" style="82" customWidth="1"/>
    <col min="4878" max="5121" width="8.83203125" style="82"/>
    <col min="5122" max="5122" width="13.33203125" style="82" customWidth="1"/>
    <col min="5123" max="5123" width="16" style="82" customWidth="1"/>
    <col min="5124" max="5124" width="16.6640625" style="82" customWidth="1"/>
    <col min="5125" max="5125" width="18.6640625" style="82" customWidth="1"/>
    <col min="5126" max="5126" width="14.6640625" style="82" customWidth="1"/>
    <col min="5127" max="5127" width="10.83203125" style="82" customWidth="1"/>
    <col min="5128" max="5128" width="13.83203125" style="82" customWidth="1"/>
    <col min="5129" max="5130" width="12" style="82" customWidth="1"/>
    <col min="5131" max="5131" width="13.1640625" style="82" customWidth="1"/>
    <col min="5132" max="5132" width="11.6640625" style="82" customWidth="1"/>
    <col min="5133" max="5133" width="9.33203125" style="82" customWidth="1"/>
    <col min="5134" max="5377" width="8.83203125" style="82"/>
    <col min="5378" max="5378" width="13.33203125" style="82" customWidth="1"/>
    <col min="5379" max="5379" width="16" style="82" customWidth="1"/>
    <col min="5380" max="5380" width="16.6640625" style="82" customWidth="1"/>
    <col min="5381" max="5381" width="18.6640625" style="82" customWidth="1"/>
    <col min="5382" max="5382" width="14.6640625" style="82" customWidth="1"/>
    <col min="5383" max="5383" width="10.83203125" style="82" customWidth="1"/>
    <col min="5384" max="5384" width="13.83203125" style="82" customWidth="1"/>
    <col min="5385" max="5386" width="12" style="82" customWidth="1"/>
    <col min="5387" max="5387" width="13.1640625" style="82" customWidth="1"/>
    <col min="5388" max="5388" width="11.6640625" style="82" customWidth="1"/>
    <col min="5389" max="5389" width="9.33203125" style="82" customWidth="1"/>
    <col min="5390" max="5633" width="8.83203125" style="82"/>
    <col min="5634" max="5634" width="13.33203125" style="82" customWidth="1"/>
    <col min="5635" max="5635" width="16" style="82" customWidth="1"/>
    <col min="5636" max="5636" width="16.6640625" style="82" customWidth="1"/>
    <col min="5637" max="5637" width="18.6640625" style="82" customWidth="1"/>
    <col min="5638" max="5638" width="14.6640625" style="82" customWidth="1"/>
    <col min="5639" max="5639" width="10.83203125" style="82" customWidth="1"/>
    <col min="5640" max="5640" width="13.83203125" style="82" customWidth="1"/>
    <col min="5641" max="5642" width="12" style="82" customWidth="1"/>
    <col min="5643" max="5643" width="13.1640625" style="82" customWidth="1"/>
    <col min="5644" max="5644" width="11.6640625" style="82" customWidth="1"/>
    <col min="5645" max="5645" width="9.33203125" style="82" customWidth="1"/>
    <col min="5646" max="5889" width="8.83203125" style="82"/>
    <col min="5890" max="5890" width="13.33203125" style="82" customWidth="1"/>
    <col min="5891" max="5891" width="16" style="82" customWidth="1"/>
    <col min="5892" max="5892" width="16.6640625" style="82" customWidth="1"/>
    <col min="5893" max="5893" width="18.6640625" style="82" customWidth="1"/>
    <col min="5894" max="5894" width="14.6640625" style="82" customWidth="1"/>
    <col min="5895" max="5895" width="10.83203125" style="82" customWidth="1"/>
    <col min="5896" max="5896" width="13.83203125" style="82" customWidth="1"/>
    <col min="5897" max="5898" width="12" style="82" customWidth="1"/>
    <col min="5899" max="5899" width="13.1640625" style="82" customWidth="1"/>
    <col min="5900" max="5900" width="11.6640625" style="82" customWidth="1"/>
    <col min="5901" max="5901" width="9.33203125" style="82" customWidth="1"/>
    <col min="5902" max="6145" width="8.83203125" style="82"/>
    <col min="6146" max="6146" width="13.33203125" style="82" customWidth="1"/>
    <col min="6147" max="6147" width="16" style="82" customWidth="1"/>
    <col min="6148" max="6148" width="16.6640625" style="82" customWidth="1"/>
    <col min="6149" max="6149" width="18.6640625" style="82" customWidth="1"/>
    <col min="6150" max="6150" width="14.6640625" style="82" customWidth="1"/>
    <col min="6151" max="6151" width="10.83203125" style="82" customWidth="1"/>
    <col min="6152" max="6152" width="13.83203125" style="82" customWidth="1"/>
    <col min="6153" max="6154" width="12" style="82" customWidth="1"/>
    <col min="6155" max="6155" width="13.1640625" style="82" customWidth="1"/>
    <col min="6156" max="6156" width="11.6640625" style="82" customWidth="1"/>
    <col min="6157" max="6157" width="9.33203125" style="82" customWidth="1"/>
    <col min="6158" max="6401" width="8.83203125" style="82"/>
    <col min="6402" max="6402" width="13.33203125" style="82" customWidth="1"/>
    <col min="6403" max="6403" width="16" style="82" customWidth="1"/>
    <col min="6404" max="6404" width="16.6640625" style="82" customWidth="1"/>
    <col min="6405" max="6405" width="18.6640625" style="82" customWidth="1"/>
    <col min="6406" max="6406" width="14.6640625" style="82" customWidth="1"/>
    <col min="6407" max="6407" width="10.83203125" style="82" customWidth="1"/>
    <col min="6408" max="6408" width="13.83203125" style="82" customWidth="1"/>
    <col min="6409" max="6410" width="12" style="82" customWidth="1"/>
    <col min="6411" max="6411" width="13.1640625" style="82" customWidth="1"/>
    <col min="6412" max="6412" width="11.6640625" style="82" customWidth="1"/>
    <col min="6413" max="6413" width="9.33203125" style="82" customWidth="1"/>
    <col min="6414" max="6657" width="8.83203125" style="82"/>
    <col min="6658" max="6658" width="13.33203125" style="82" customWidth="1"/>
    <col min="6659" max="6659" width="16" style="82" customWidth="1"/>
    <col min="6660" max="6660" width="16.6640625" style="82" customWidth="1"/>
    <col min="6661" max="6661" width="18.6640625" style="82" customWidth="1"/>
    <col min="6662" max="6662" width="14.6640625" style="82" customWidth="1"/>
    <col min="6663" max="6663" width="10.83203125" style="82" customWidth="1"/>
    <col min="6664" max="6664" width="13.83203125" style="82" customWidth="1"/>
    <col min="6665" max="6666" width="12" style="82" customWidth="1"/>
    <col min="6667" max="6667" width="13.1640625" style="82" customWidth="1"/>
    <col min="6668" max="6668" width="11.6640625" style="82" customWidth="1"/>
    <col min="6669" max="6669" width="9.33203125" style="82" customWidth="1"/>
    <col min="6670" max="6913" width="8.83203125" style="82"/>
    <col min="6914" max="6914" width="13.33203125" style="82" customWidth="1"/>
    <col min="6915" max="6915" width="16" style="82" customWidth="1"/>
    <col min="6916" max="6916" width="16.6640625" style="82" customWidth="1"/>
    <col min="6917" max="6917" width="18.6640625" style="82" customWidth="1"/>
    <col min="6918" max="6918" width="14.6640625" style="82" customWidth="1"/>
    <col min="6919" max="6919" width="10.83203125" style="82" customWidth="1"/>
    <col min="6920" max="6920" width="13.83203125" style="82" customWidth="1"/>
    <col min="6921" max="6922" width="12" style="82" customWidth="1"/>
    <col min="6923" max="6923" width="13.1640625" style="82" customWidth="1"/>
    <col min="6924" max="6924" width="11.6640625" style="82" customWidth="1"/>
    <col min="6925" max="6925" width="9.33203125" style="82" customWidth="1"/>
    <col min="6926" max="7169" width="8.83203125" style="82"/>
    <col min="7170" max="7170" width="13.33203125" style="82" customWidth="1"/>
    <col min="7171" max="7171" width="16" style="82" customWidth="1"/>
    <col min="7172" max="7172" width="16.6640625" style="82" customWidth="1"/>
    <col min="7173" max="7173" width="18.6640625" style="82" customWidth="1"/>
    <col min="7174" max="7174" width="14.6640625" style="82" customWidth="1"/>
    <col min="7175" max="7175" width="10.83203125" style="82" customWidth="1"/>
    <col min="7176" max="7176" width="13.83203125" style="82" customWidth="1"/>
    <col min="7177" max="7178" width="12" style="82" customWidth="1"/>
    <col min="7179" max="7179" width="13.1640625" style="82" customWidth="1"/>
    <col min="7180" max="7180" width="11.6640625" style="82" customWidth="1"/>
    <col min="7181" max="7181" width="9.33203125" style="82" customWidth="1"/>
    <col min="7182" max="7425" width="8.83203125" style="82"/>
    <col min="7426" max="7426" width="13.33203125" style="82" customWidth="1"/>
    <col min="7427" max="7427" width="16" style="82" customWidth="1"/>
    <col min="7428" max="7428" width="16.6640625" style="82" customWidth="1"/>
    <col min="7429" max="7429" width="18.6640625" style="82" customWidth="1"/>
    <col min="7430" max="7430" width="14.6640625" style="82" customWidth="1"/>
    <col min="7431" max="7431" width="10.83203125" style="82" customWidth="1"/>
    <col min="7432" max="7432" width="13.83203125" style="82" customWidth="1"/>
    <col min="7433" max="7434" width="12" style="82" customWidth="1"/>
    <col min="7435" max="7435" width="13.1640625" style="82" customWidth="1"/>
    <col min="7436" max="7436" width="11.6640625" style="82" customWidth="1"/>
    <col min="7437" max="7437" width="9.33203125" style="82" customWidth="1"/>
    <col min="7438" max="7681" width="8.83203125" style="82"/>
    <col min="7682" max="7682" width="13.33203125" style="82" customWidth="1"/>
    <col min="7683" max="7683" width="16" style="82" customWidth="1"/>
    <col min="7684" max="7684" width="16.6640625" style="82" customWidth="1"/>
    <col min="7685" max="7685" width="18.6640625" style="82" customWidth="1"/>
    <col min="7686" max="7686" width="14.6640625" style="82" customWidth="1"/>
    <col min="7687" max="7687" width="10.83203125" style="82" customWidth="1"/>
    <col min="7688" max="7688" width="13.83203125" style="82" customWidth="1"/>
    <col min="7689" max="7690" width="12" style="82" customWidth="1"/>
    <col min="7691" max="7691" width="13.1640625" style="82" customWidth="1"/>
    <col min="7692" max="7692" width="11.6640625" style="82" customWidth="1"/>
    <col min="7693" max="7693" width="9.33203125" style="82" customWidth="1"/>
    <col min="7694" max="7937" width="8.83203125" style="82"/>
    <col min="7938" max="7938" width="13.33203125" style="82" customWidth="1"/>
    <col min="7939" max="7939" width="16" style="82" customWidth="1"/>
    <col min="7940" max="7940" width="16.6640625" style="82" customWidth="1"/>
    <col min="7941" max="7941" width="18.6640625" style="82" customWidth="1"/>
    <col min="7942" max="7942" width="14.6640625" style="82" customWidth="1"/>
    <col min="7943" max="7943" width="10.83203125" style="82" customWidth="1"/>
    <col min="7944" max="7944" width="13.83203125" style="82" customWidth="1"/>
    <col min="7945" max="7946" width="12" style="82" customWidth="1"/>
    <col min="7947" max="7947" width="13.1640625" style="82" customWidth="1"/>
    <col min="7948" max="7948" width="11.6640625" style="82" customWidth="1"/>
    <col min="7949" max="7949" width="9.33203125" style="82" customWidth="1"/>
    <col min="7950" max="8193" width="8.83203125" style="82"/>
    <col min="8194" max="8194" width="13.33203125" style="82" customWidth="1"/>
    <col min="8195" max="8195" width="16" style="82" customWidth="1"/>
    <col min="8196" max="8196" width="16.6640625" style="82" customWidth="1"/>
    <col min="8197" max="8197" width="18.6640625" style="82" customWidth="1"/>
    <col min="8198" max="8198" width="14.6640625" style="82" customWidth="1"/>
    <col min="8199" max="8199" width="10.83203125" style="82" customWidth="1"/>
    <col min="8200" max="8200" width="13.83203125" style="82" customWidth="1"/>
    <col min="8201" max="8202" width="12" style="82" customWidth="1"/>
    <col min="8203" max="8203" width="13.1640625" style="82" customWidth="1"/>
    <col min="8204" max="8204" width="11.6640625" style="82" customWidth="1"/>
    <col min="8205" max="8205" width="9.33203125" style="82" customWidth="1"/>
    <col min="8206" max="8449" width="8.83203125" style="82"/>
    <col min="8450" max="8450" width="13.33203125" style="82" customWidth="1"/>
    <col min="8451" max="8451" width="16" style="82" customWidth="1"/>
    <col min="8452" max="8452" width="16.6640625" style="82" customWidth="1"/>
    <col min="8453" max="8453" width="18.6640625" style="82" customWidth="1"/>
    <col min="8454" max="8454" width="14.6640625" style="82" customWidth="1"/>
    <col min="8455" max="8455" width="10.83203125" style="82" customWidth="1"/>
    <col min="8456" max="8456" width="13.83203125" style="82" customWidth="1"/>
    <col min="8457" max="8458" width="12" style="82" customWidth="1"/>
    <col min="8459" max="8459" width="13.1640625" style="82" customWidth="1"/>
    <col min="8460" max="8460" width="11.6640625" style="82" customWidth="1"/>
    <col min="8461" max="8461" width="9.33203125" style="82" customWidth="1"/>
    <col min="8462" max="8705" width="8.83203125" style="82"/>
    <col min="8706" max="8706" width="13.33203125" style="82" customWidth="1"/>
    <col min="8707" max="8707" width="16" style="82" customWidth="1"/>
    <col min="8708" max="8708" width="16.6640625" style="82" customWidth="1"/>
    <col min="8709" max="8709" width="18.6640625" style="82" customWidth="1"/>
    <col min="8710" max="8710" width="14.6640625" style="82" customWidth="1"/>
    <col min="8711" max="8711" width="10.83203125" style="82" customWidth="1"/>
    <col min="8712" max="8712" width="13.83203125" style="82" customWidth="1"/>
    <col min="8713" max="8714" width="12" style="82" customWidth="1"/>
    <col min="8715" max="8715" width="13.1640625" style="82" customWidth="1"/>
    <col min="8716" max="8716" width="11.6640625" style="82" customWidth="1"/>
    <col min="8717" max="8717" width="9.33203125" style="82" customWidth="1"/>
    <col min="8718" max="8961" width="8.83203125" style="82"/>
    <col min="8962" max="8962" width="13.33203125" style="82" customWidth="1"/>
    <col min="8963" max="8963" width="16" style="82" customWidth="1"/>
    <col min="8964" max="8964" width="16.6640625" style="82" customWidth="1"/>
    <col min="8965" max="8965" width="18.6640625" style="82" customWidth="1"/>
    <col min="8966" max="8966" width="14.6640625" style="82" customWidth="1"/>
    <col min="8967" max="8967" width="10.83203125" style="82" customWidth="1"/>
    <col min="8968" max="8968" width="13.83203125" style="82" customWidth="1"/>
    <col min="8969" max="8970" width="12" style="82" customWidth="1"/>
    <col min="8971" max="8971" width="13.1640625" style="82" customWidth="1"/>
    <col min="8972" max="8972" width="11.6640625" style="82" customWidth="1"/>
    <col min="8973" max="8973" width="9.33203125" style="82" customWidth="1"/>
    <col min="8974" max="9217" width="8.83203125" style="82"/>
    <col min="9218" max="9218" width="13.33203125" style="82" customWidth="1"/>
    <col min="9219" max="9219" width="16" style="82" customWidth="1"/>
    <col min="9220" max="9220" width="16.6640625" style="82" customWidth="1"/>
    <col min="9221" max="9221" width="18.6640625" style="82" customWidth="1"/>
    <col min="9222" max="9222" width="14.6640625" style="82" customWidth="1"/>
    <col min="9223" max="9223" width="10.83203125" style="82" customWidth="1"/>
    <col min="9224" max="9224" width="13.83203125" style="82" customWidth="1"/>
    <col min="9225" max="9226" width="12" style="82" customWidth="1"/>
    <col min="9227" max="9227" width="13.1640625" style="82" customWidth="1"/>
    <col min="9228" max="9228" width="11.6640625" style="82" customWidth="1"/>
    <col min="9229" max="9229" width="9.33203125" style="82" customWidth="1"/>
    <col min="9230" max="9473" width="8.83203125" style="82"/>
    <col min="9474" max="9474" width="13.33203125" style="82" customWidth="1"/>
    <col min="9475" max="9475" width="16" style="82" customWidth="1"/>
    <col min="9476" max="9476" width="16.6640625" style="82" customWidth="1"/>
    <col min="9477" max="9477" width="18.6640625" style="82" customWidth="1"/>
    <col min="9478" max="9478" width="14.6640625" style="82" customWidth="1"/>
    <col min="9479" max="9479" width="10.83203125" style="82" customWidth="1"/>
    <col min="9480" max="9480" width="13.83203125" style="82" customWidth="1"/>
    <col min="9481" max="9482" width="12" style="82" customWidth="1"/>
    <col min="9483" max="9483" width="13.1640625" style="82" customWidth="1"/>
    <col min="9484" max="9484" width="11.6640625" style="82" customWidth="1"/>
    <col min="9485" max="9485" width="9.33203125" style="82" customWidth="1"/>
    <col min="9486" max="9729" width="8.83203125" style="82"/>
    <col min="9730" max="9730" width="13.33203125" style="82" customWidth="1"/>
    <col min="9731" max="9731" width="16" style="82" customWidth="1"/>
    <col min="9732" max="9732" width="16.6640625" style="82" customWidth="1"/>
    <col min="9733" max="9733" width="18.6640625" style="82" customWidth="1"/>
    <col min="9734" max="9734" width="14.6640625" style="82" customWidth="1"/>
    <col min="9735" max="9735" width="10.83203125" style="82" customWidth="1"/>
    <col min="9736" max="9736" width="13.83203125" style="82" customWidth="1"/>
    <col min="9737" max="9738" width="12" style="82" customWidth="1"/>
    <col min="9739" max="9739" width="13.1640625" style="82" customWidth="1"/>
    <col min="9740" max="9740" width="11.6640625" style="82" customWidth="1"/>
    <col min="9741" max="9741" width="9.33203125" style="82" customWidth="1"/>
    <col min="9742" max="9985" width="8.83203125" style="82"/>
    <col min="9986" max="9986" width="13.33203125" style="82" customWidth="1"/>
    <col min="9987" max="9987" width="16" style="82" customWidth="1"/>
    <col min="9988" max="9988" width="16.6640625" style="82" customWidth="1"/>
    <col min="9989" max="9989" width="18.6640625" style="82" customWidth="1"/>
    <col min="9990" max="9990" width="14.6640625" style="82" customWidth="1"/>
    <col min="9991" max="9991" width="10.83203125" style="82" customWidth="1"/>
    <col min="9992" max="9992" width="13.83203125" style="82" customWidth="1"/>
    <col min="9993" max="9994" width="12" style="82" customWidth="1"/>
    <col min="9995" max="9995" width="13.1640625" style="82" customWidth="1"/>
    <col min="9996" max="9996" width="11.6640625" style="82" customWidth="1"/>
    <col min="9997" max="9997" width="9.33203125" style="82" customWidth="1"/>
    <col min="9998" max="10241" width="8.83203125" style="82"/>
    <col min="10242" max="10242" width="13.33203125" style="82" customWidth="1"/>
    <col min="10243" max="10243" width="16" style="82" customWidth="1"/>
    <col min="10244" max="10244" width="16.6640625" style="82" customWidth="1"/>
    <col min="10245" max="10245" width="18.6640625" style="82" customWidth="1"/>
    <col min="10246" max="10246" width="14.6640625" style="82" customWidth="1"/>
    <col min="10247" max="10247" width="10.83203125" style="82" customWidth="1"/>
    <col min="10248" max="10248" width="13.83203125" style="82" customWidth="1"/>
    <col min="10249" max="10250" width="12" style="82" customWidth="1"/>
    <col min="10251" max="10251" width="13.1640625" style="82" customWidth="1"/>
    <col min="10252" max="10252" width="11.6640625" style="82" customWidth="1"/>
    <col min="10253" max="10253" width="9.33203125" style="82" customWidth="1"/>
    <col min="10254" max="10497" width="8.83203125" style="82"/>
    <col min="10498" max="10498" width="13.33203125" style="82" customWidth="1"/>
    <col min="10499" max="10499" width="16" style="82" customWidth="1"/>
    <col min="10500" max="10500" width="16.6640625" style="82" customWidth="1"/>
    <col min="10501" max="10501" width="18.6640625" style="82" customWidth="1"/>
    <col min="10502" max="10502" width="14.6640625" style="82" customWidth="1"/>
    <col min="10503" max="10503" width="10.83203125" style="82" customWidth="1"/>
    <col min="10504" max="10504" width="13.83203125" style="82" customWidth="1"/>
    <col min="10505" max="10506" width="12" style="82" customWidth="1"/>
    <col min="10507" max="10507" width="13.1640625" style="82" customWidth="1"/>
    <col min="10508" max="10508" width="11.6640625" style="82" customWidth="1"/>
    <col min="10509" max="10509" width="9.33203125" style="82" customWidth="1"/>
    <col min="10510" max="10753" width="8.83203125" style="82"/>
    <col min="10754" max="10754" width="13.33203125" style="82" customWidth="1"/>
    <col min="10755" max="10755" width="16" style="82" customWidth="1"/>
    <col min="10756" max="10756" width="16.6640625" style="82" customWidth="1"/>
    <col min="10757" max="10757" width="18.6640625" style="82" customWidth="1"/>
    <col min="10758" max="10758" width="14.6640625" style="82" customWidth="1"/>
    <col min="10759" max="10759" width="10.83203125" style="82" customWidth="1"/>
    <col min="10760" max="10760" width="13.83203125" style="82" customWidth="1"/>
    <col min="10761" max="10762" width="12" style="82" customWidth="1"/>
    <col min="10763" max="10763" width="13.1640625" style="82" customWidth="1"/>
    <col min="10764" max="10764" width="11.6640625" style="82" customWidth="1"/>
    <col min="10765" max="10765" width="9.33203125" style="82" customWidth="1"/>
    <col min="10766" max="11009" width="8.83203125" style="82"/>
    <col min="11010" max="11010" width="13.33203125" style="82" customWidth="1"/>
    <col min="11011" max="11011" width="16" style="82" customWidth="1"/>
    <col min="11012" max="11012" width="16.6640625" style="82" customWidth="1"/>
    <col min="11013" max="11013" width="18.6640625" style="82" customWidth="1"/>
    <col min="11014" max="11014" width="14.6640625" style="82" customWidth="1"/>
    <col min="11015" max="11015" width="10.83203125" style="82" customWidth="1"/>
    <col min="11016" max="11016" width="13.83203125" style="82" customWidth="1"/>
    <col min="11017" max="11018" width="12" style="82" customWidth="1"/>
    <col min="11019" max="11019" width="13.1640625" style="82" customWidth="1"/>
    <col min="11020" max="11020" width="11.6640625" style="82" customWidth="1"/>
    <col min="11021" max="11021" width="9.33203125" style="82" customWidth="1"/>
    <col min="11022" max="11265" width="8.83203125" style="82"/>
    <col min="11266" max="11266" width="13.33203125" style="82" customWidth="1"/>
    <col min="11267" max="11267" width="16" style="82" customWidth="1"/>
    <col min="11268" max="11268" width="16.6640625" style="82" customWidth="1"/>
    <col min="11269" max="11269" width="18.6640625" style="82" customWidth="1"/>
    <col min="11270" max="11270" width="14.6640625" style="82" customWidth="1"/>
    <col min="11271" max="11271" width="10.83203125" style="82" customWidth="1"/>
    <col min="11272" max="11272" width="13.83203125" style="82" customWidth="1"/>
    <col min="11273" max="11274" width="12" style="82" customWidth="1"/>
    <col min="11275" max="11275" width="13.1640625" style="82" customWidth="1"/>
    <col min="11276" max="11276" width="11.6640625" style="82" customWidth="1"/>
    <col min="11277" max="11277" width="9.33203125" style="82" customWidth="1"/>
    <col min="11278" max="11521" width="8.83203125" style="82"/>
    <col min="11522" max="11522" width="13.33203125" style="82" customWidth="1"/>
    <col min="11523" max="11523" width="16" style="82" customWidth="1"/>
    <col min="11524" max="11524" width="16.6640625" style="82" customWidth="1"/>
    <col min="11525" max="11525" width="18.6640625" style="82" customWidth="1"/>
    <col min="11526" max="11526" width="14.6640625" style="82" customWidth="1"/>
    <col min="11527" max="11527" width="10.83203125" style="82" customWidth="1"/>
    <col min="11528" max="11528" width="13.83203125" style="82" customWidth="1"/>
    <col min="11529" max="11530" width="12" style="82" customWidth="1"/>
    <col min="11531" max="11531" width="13.1640625" style="82" customWidth="1"/>
    <col min="11532" max="11532" width="11.6640625" style="82" customWidth="1"/>
    <col min="11533" max="11533" width="9.33203125" style="82" customWidth="1"/>
    <col min="11534" max="11777" width="8.83203125" style="82"/>
    <col min="11778" max="11778" width="13.33203125" style="82" customWidth="1"/>
    <col min="11779" max="11779" width="16" style="82" customWidth="1"/>
    <col min="11780" max="11780" width="16.6640625" style="82" customWidth="1"/>
    <col min="11781" max="11781" width="18.6640625" style="82" customWidth="1"/>
    <col min="11782" max="11782" width="14.6640625" style="82" customWidth="1"/>
    <col min="11783" max="11783" width="10.83203125" style="82" customWidth="1"/>
    <col min="11784" max="11784" width="13.83203125" style="82" customWidth="1"/>
    <col min="11785" max="11786" width="12" style="82" customWidth="1"/>
    <col min="11787" max="11787" width="13.1640625" style="82" customWidth="1"/>
    <col min="11788" max="11788" width="11.6640625" style="82" customWidth="1"/>
    <col min="11789" max="11789" width="9.33203125" style="82" customWidth="1"/>
    <col min="11790" max="12033" width="8.83203125" style="82"/>
    <col min="12034" max="12034" width="13.33203125" style="82" customWidth="1"/>
    <col min="12035" max="12035" width="16" style="82" customWidth="1"/>
    <col min="12036" max="12036" width="16.6640625" style="82" customWidth="1"/>
    <col min="12037" max="12037" width="18.6640625" style="82" customWidth="1"/>
    <col min="12038" max="12038" width="14.6640625" style="82" customWidth="1"/>
    <col min="12039" max="12039" width="10.83203125" style="82" customWidth="1"/>
    <col min="12040" max="12040" width="13.83203125" style="82" customWidth="1"/>
    <col min="12041" max="12042" width="12" style="82" customWidth="1"/>
    <col min="12043" max="12043" width="13.1640625" style="82" customWidth="1"/>
    <col min="12044" max="12044" width="11.6640625" style="82" customWidth="1"/>
    <col min="12045" max="12045" width="9.33203125" style="82" customWidth="1"/>
    <col min="12046" max="12289" width="8.83203125" style="82"/>
    <col min="12290" max="12290" width="13.33203125" style="82" customWidth="1"/>
    <col min="12291" max="12291" width="16" style="82" customWidth="1"/>
    <col min="12292" max="12292" width="16.6640625" style="82" customWidth="1"/>
    <col min="12293" max="12293" width="18.6640625" style="82" customWidth="1"/>
    <col min="12294" max="12294" width="14.6640625" style="82" customWidth="1"/>
    <col min="12295" max="12295" width="10.83203125" style="82" customWidth="1"/>
    <col min="12296" max="12296" width="13.83203125" style="82" customWidth="1"/>
    <col min="12297" max="12298" width="12" style="82" customWidth="1"/>
    <col min="12299" max="12299" width="13.1640625" style="82" customWidth="1"/>
    <col min="12300" max="12300" width="11.6640625" style="82" customWidth="1"/>
    <col min="12301" max="12301" width="9.33203125" style="82" customWidth="1"/>
    <col min="12302" max="12545" width="8.83203125" style="82"/>
    <col min="12546" max="12546" width="13.33203125" style="82" customWidth="1"/>
    <col min="12547" max="12547" width="16" style="82" customWidth="1"/>
    <col min="12548" max="12548" width="16.6640625" style="82" customWidth="1"/>
    <col min="12549" max="12549" width="18.6640625" style="82" customWidth="1"/>
    <col min="12550" max="12550" width="14.6640625" style="82" customWidth="1"/>
    <col min="12551" max="12551" width="10.83203125" style="82" customWidth="1"/>
    <col min="12552" max="12552" width="13.83203125" style="82" customWidth="1"/>
    <col min="12553" max="12554" width="12" style="82" customWidth="1"/>
    <col min="12555" max="12555" width="13.1640625" style="82" customWidth="1"/>
    <col min="12556" max="12556" width="11.6640625" style="82" customWidth="1"/>
    <col min="12557" max="12557" width="9.33203125" style="82" customWidth="1"/>
    <col min="12558" max="12801" width="8.83203125" style="82"/>
    <col min="12802" max="12802" width="13.33203125" style="82" customWidth="1"/>
    <col min="12803" max="12803" width="16" style="82" customWidth="1"/>
    <col min="12804" max="12804" width="16.6640625" style="82" customWidth="1"/>
    <col min="12805" max="12805" width="18.6640625" style="82" customWidth="1"/>
    <col min="12806" max="12806" width="14.6640625" style="82" customWidth="1"/>
    <col min="12807" max="12807" width="10.83203125" style="82" customWidth="1"/>
    <col min="12808" max="12808" width="13.83203125" style="82" customWidth="1"/>
    <col min="12809" max="12810" width="12" style="82" customWidth="1"/>
    <col min="12811" max="12811" width="13.1640625" style="82" customWidth="1"/>
    <col min="12812" max="12812" width="11.6640625" style="82" customWidth="1"/>
    <col min="12813" max="12813" width="9.33203125" style="82" customWidth="1"/>
    <col min="12814" max="13057" width="8.83203125" style="82"/>
    <col min="13058" max="13058" width="13.33203125" style="82" customWidth="1"/>
    <col min="13059" max="13059" width="16" style="82" customWidth="1"/>
    <col min="13060" max="13060" width="16.6640625" style="82" customWidth="1"/>
    <col min="13061" max="13061" width="18.6640625" style="82" customWidth="1"/>
    <col min="13062" max="13062" width="14.6640625" style="82" customWidth="1"/>
    <col min="13063" max="13063" width="10.83203125" style="82" customWidth="1"/>
    <col min="13064" max="13064" width="13.83203125" style="82" customWidth="1"/>
    <col min="13065" max="13066" width="12" style="82" customWidth="1"/>
    <col min="13067" max="13067" width="13.1640625" style="82" customWidth="1"/>
    <col min="13068" max="13068" width="11.6640625" style="82" customWidth="1"/>
    <col min="13069" max="13069" width="9.33203125" style="82" customWidth="1"/>
    <col min="13070" max="13313" width="8.83203125" style="82"/>
    <col min="13314" max="13314" width="13.33203125" style="82" customWidth="1"/>
    <col min="13315" max="13315" width="16" style="82" customWidth="1"/>
    <col min="13316" max="13316" width="16.6640625" style="82" customWidth="1"/>
    <col min="13317" max="13317" width="18.6640625" style="82" customWidth="1"/>
    <col min="13318" max="13318" width="14.6640625" style="82" customWidth="1"/>
    <col min="13319" max="13319" width="10.83203125" style="82" customWidth="1"/>
    <col min="13320" max="13320" width="13.83203125" style="82" customWidth="1"/>
    <col min="13321" max="13322" width="12" style="82" customWidth="1"/>
    <col min="13323" max="13323" width="13.1640625" style="82" customWidth="1"/>
    <col min="13324" max="13324" width="11.6640625" style="82" customWidth="1"/>
    <col min="13325" max="13325" width="9.33203125" style="82" customWidth="1"/>
    <col min="13326" max="13569" width="8.83203125" style="82"/>
    <col min="13570" max="13570" width="13.33203125" style="82" customWidth="1"/>
    <col min="13571" max="13571" width="16" style="82" customWidth="1"/>
    <col min="13572" max="13572" width="16.6640625" style="82" customWidth="1"/>
    <col min="13573" max="13573" width="18.6640625" style="82" customWidth="1"/>
    <col min="13574" max="13574" width="14.6640625" style="82" customWidth="1"/>
    <col min="13575" max="13575" width="10.83203125" style="82" customWidth="1"/>
    <col min="13576" max="13576" width="13.83203125" style="82" customWidth="1"/>
    <col min="13577" max="13578" width="12" style="82" customWidth="1"/>
    <col min="13579" max="13579" width="13.1640625" style="82" customWidth="1"/>
    <col min="13580" max="13580" width="11.6640625" style="82" customWidth="1"/>
    <col min="13581" max="13581" width="9.33203125" style="82" customWidth="1"/>
    <col min="13582" max="13825" width="8.83203125" style="82"/>
    <col min="13826" max="13826" width="13.33203125" style="82" customWidth="1"/>
    <col min="13827" max="13827" width="16" style="82" customWidth="1"/>
    <col min="13828" max="13828" width="16.6640625" style="82" customWidth="1"/>
    <col min="13829" max="13829" width="18.6640625" style="82" customWidth="1"/>
    <col min="13830" max="13830" width="14.6640625" style="82" customWidth="1"/>
    <col min="13831" max="13831" width="10.83203125" style="82" customWidth="1"/>
    <col min="13832" max="13832" width="13.83203125" style="82" customWidth="1"/>
    <col min="13833" max="13834" width="12" style="82" customWidth="1"/>
    <col min="13835" max="13835" width="13.1640625" style="82" customWidth="1"/>
    <col min="13836" max="13836" width="11.6640625" style="82" customWidth="1"/>
    <col min="13837" max="13837" width="9.33203125" style="82" customWidth="1"/>
    <col min="13838" max="14081" width="8.83203125" style="82"/>
    <col min="14082" max="14082" width="13.33203125" style="82" customWidth="1"/>
    <col min="14083" max="14083" width="16" style="82" customWidth="1"/>
    <col min="14084" max="14084" width="16.6640625" style="82" customWidth="1"/>
    <col min="14085" max="14085" width="18.6640625" style="82" customWidth="1"/>
    <col min="14086" max="14086" width="14.6640625" style="82" customWidth="1"/>
    <col min="14087" max="14087" width="10.83203125" style="82" customWidth="1"/>
    <col min="14088" max="14088" width="13.83203125" style="82" customWidth="1"/>
    <col min="14089" max="14090" width="12" style="82" customWidth="1"/>
    <col min="14091" max="14091" width="13.1640625" style="82" customWidth="1"/>
    <col min="14092" max="14092" width="11.6640625" style="82" customWidth="1"/>
    <col min="14093" max="14093" width="9.33203125" style="82" customWidth="1"/>
    <col min="14094" max="14337" width="8.83203125" style="82"/>
    <col min="14338" max="14338" width="13.33203125" style="82" customWidth="1"/>
    <col min="14339" max="14339" width="16" style="82" customWidth="1"/>
    <col min="14340" max="14340" width="16.6640625" style="82" customWidth="1"/>
    <col min="14341" max="14341" width="18.6640625" style="82" customWidth="1"/>
    <col min="14342" max="14342" width="14.6640625" style="82" customWidth="1"/>
    <col min="14343" max="14343" width="10.83203125" style="82" customWidth="1"/>
    <col min="14344" max="14344" width="13.83203125" style="82" customWidth="1"/>
    <col min="14345" max="14346" width="12" style="82" customWidth="1"/>
    <col min="14347" max="14347" width="13.1640625" style="82" customWidth="1"/>
    <col min="14348" max="14348" width="11.6640625" style="82" customWidth="1"/>
    <col min="14349" max="14349" width="9.33203125" style="82" customWidth="1"/>
    <col min="14350" max="14593" width="8.83203125" style="82"/>
    <col min="14594" max="14594" width="13.33203125" style="82" customWidth="1"/>
    <col min="14595" max="14595" width="16" style="82" customWidth="1"/>
    <col min="14596" max="14596" width="16.6640625" style="82" customWidth="1"/>
    <col min="14597" max="14597" width="18.6640625" style="82" customWidth="1"/>
    <col min="14598" max="14598" width="14.6640625" style="82" customWidth="1"/>
    <col min="14599" max="14599" width="10.83203125" style="82" customWidth="1"/>
    <col min="14600" max="14600" width="13.83203125" style="82" customWidth="1"/>
    <col min="14601" max="14602" width="12" style="82" customWidth="1"/>
    <col min="14603" max="14603" width="13.1640625" style="82" customWidth="1"/>
    <col min="14604" max="14604" width="11.6640625" style="82" customWidth="1"/>
    <col min="14605" max="14605" width="9.33203125" style="82" customWidth="1"/>
    <col min="14606" max="14849" width="8.83203125" style="82"/>
    <col min="14850" max="14850" width="13.33203125" style="82" customWidth="1"/>
    <col min="14851" max="14851" width="16" style="82" customWidth="1"/>
    <col min="14852" max="14852" width="16.6640625" style="82" customWidth="1"/>
    <col min="14853" max="14853" width="18.6640625" style="82" customWidth="1"/>
    <col min="14854" max="14854" width="14.6640625" style="82" customWidth="1"/>
    <col min="14855" max="14855" width="10.83203125" style="82" customWidth="1"/>
    <col min="14856" max="14856" width="13.83203125" style="82" customWidth="1"/>
    <col min="14857" max="14858" width="12" style="82" customWidth="1"/>
    <col min="14859" max="14859" width="13.1640625" style="82" customWidth="1"/>
    <col min="14860" max="14860" width="11.6640625" style="82" customWidth="1"/>
    <col min="14861" max="14861" width="9.33203125" style="82" customWidth="1"/>
    <col min="14862" max="15105" width="8.83203125" style="82"/>
    <col min="15106" max="15106" width="13.33203125" style="82" customWidth="1"/>
    <col min="15107" max="15107" width="16" style="82" customWidth="1"/>
    <col min="15108" max="15108" width="16.6640625" style="82" customWidth="1"/>
    <col min="15109" max="15109" width="18.6640625" style="82" customWidth="1"/>
    <col min="15110" max="15110" width="14.6640625" style="82" customWidth="1"/>
    <col min="15111" max="15111" width="10.83203125" style="82" customWidth="1"/>
    <col min="15112" max="15112" width="13.83203125" style="82" customWidth="1"/>
    <col min="15113" max="15114" width="12" style="82" customWidth="1"/>
    <col min="15115" max="15115" width="13.1640625" style="82" customWidth="1"/>
    <col min="15116" max="15116" width="11.6640625" style="82" customWidth="1"/>
    <col min="15117" max="15117" width="9.33203125" style="82" customWidth="1"/>
    <col min="15118" max="15361" width="8.83203125" style="82"/>
    <col min="15362" max="15362" width="13.33203125" style="82" customWidth="1"/>
    <col min="15363" max="15363" width="16" style="82" customWidth="1"/>
    <col min="15364" max="15364" width="16.6640625" style="82" customWidth="1"/>
    <col min="15365" max="15365" width="18.6640625" style="82" customWidth="1"/>
    <col min="15366" max="15366" width="14.6640625" style="82" customWidth="1"/>
    <col min="15367" max="15367" width="10.83203125" style="82" customWidth="1"/>
    <col min="15368" max="15368" width="13.83203125" style="82" customWidth="1"/>
    <col min="15369" max="15370" width="12" style="82" customWidth="1"/>
    <col min="15371" max="15371" width="13.1640625" style="82" customWidth="1"/>
    <col min="15372" max="15372" width="11.6640625" style="82" customWidth="1"/>
    <col min="15373" max="15373" width="9.33203125" style="82" customWidth="1"/>
    <col min="15374" max="15617" width="8.83203125" style="82"/>
    <col min="15618" max="15618" width="13.33203125" style="82" customWidth="1"/>
    <col min="15619" max="15619" width="16" style="82" customWidth="1"/>
    <col min="15620" max="15620" width="16.6640625" style="82" customWidth="1"/>
    <col min="15621" max="15621" width="18.6640625" style="82" customWidth="1"/>
    <col min="15622" max="15622" width="14.6640625" style="82" customWidth="1"/>
    <col min="15623" max="15623" width="10.83203125" style="82" customWidth="1"/>
    <col min="15624" max="15624" width="13.83203125" style="82" customWidth="1"/>
    <col min="15625" max="15626" width="12" style="82" customWidth="1"/>
    <col min="15627" max="15627" width="13.1640625" style="82" customWidth="1"/>
    <col min="15628" max="15628" width="11.6640625" style="82" customWidth="1"/>
    <col min="15629" max="15629" width="9.33203125" style="82" customWidth="1"/>
    <col min="15630" max="15873" width="8.83203125" style="82"/>
    <col min="15874" max="15874" width="13.33203125" style="82" customWidth="1"/>
    <col min="15875" max="15875" width="16" style="82" customWidth="1"/>
    <col min="15876" max="15876" width="16.6640625" style="82" customWidth="1"/>
    <col min="15877" max="15877" width="18.6640625" style="82" customWidth="1"/>
    <col min="15878" max="15878" width="14.6640625" style="82" customWidth="1"/>
    <col min="15879" max="15879" width="10.83203125" style="82" customWidth="1"/>
    <col min="15880" max="15880" width="13.83203125" style="82" customWidth="1"/>
    <col min="15881" max="15882" width="12" style="82" customWidth="1"/>
    <col min="15883" max="15883" width="13.1640625" style="82" customWidth="1"/>
    <col min="15884" max="15884" width="11.6640625" style="82" customWidth="1"/>
    <col min="15885" max="15885" width="9.33203125" style="82" customWidth="1"/>
    <col min="15886" max="16129" width="8.83203125" style="82"/>
    <col min="16130" max="16130" width="13.33203125" style="82" customWidth="1"/>
    <col min="16131" max="16131" width="16" style="82" customWidth="1"/>
    <col min="16132" max="16132" width="16.6640625" style="82" customWidth="1"/>
    <col min="16133" max="16133" width="18.6640625" style="82" customWidth="1"/>
    <col min="16134" max="16134" width="14.6640625" style="82" customWidth="1"/>
    <col min="16135" max="16135" width="10.83203125" style="82" customWidth="1"/>
    <col min="16136" max="16136" width="13.83203125" style="82" customWidth="1"/>
    <col min="16137" max="16138" width="12" style="82" customWidth="1"/>
    <col min="16139" max="16139" width="13.1640625" style="82" customWidth="1"/>
    <col min="16140" max="16140" width="11.6640625" style="82" customWidth="1"/>
    <col min="16141" max="16141" width="9.33203125" style="82" customWidth="1"/>
    <col min="16142" max="16384" width="8.83203125" style="82"/>
  </cols>
  <sheetData>
    <row r="1" spans="1:14" ht="21" customHeight="1">
      <c r="A1" s="190" t="s">
        <v>254</v>
      </c>
      <c r="B1" s="191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</row>
    <row r="2" spans="1:14" ht="15" customHeight="1" thickBot="1">
      <c r="A2" s="193"/>
      <c r="B2" s="193"/>
      <c r="C2" s="83"/>
      <c r="D2" s="83"/>
      <c r="E2" s="83"/>
      <c r="F2" s="83"/>
      <c r="G2" s="83"/>
      <c r="H2" s="83"/>
      <c r="I2" s="194"/>
      <c r="J2" s="194"/>
      <c r="K2" s="83"/>
      <c r="L2" s="83"/>
      <c r="M2" s="193" t="s">
        <v>125</v>
      </c>
    </row>
    <row r="3" spans="1:14" s="198" customFormat="1" ht="15" customHeight="1" thickTop="1">
      <c r="A3" s="195"/>
      <c r="B3" s="195" t="s">
        <v>126</v>
      </c>
      <c r="C3" s="195" t="s">
        <v>255</v>
      </c>
      <c r="D3" s="195" t="s">
        <v>256</v>
      </c>
      <c r="E3" s="195" t="s">
        <v>257</v>
      </c>
      <c r="F3" s="195" t="s">
        <v>258</v>
      </c>
      <c r="G3" s="195" t="s">
        <v>259</v>
      </c>
      <c r="H3" s="195" t="s">
        <v>260</v>
      </c>
      <c r="I3" s="195" t="s">
        <v>5</v>
      </c>
      <c r="J3" s="195" t="s">
        <v>261</v>
      </c>
      <c r="K3" s="195" t="s">
        <v>46</v>
      </c>
      <c r="L3" s="195" t="s">
        <v>262</v>
      </c>
      <c r="M3" s="196" t="s">
        <v>263</v>
      </c>
      <c r="N3" s="197"/>
    </row>
    <row r="4" spans="1:14" ht="15" customHeight="1">
      <c r="A4" s="199">
        <v>1970</v>
      </c>
      <c r="B4" s="200">
        <v>12681</v>
      </c>
      <c r="C4" s="200">
        <v>9655</v>
      </c>
      <c r="D4" s="200">
        <v>209</v>
      </c>
      <c r="E4" s="201" t="s">
        <v>264</v>
      </c>
      <c r="F4" s="200">
        <v>1164</v>
      </c>
      <c r="G4" s="200">
        <v>1778</v>
      </c>
      <c r="H4" s="200">
        <v>1788</v>
      </c>
      <c r="I4" s="200">
        <v>6275</v>
      </c>
      <c r="J4" s="201" t="s">
        <v>264</v>
      </c>
      <c r="K4" s="201" t="s">
        <v>264</v>
      </c>
      <c r="L4" s="200">
        <v>28397</v>
      </c>
      <c r="M4" s="200">
        <v>62333</v>
      </c>
      <c r="N4" s="114"/>
    </row>
    <row r="5" spans="1:14" ht="15" customHeight="1">
      <c r="A5" s="199">
        <v>1971</v>
      </c>
      <c r="B5" s="200">
        <v>10232</v>
      </c>
      <c r="C5" s="200">
        <v>8298</v>
      </c>
      <c r="D5" s="200">
        <v>176</v>
      </c>
      <c r="E5" s="201" t="s">
        <v>264</v>
      </c>
      <c r="F5" s="200">
        <v>1118</v>
      </c>
      <c r="G5" s="200">
        <v>1038</v>
      </c>
      <c r="H5" s="200">
        <v>5194</v>
      </c>
      <c r="I5" s="200">
        <v>6313</v>
      </c>
      <c r="J5" s="201" t="s">
        <v>264</v>
      </c>
      <c r="K5" s="201" t="s">
        <v>264</v>
      </c>
      <c r="L5" s="200">
        <v>28130</v>
      </c>
      <c r="M5" s="200">
        <v>60746</v>
      </c>
      <c r="N5" s="114"/>
    </row>
    <row r="6" spans="1:14" ht="15" customHeight="1">
      <c r="A6" s="199">
        <v>1972</v>
      </c>
      <c r="B6" s="200">
        <v>7675</v>
      </c>
      <c r="C6" s="200">
        <v>7832</v>
      </c>
      <c r="D6" s="200">
        <v>252</v>
      </c>
      <c r="E6" s="201" t="s">
        <v>264</v>
      </c>
      <c r="F6" s="200">
        <v>1111</v>
      </c>
      <c r="G6" s="200">
        <v>1154</v>
      </c>
      <c r="H6" s="200">
        <v>8136</v>
      </c>
      <c r="I6" s="200">
        <v>6292</v>
      </c>
      <c r="J6" s="201" t="s">
        <v>264</v>
      </c>
      <c r="K6" s="201" t="s">
        <v>264</v>
      </c>
      <c r="L6" s="200">
        <v>28674</v>
      </c>
      <c r="M6" s="200">
        <v>61307</v>
      </c>
      <c r="N6" s="114"/>
    </row>
    <row r="7" spans="1:14" ht="15" customHeight="1">
      <c r="A7" s="199">
        <v>1973</v>
      </c>
      <c r="B7" s="200">
        <v>7950</v>
      </c>
      <c r="C7" s="200">
        <v>8340</v>
      </c>
      <c r="D7" s="200">
        <v>226</v>
      </c>
      <c r="E7" s="201" t="s">
        <v>264</v>
      </c>
      <c r="F7" s="200">
        <v>1290</v>
      </c>
      <c r="G7" s="200">
        <v>788</v>
      </c>
      <c r="H7" s="200">
        <v>10791</v>
      </c>
      <c r="I7" s="200">
        <v>6884</v>
      </c>
      <c r="J7" s="201" t="s">
        <v>264</v>
      </c>
      <c r="K7" s="201" t="s">
        <v>264</v>
      </c>
      <c r="L7" s="200">
        <v>28691</v>
      </c>
      <c r="M7" s="200">
        <v>65149</v>
      </c>
      <c r="N7" s="114"/>
    </row>
    <row r="8" spans="1:14" ht="15" customHeight="1">
      <c r="A8" s="199">
        <v>1974</v>
      </c>
      <c r="B8" s="200">
        <v>7290</v>
      </c>
      <c r="C8" s="200">
        <v>7167</v>
      </c>
      <c r="D8" s="200">
        <v>201</v>
      </c>
      <c r="E8" s="201" t="s">
        <v>264</v>
      </c>
      <c r="F8" s="200">
        <v>975</v>
      </c>
      <c r="G8" s="200">
        <v>494</v>
      </c>
      <c r="H8" s="200">
        <v>12320</v>
      </c>
      <c r="I8" s="200">
        <v>6517</v>
      </c>
      <c r="J8" s="201" t="s">
        <v>264</v>
      </c>
      <c r="K8" s="201" t="s">
        <v>264</v>
      </c>
      <c r="L8" s="200">
        <v>24968</v>
      </c>
      <c r="M8" s="200">
        <v>60058</v>
      </c>
      <c r="N8" s="114"/>
    </row>
    <row r="9" spans="1:14" ht="15" customHeight="1">
      <c r="A9" s="199">
        <v>1975</v>
      </c>
      <c r="B9" s="200">
        <v>6373</v>
      </c>
      <c r="C9" s="200">
        <v>6338</v>
      </c>
      <c r="D9" s="200">
        <v>199</v>
      </c>
      <c r="E9" s="201" t="s">
        <v>264</v>
      </c>
      <c r="F9" s="200">
        <v>1038</v>
      </c>
      <c r="G9" s="200">
        <v>222</v>
      </c>
      <c r="H9" s="200">
        <v>12555</v>
      </c>
      <c r="I9" s="200">
        <v>6479</v>
      </c>
      <c r="J9" s="201" t="s">
        <v>264</v>
      </c>
      <c r="K9" s="201" t="s">
        <v>264</v>
      </c>
      <c r="L9" s="200">
        <v>22145</v>
      </c>
      <c r="M9" s="200">
        <v>55444</v>
      </c>
      <c r="N9" s="114"/>
    </row>
    <row r="10" spans="1:14" ht="15" customHeight="1">
      <c r="A10" s="199">
        <v>1976</v>
      </c>
      <c r="B10" s="200">
        <v>5902</v>
      </c>
      <c r="C10" s="200">
        <v>7129</v>
      </c>
      <c r="D10" s="200">
        <v>131</v>
      </c>
      <c r="E10" s="201" t="s">
        <v>264</v>
      </c>
      <c r="F10" s="200">
        <v>1091</v>
      </c>
      <c r="G10" s="200">
        <v>68</v>
      </c>
      <c r="H10" s="200">
        <v>14237</v>
      </c>
      <c r="I10" s="200">
        <v>6950</v>
      </c>
      <c r="J10" s="201" t="s">
        <v>264</v>
      </c>
      <c r="K10" s="201" t="s">
        <v>264</v>
      </c>
      <c r="L10" s="200">
        <v>21966</v>
      </c>
      <c r="M10" s="200">
        <v>57584</v>
      </c>
      <c r="N10" s="114"/>
    </row>
    <row r="11" spans="1:14" ht="15" customHeight="1">
      <c r="A11" s="199">
        <v>1977</v>
      </c>
      <c r="B11" s="200">
        <v>5947</v>
      </c>
      <c r="C11" s="200">
        <v>6368</v>
      </c>
      <c r="D11" s="200">
        <v>158</v>
      </c>
      <c r="E11" s="201" t="s">
        <v>264</v>
      </c>
      <c r="F11" s="200">
        <v>1010</v>
      </c>
      <c r="G11" s="200">
        <v>30</v>
      </c>
      <c r="H11" s="200">
        <v>14940</v>
      </c>
      <c r="I11" s="200">
        <v>7053</v>
      </c>
      <c r="J11" s="201" t="s">
        <v>264</v>
      </c>
      <c r="K11" s="201" t="s">
        <v>264</v>
      </c>
      <c r="L11" s="200">
        <v>21978</v>
      </c>
      <c r="M11" s="200">
        <v>57574</v>
      </c>
      <c r="N11" s="114"/>
    </row>
    <row r="12" spans="1:14" ht="15" customHeight="1">
      <c r="A12" s="199">
        <v>1978</v>
      </c>
      <c r="B12" s="200">
        <v>5627</v>
      </c>
      <c r="C12" s="200">
        <v>5932</v>
      </c>
      <c r="D12" s="200">
        <v>179</v>
      </c>
      <c r="E12" s="201" t="s">
        <v>264</v>
      </c>
      <c r="F12" s="200">
        <v>899</v>
      </c>
      <c r="G12" s="200">
        <v>15</v>
      </c>
      <c r="H12" s="200">
        <v>15149</v>
      </c>
      <c r="I12" s="200">
        <v>7222</v>
      </c>
      <c r="J12" s="201" t="s">
        <v>264</v>
      </c>
      <c r="K12" s="201" t="s">
        <v>264</v>
      </c>
      <c r="L12" s="200">
        <v>21570</v>
      </c>
      <c r="M12" s="200">
        <v>56673</v>
      </c>
      <c r="N12" s="114"/>
    </row>
    <row r="13" spans="1:14" ht="15" customHeight="1">
      <c r="A13" s="199">
        <v>1979</v>
      </c>
      <c r="B13" s="200">
        <v>6081</v>
      </c>
      <c r="C13" s="200">
        <v>6512</v>
      </c>
      <c r="D13" s="200">
        <v>148</v>
      </c>
      <c r="E13" s="201" t="s">
        <v>264</v>
      </c>
      <c r="F13" s="200">
        <v>977</v>
      </c>
      <c r="G13" s="200">
        <v>18</v>
      </c>
      <c r="H13" s="200">
        <v>15663</v>
      </c>
      <c r="I13" s="200">
        <v>7527</v>
      </c>
      <c r="J13" s="201" t="s">
        <v>264</v>
      </c>
      <c r="K13" s="201" t="s">
        <v>264</v>
      </c>
      <c r="L13" s="200">
        <v>21590</v>
      </c>
      <c r="M13" s="200">
        <v>58564</v>
      </c>
      <c r="N13" s="114"/>
    </row>
    <row r="14" spans="1:14" ht="15" customHeight="1">
      <c r="A14" s="199"/>
      <c r="B14" s="200"/>
      <c r="C14" s="200"/>
      <c r="D14" s="200"/>
      <c r="E14" s="201"/>
      <c r="F14" s="200"/>
      <c r="G14" s="200"/>
      <c r="H14" s="200"/>
      <c r="I14" s="200"/>
      <c r="J14" s="201"/>
      <c r="K14" s="201"/>
      <c r="L14" s="200"/>
      <c r="M14" s="200"/>
      <c r="N14" s="114"/>
    </row>
    <row r="15" spans="1:14" ht="15" customHeight="1">
      <c r="A15" s="199">
        <v>1980</v>
      </c>
      <c r="B15" s="200">
        <v>5083</v>
      </c>
      <c r="C15" s="200">
        <v>3335</v>
      </c>
      <c r="D15" s="200">
        <v>133</v>
      </c>
      <c r="E15" s="201" t="s">
        <v>264</v>
      </c>
      <c r="F15" s="200">
        <v>642</v>
      </c>
      <c r="G15" s="200">
        <v>13</v>
      </c>
      <c r="H15" s="200">
        <v>15258</v>
      </c>
      <c r="I15" s="200">
        <v>6854</v>
      </c>
      <c r="J15" s="201" t="s">
        <v>264</v>
      </c>
      <c r="K15" s="201" t="s">
        <v>264</v>
      </c>
      <c r="L15" s="200">
        <v>16938</v>
      </c>
      <c r="M15" s="200">
        <v>48291</v>
      </c>
      <c r="N15" s="114"/>
    </row>
    <row r="16" spans="1:14" ht="15" customHeight="1">
      <c r="A16" s="199">
        <v>1981</v>
      </c>
      <c r="B16" s="200">
        <v>4534</v>
      </c>
      <c r="C16" s="200">
        <v>4564</v>
      </c>
      <c r="D16" s="200">
        <v>116</v>
      </c>
      <c r="E16" s="201" t="s">
        <v>264</v>
      </c>
      <c r="F16" s="200">
        <v>665</v>
      </c>
      <c r="G16" s="200">
        <v>13</v>
      </c>
      <c r="H16" s="200">
        <v>14489</v>
      </c>
      <c r="I16" s="200">
        <v>6622</v>
      </c>
      <c r="J16" s="201" t="s">
        <v>264</v>
      </c>
      <c r="K16" s="201" t="s">
        <v>264</v>
      </c>
      <c r="L16" s="200">
        <v>14761</v>
      </c>
      <c r="M16" s="200">
        <v>45776</v>
      </c>
      <c r="N16" s="114"/>
    </row>
    <row r="17" spans="1:14" ht="15" customHeight="1">
      <c r="A17" s="199">
        <v>1982</v>
      </c>
      <c r="B17" s="200">
        <v>4668</v>
      </c>
      <c r="C17" s="200">
        <v>4083</v>
      </c>
      <c r="D17" s="200">
        <v>144</v>
      </c>
      <c r="E17" s="201" t="s">
        <v>264</v>
      </c>
      <c r="F17" s="200">
        <v>605</v>
      </c>
      <c r="G17" s="200">
        <v>8</v>
      </c>
      <c r="H17" s="200">
        <v>14588</v>
      </c>
      <c r="I17" s="200">
        <v>6353</v>
      </c>
      <c r="J17" s="201" t="s">
        <v>264</v>
      </c>
      <c r="K17" s="201" t="s">
        <v>264</v>
      </c>
      <c r="L17" s="200">
        <v>13530</v>
      </c>
      <c r="M17" s="200">
        <v>44007</v>
      </c>
      <c r="N17" s="114"/>
    </row>
    <row r="18" spans="1:14" ht="15" customHeight="1">
      <c r="A18" s="199">
        <v>1983</v>
      </c>
      <c r="B18" s="200">
        <v>4708</v>
      </c>
      <c r="C18" s="200">
        <v>4307</v>
      </c>
      <c r="D18" s="200">
        <v>126</v>
      </c>
      <c r="E18" s="201" t="s">
        <v>264</v>
      </c>
      <c r="F18" s="200">
        <v>635</v>
      </c>
      <c r="G18" s="200">
        <v>5</v>
      </c>
      <c r="H18" s="200">
        <v>14021</v>
      </c>
      <c r="I18" s="200">
        <v>6376</v>
      </c>
      <c r="J18" s="201" t="s">
        <v>264</v>
      </c>
      <c r="K18" s="201" t="s">
        <v>264</v>
      </c>
      <c r="L18" s="200">
        <v>11988</v>
      </c>
      <c r="M18" s="200">
        <v>42191</v>
      </c>
      <c r="N18" s="114"/>
    </row>
    <row r="19" spans="1:14" ht="15" customHeight="1">
      <c r="A19" s="199">
        <v>1984</v>
      </c>
      <c r="B19" s="200">
        <v>3796</v>
      </c>
      <c r="C19" s="200">
        <v>4408</v>
      </c>
      <c r="D19" s="200">
        <v>68</v>
      </c>
      <c r="E19" s="201" t="s">
        <v>264</v>
      </c>
      <c r="F19" s="200">
        <v>537</v>
      </c>
      <c r="G19" s="200">
        <v>5</v>
      </c>
      <c r="H19" s="200">
        <v>14686</v>
      </c>
      <c r="I19" s="200">
        <v>6758</v>
      </c>
      <c r="J19" s="201" t="s">
        <v>264</v>
      </c>
      <c r="K19" s="201" t="s">
        <v>264</v>
      </c>
      <c r="L19" s="200">
        <v>10859</v>
      </c>
      <c r="M19" s="200">
        <v>41138</v>
      </c>
      <c r="N19" s="114"/>
    </row>
    <row r="20" spans="1:14" ht="15" customHeight="1">
      <c r="A20" s="199">
        <v>1985</v>
      </c>
      <c r="B20" s="200">
        <v>4708</v>
      </c>
      <c r="C20" s="200">
        <v>4655</v>
      </c>
      <c r="D20" s="200">
        <v>151</v>
      </c>
      <c r="E20" s="201" t="s">
        <v>264</v>
      </c>
      <c r="F20" s="200">
        <v>768</v>
      </c>
      <c r="G20" s="200">
        <v>3</v>
      </c>
      <c r="H20" s="200">
        <v>14865</v>
      </c>
      <c r="I20" s="200">
        <v>6837</v>
      </c>
      <c r="J20" s="201" t="s">
        <v>264</v>
      </c>
      <c r="K20" s="201" t="s">
        <v>264</v>
      </c>
      <c r="L20" s="200">
        <v>9701</v>
      </c>
      <c r="M20" s="200">
        <v>41702</v>
      </c>
      <c r="N20" s="114"/>
    </row>
    <row r="21" spans="1:14" ht="15" customHeight="1">
      <c r="A21" s="199">
        <v>1986</v>
      </c>
      <c r="B21" s="200">
        <v>5242</v>
      </c>
      <c r="C21" s="200">
        <v>4144</v>
      </c>
      <c r="D21" s="200">
        <v>98</v>
      </c>
      <c r="E21" s="201" t="s">
        <v>264</v>
      </c>
      <c r="F21" s="200">
        <v>778</v>
      </c>
      <c r="G21" s="200">
        <v>3</v>
      </c>
      <c r="H21" s="200">
        <v>13542</v>
      </c>
      <c r="I21" s="200">
        <v>6884</v>
      </c>
      <c r="J21" s="201" t="s">
        <v>264</v>
      </c>
      <c r="K21" s="201" t="s">
        <v>264</v>
      </c>
      <c r="L21" s="200">
        <v>10240</v>
      </c>
      <c r="M21" s="200">
        <v>40931</v>
      </c>
      <c r="N21" s="114"/>
    </row>
    <row r="22" spans="1:14" ht="15" customHeight="1">
      <c r="A22" s="199">
        <v>1987</v>
      </c>
      <c r="B22" s="200">
        <v>4048</v>
      </c>
      <c r="C22" s="200">
        <v>4660</v>
      </c>
      <c r="D22" s="200">
        <v>80</v>
      </c>
      <c r="E22" s="201" t="s">
        <v>264</v>
      </c>
      <c r="F22" s="200">
        <v>821</v>
      </c>
      <c r="G22" s="200">
        <v>3</v>
      </c>
      <c r="H22" s="200">
        <v>14137</v>
      </c>
      <c r="I22" s="200">
        <v>8005</v>
      </c>
      <c r="J22" s="201" t="s">
        <v>264</v>
      </c>
      <c r="K22" s="201" t="s">
        <v>264</v>
      </c>
      <c r="L22" s="200">
        <v>8456</v>
      </c>
      <c r="M22" s="200">
        <v>40211</v>
      </c>
      <c r="N22" s="114"/>
    </row>
    <row r="23" spans="1:14" ht="15" customHeight="1">
      <c r="A23" s="199">
        <v>1988</v>
      </c>
      <c r="B23" s="200">
        <v>4166</v>
      </c>
      <c r="C23" s="200">
        <v>5041</v>
      </c>
      <c r="D23" s="200">
        <v>55</v>
      </c>
      <c r="E23" s="201" t="s">
        <v>264</v>
      </c>
      <c r="F23" s="200">
        <v>771</v>
      </c>
      <c r="G23" s="201" t="s">
        <v>192</v>
      </c>
      <c r="H23" s="200">
        <v>12883</v>
      </c>
      <c r="I23" s="200">
        <v>8350</v>
      </c>
      <c r="J23" s="201" t="s">
        <v>264</v>
      </c>
      <c r="K23" s="200">
        <v>100</v>
      </c>
      <c r="L23" s="200">
        <v>9441</v>
      </c>
      <c r="M23" s="200">
        <v>40807</v>
      </c>
      <c r="N23" s="114"/>
    </row>
    <row r="24" spans="1:14" ht="15" customHeight="1">
      <c r="A24" s="199">
        <v>1989</v>
      </c>
      <c r="B24" s="200">
        <v>4489</v>
      </c>
      <c r="C24" s="200">
        <v>4286</v>
      </c>
      <c r="D24" s="200">
        <v>30</v>
      </c>
      <c r="E24" s="201" t="s">
        <v>264</v>
      </c>
      <c r="F24" s="200">
        <v>613</v>
      </c>
      <c r="G24" s="201" t="s">
        <v>192</v>
      </c>
      <c r="H24" s="200">
        <v>12515</v>
      </c>
      <c r="I24" s="200">
        <v>8550</v>
      </c>
      <c r="J24" s="201" t="s">
        <v>264</v>
      </c>
      <c r="K24" s="200">
        <v>101.8</v>
      </c>
      <c r="L24" s="200">
        <v>8820</v>
      </c>
      <c r="M24" s="200">
        <v>39404.800000000003</v>
      </c>
      <c r="N24" s="114"/>
    </row>
    <row r="25" spans="1:14" ht="15" customHeight="1">
      <c r="B25" s="199"/>
      <c r="D25" s="199"/>
      <c r="E25" s="201"/>
      <c r="G25" s="198"/>
      <c r="H25" s="200"/>
      <c r="I25" s="200"/>
      <c r="J25" s="200"/>
      <c r="K25" s="200"/>
      <c r="L25" s="200"/>
      <c r="M25" s="200"/>
      <c r="N25" s="114"/>
    </row>
    <row r="26" spans="1:14" ht="15" customHeight="1">
      <c r="A26" s="199">
        <v>1990</v>
      </c>
      <c r="B26" s="200">
        <v>4172</v>
      </c>
      <c r="C26" s="200">
        <v>3951</v>
      </c>
      <c r="D26" s="200">
        <v>42</v>
      </c>
      <c r="E26" s="201" t="s">
        <v>264</v>
      </c>
      <c r="F26" s="200">
        <v>602</v>
      </c>
      <c r="G26" s="201" t="s">
        <v>192</v>
      </c>
      <c r="H26" s="200">
        <v>12889</v>
      </c>
      <c r="I26" s="200">
        <v>8655</v>
      </c>
      <c r="J26" s="201" t="s">
        <v>264</v>
      </c>
      <c r="K26" s="200">
        <v>106.6</v>
      </c>
      <c r="L26" s="200">
        <v>8242</v>
      </c>
      <c r="M26" s="200">
        <v>38659.599999999999</v>
      </c>
      <c r="N26" s="114"/>
    </row>
    <row r="27" spans="1:14" ht="15" customHeight="1">
      <c r="A27" s="199">
        <v>1991</v>
      </c>
      <c r="B27" s="200">
        <v>4270</v>
      </c>
      <c r="C27" s="200">
        <v>3691</v>
      </c>
      <c r="D27" s="200">
        <v>14</v>
      </c>
      <c r="E27" s="201" t="s">
        <v>264</v>
      </c>
      <c r="F27" s="200">
        <v>570</v>
      </c>
      <c r="G27" s="201" t="s">
        <v>192</v>
      </c>
      <c r="H27" s="200">
        <v>12311</v>
      </c>
      <c r="I27" s="200">
        <v>8563</v>
      </c>
      <c r="J27" s="201" t="s">
        <v>264</v>
      </c>
      <c r="K27" s="200">
        <v>108.7</v>
      </c>
      <c r="L27" s="200">
        <v>8729</v>
      </c>
      <c r="M27" s="200">
        <v>38256.699999999997</v>
      </c>
      <c r="N27" s="114"/>
    </row>
    <row r="28" spans="1:14" ht="15" customHeight="1">
      <c r="A28" s="199">
        <v>1992</v>
      </c>
      <c r="B28" s="200">
        <v>4375</v>
      </c>
      <c r="C28" s="200">
        <v>3601</v>
      </c>
      <c r="D28" s="200">
        <v>14</v>
      </c>
      <c r="E28" s="201" t="s">
        <v>264</v>
      </c>
      <c r="F28" s="200">
        <v>534</v>
      </c>
      <c r="G28" s="201" t="s">
        <v>192</v>
      </c>
      <c r="H28" s="200">
        <v>11380</v>
      </c>
      <c r="I28" s="200">
        <v>8194</v>
      </c>
      <c r="J28" s="201" t="s">
        <v>264</v>
      </c>
      <c r="K28" s="200">
        <v>278.60000000000002</v>
      </c>
      <c r="L28" s="200">
        <v>8334</v>
      </c>
      <c r="M28" s="200">
        <v>36710.6</v>
      </c>
      <c r="N28" s="114"/>
    </row>
    <row r="29" spans="1:14" ht="15" customHeight="1">
      <c r="A29" s="199">
        <v>1993</v>
      </c>
      <c r="B29" s="200">
        <v>3553</v>
      </c>
      <c r="C29" s="200">
        <v>3613</v>
      </c>
      <c r="D29" s="200">
        <v>7</v>
      </c>
      <c r="E29" s="201" t="s">
        <v>264</v>
      </c>
      <c r="F29" s="200">
        <v>560</v>
      </c>
      <c r="G29" s="201" t="s">
        <v>192</v>
      </c>
      <c r="H29" s="200">
        <v>11521</v>
      </c>
      <c r="I29" s="200">
        <v>8328</v>
      </c>
      <c r="J29" s="201" t="s">
        <v>264</v>
      </c>
      <c r="K29" s="200">
        <v>265.8</v>
      </c>
      <c r="L29" s="200">
        <v>8592</v>
      </c>
      <c r="M29" s="200">
        <v>36439.800000000003</v>
      </c>
      <c r="N29" s="114"/>
    </row>
    <row r="30" spans="1:14" ht="15" customHeight="1">
      <c r="A30" s="199">
        <v>1994</v>
      </c>
      <c r="B30" s="200">
        <v>3402</v>
      </c>
      <c r="C30" s="200">
        <v>3818</v>
      </c>
      <c r="D30" s="200">
        <v>194</v>
      </c>
      <c r="E30" s="201" t="s">
        <v>264</v>
      </c>
      <c r="F30" s="200">
        <v>590</v>
      </c>
      <c r="G30" s="201" t="s">
        <v>192</v>
      </c>
      <c r="H30" s="200">
        <v>12885</v>
      </c>
      <c r="I30" s="200">
        <v>8082</v>
      </c>
      <c r="J30" s="201" t="s">
        <v>264</v>
      </c>
      <c r="K30" s="200">
        <v>487.3</v>
      </c>
      <c r="L30" s="200">
        <v>8253</v>
      </c>
      <c r="M30" s="200">
        <v>37711.300000000003</v>
      </c>
      <c r="N30" s="114"/>
    </row>
    <row r="31" spans="1:14" ht="15" customHeight="1">
      <c r="A31" s="202" t="s">
        <v>265</v>
      </c>
      <c r="B31" s="203">
        <v>2840</v>
      </c>
      <c r="C31" s="203">
        <v>3750</v>
      </c>
      <c r="D31" s="203">
        <v>184</v>
      </c>
      <c r="E31" s="204" t="s">
        <v>264</v>
      </c>
      <c r="F31" s="203">
        <v>576.49</v>
      </c>
      <c r="G31" s="204" t="s">
        <v>192</v>
      </c>
      <c r="H31" s="203">
        <v>12679.621668099731</v>
      </c>
      <c r="I31" s="203">
        <v>8654.4453998280333</v>
      </c>
      <c r="J31" s="204" t="s">
        <v>264</v>
      </c>
      <c r="K31" s="203">
        <v>525.9</v>
      </c>
      <c r="L31" s="203">
        <v>7066</v>
      </c>
      <c r="M31" s="203">
        <v>36276.457067927768</v>
      </c>
      <c r="N31" s="114"/>
    </row>
    <row r="32" spans="1:14" ht="15" customHeight="1">
      <c r="A32" s="199" t="s">
        <v>266</v>
      </c>
      <c r="B32" s="200">
        <v>1959.4604401333877</v>
      </c>
      <c r="C32" s="200">
        <v>855.29747778733156</v>
      </c>
      <c r="D32" s="200">
        <v>232.80261775102701</v>
      </c>
      <c r="E32" s="205">
        <v>308.06634000000003</v>
      </c>
      <c r="F32" s="200">
        <v>439.09986000000004</v>
      </c>
      <c r="G32" s="201" t="s">
        <v>192</v>
      </c>
      <c r="H32" s="200">
        <v>14080.851246775579</v>
      </c>
      <c r="I32" s="200">
        <v>9004.0835399999978</v>
      </c>
      <c r="J32" s="201" t="s">
        <v>264</v>
      </c>
      <c r="K32" s="200">
        <v>532.5</v>
      </c>
      <c r="L32" s="200">
        <v>7058.0414471449803</v>
      </c>
      <c r="M32" s="200">
        <v>34470.202969592305</v>
      </c>
      <c r="N32" s="114"/>
    </row>
    <row r="33" spans="1:65" ht="15" customHeight="1">
      <c r="A33" s="199">
        <v>1997</v>
      </c>
      <c r="B33" s="200">
        <v>1963.1071607044119</v>
      </c>
      <c r="C33" s="200">
        <v>787.26870163370586</v>
      </c>
      <c r="D33" s="200">
        <v>248.88711780744961</v>
      </c>
      <c r="E33" s="205">
        <v>331.64230438521065</v>
      </c>
      <c r="F33" s="200">
        <v>457.17970765262254</v>
      </c>
      <c r="G33" s="201" t="s">
        <v>192</v>
      </c>
      <c r="H33" s="200">
        <v>14754.084264832329</v>
      </c>
      <c r="I33" s="200">
        <v>9188.6500429922598</v>
      </c>
      <c r="J33" s="201" t="s">
        <v>264</v>
      </c>
      <c r="K33" s="200">
        <v>532</v>
      </c>
      <c r="L33" s="200">
        <v>6314.6608698091777</v>
      </c>
      <c r="M33" s="200">
        <v>34577.480169817172</v>
      </c>
      <c r="N33" s="114"/>
    </row>
    <row r="34" spans="1:65" ht="15" customHeight="1">
      <c r="A34" s="199">
        <v>1998</v>
      </c>
      <c r="B34" s="200">
        <v>1606.8251093521822</v>
      </c>
      <c r="C34" s="200">
        <v>803.21486576860605</v>
      </c>
      <c r="D34" s="200">
        <v>242.79659883443207</v>
      </c>
      <c r="E34" s="205">
        <v>278.33190025795358</v>
      </c>
      <c r="F34" s="200">
        <v>384.86672398968182</v>
      </c>
      <c r="G34" s="201" t="s">
        <v>192</v>
      </c>
      <c r="H34" s="200">
        <v>15140.498710232159</v>
      </c>
      <c r="I34" s="200">
        <v>9215.5631986242479</v>
      </c>
      <c r="J34" s="201" t="s">
        <v>264</v>
      </c>
      <c r="K34" s="200">
        <v>460.9</v>
      </c>
      <c r="L34" s="200">
        <v>6379.1577292778102</v>
      </c>
      <c r="M34" s="200">
        <v>34512.154836337075</v>
      </c>
      <c r="N34" s="114"/>
    </row>
    <row r="35" spans="1:65" ht="15" customHeight="1">
      <c r="A35" s="199">
        <v>1999</v>
      </c>
      <c r="B35" s="200">
        <v>1353.4860278212193</v>
      </c>
      <c r="C35" s="200">
        <v>819.69045571797074</v>
      </c>
      <c r="D35" s="200">
        <v>215.26268271711092</v>
      </c>
      <c r="E35" s="205">
        <v>138.95098882201202</v>
      </c>
      <c r="F35" s="200">
        <v>205.07308684436799</v>
      </c>
      <c r="G35" s="201" t="s">
        <v>192</v>
      </c>
      <c r="H35" s="200">
        <v>15203.353396388651</v>
      </c>
      <c r="I35" s="200">
        <v>9542.3903697334481</v>
      </c>
      <c r="J35" s="200">
        <v>1086.1661188306107</v>
      </c>
      <c r="K35" s="200">
        <v>283.2</v>
      </c>
      <c r="L35" s="200">
        <v>5374.2926994359959</v>
      </c>
      <c r="M35" s="200">
        <v>34221.86582631139</v>
      </c>
      <c r="N35" s="114"/>
    </row>
    <row r="36" spans="1:65" ht="15" customHeight="1">
      <c r="A36" s="199"/>
      <c r="B36" s="200"/>
      <c r="C36" s="200"/>
      <c r="D36" s="200"/>
      <c r="E36" s="205"/>
      <c r="F36" s="200"/>
      <c r="G36" s="201"/>
      <c r="H36" s="200"/>
      <c r="I36" s="200"/>
      <c r="J36" s="200"/>
      <c r="K36" s="200"/>
      <c r="L36" s="200"/>
      <c r="M36" s="200"/>
      <c r="N36" s="114"/>
    </row>
    <row r="37" spans="1:65" ht="15" customHeight="1">
      <c r="A37" s="206">
        <v>2000</v>
      </c>
      <c r="B37" s="200">
        <v>1227.7435056157328</v>
      </c>
      <c r="C37" s="200">
        <v>753.44893474730111</v>
      </c>
      <c r="D37" s="200">
        <v>70.515668290818667</v>
      </c>
      <c r="E37" s="205">
        <v>95.786758383490962</v>
      </c>
      <c r="F37" s="200">
        <v>216.2510748065348</v>
      </c>
      <c r="G37" s="201" t="s">
        <v>192</v>
      </c>
      <c r="H37" s="200">
        <v>15773.086844368012</v>
      </c>
      <c r="I37" s="200">
        <v>9811.9518486672405</v>
      </c>
      <c r="J37" s="200">
        <v>1099.4159071367155</v>
      </c>
      <c r="K37" s="200">
        <v>264.06</v>
      </c>
      <c r="L37" s="200">
        <v>6039.4734330869005</v>
      </c>
      <c r="M37" s="200">
        <v>35351.733975102747</v>
      </c>
      <c r="N37" s="114"/>
    </row>
    <row r="38" spans="1:65" ht="15" customHeight="1">
      <c r="A38" s="206">
        <v>2001</v>
      </c>
      <c r="B38" s="200">
        <v>1194.9551082855403</v>
      </c>
      <c r="C38" s="200">
        <v>718.59176459348419</v>
      </c>
      <c r="D38" s="200">
        <v>210.29304003057223</v>
      </c>
      <c r="E38" s="205">
        <v>272.14101461736885</v>
      </c>
      <c r="F38" s="200">
        <v>154.25623387790196</v>
      </c>
      <c r="G38" s="201" t="s">
        <v>192</v>
      </c>
      <c r="H38" s="200">
        <v>15463.71453138435</v>
      </c>
      <c r="I38" s="200">
        <v>9573.3447979363718</v>
      </c>
      <c r="J38" s="200">
        <v>1001.2271281169391</v>
      </c>
      <c r="K38" s="200">
        <v>243.07</v>
      </c>
      <c r="L38" s="200">
        <v>6611.0456630972485</v>
      </c>
      <c r="M38" s="200">
        <v>35442.639281939773</v>
      </c>
      <c r="N38" s="114"/>
    </row>
    <row r="39" spans="1:65" ht="15" customHeight="1">
      <c r="A39" s="206">
        <v>2002</v>
      </c>
      <c r="B39" s="200">
        <v>1185.6913298407339</v>
      </c>
      <c r="C39" s="200">
        <v>610.41470062061512</v>
      </c>
      <c r="D39" s="200">
        <v>169.9778064871698</v>
      </c>
      <c r="E39" s="205">
        <v>226.28987491886218</v>
      </c>
      <c r="F39" s="200">
        <v>78.182356285427431</v>
      </c>
      <c r="G39" s="201" t="s">
        <v>192</v>
      </c>
      <c r="H39" s="200">
        <v>14201.691417826749</v>
      </c>
      <c r="I39" s="200">
        <v>9685.9845227858968</v>
      </c>
      <c r="J39" s="200">
        <v>1320.6416165090284</v>
      </c>
      <c r="K39" s="200">
        <v>250.03</v>
      </c>
      <c r="L39" s="200">
        <v>6248.2606866719052</v>
      </c>
      <c r="M39" s="200">
        <v>33977.164311946384</v>
      </c>
      <c r="N39" s="114"/>
    </row>
    <row r="40" spans="1:65" ht="15" customHeight="1">
      <c r="A40" s="206">
        <v>2003</v>
      </c>
      <c r="B40" s="200">
        <v>1247.9660292310678</v>
      </c>
      <c r="C40" s="200">
        <v>588.60115832873737</v>
      </c>
      <c r="D40" s="200">
        <v>50.516284744968857</v>
      </c>
      <c r="E40" s="205">
        <v>36.372164584811628</v>
      </c>
      <c r="F40" s="200">
        <v>53.189439497637615</v>
      </c>
      <c r="G40" s="201" t="s">
        <v>192</v>
      </c>
      <c r="H40" s="200">
        <v>14292.024855908721</v>
      </c>
      <c r="I40" s="200">
        <v>9747.0659963538128</v>
      </c>
      <c r="J40" s="200">
        <v>1128.3124710266552</v>
      </c>
      <c r="K40" s="200">
        <v>266.69</v>
      </c>
      <c r="L40" s="200">
        <v>6899.2176642987397</v>
      </c>
      <c r="M40" s="200">
        <v>34309.956063975158</v>
      </c>
      <c r="N40" s="114"/>
    </row>
    <row r="41" spans="1:65" ht="15" customHeight="1">
      <c r="A41" s="206">
        <v>2004</v>
      </c>
      <c r="B41" s="200">
        <v>1235.2520132036436</v>
      </c>
      <c r="C41" s="200">
        <v>559.20629439932907</v>
      </c>
      <c r="D41" s="200">
        <v>68.221053353019443</v>
      </c>
      <c r="E41" s="205">
        <v>32.245697511607844</v>
      </c>
      <c r="F41" s="200">
        <v>67.499392691315592</v>
      </c>
      <c r="G41" s="201" t="s">
        <v>192</v>
      </c>
      <c r="H41" s="200">
        <v>13237.600393465918</v>
      </c>
      <c r="I41" s="200">
        <v>9960.5653554826949</v>
      </c>
      <c r="J41" s="200">
        <v>832.34041616509035</v>
      </c>
      <c r="K41" s="200">
        <v>265.24</v>
      </c>
      <c r="L41" s="200">
        <v>6918.4197487788297</v>
      </c>
      <c r="M41" s="200">
        <v>33176.590365051452</v>
      </c>
      <c r="N41" s="114"/>
    </row>
    <row r="42" spans="1:65" ht="15" customHeight="1">
      <c r="A42" s="206">
        <v>2005</v>
      </c>
      <c r="B42" s="200">
        <v>1179.6881117459734</v>
      </c>
      <c r="C42" s="200">
        <v>534.73643589228084</v>
      </c>
      <c r="D42" s="200">
        <v>170.69525506006937</v>
      </c>
      <c r="E42" s="205">
        <v>28.007826574376686</v>
      </c>
      <c r="F42" s="200">
        <v>78.515824180567449</v>
      </c>
      <c r="G42" s="201" t="s">
        <v>192</v>
      </c>
      <c r="H42" s="200">
        <v>13017.28326089252</v>
      </c>
      <c r="I42" s="200">
        <v>10363.204866971857</v>
      </c>
      <c r="J42" s="200">
        <v>830.50753787745134</v>
      </c>
      <c r="K42" s="200">
        <v>188.51</v>
      </c>
      <c r="L42" s="200">
        <v>7226.6014610611655</v>
      </c>
      <c r="M42" s="200">
        <v>33617.750580256266</v>
      </c>
      <c r="N42" s="114"/>
    </row>
    <row r="43" spans="1:65" ht="15" customHeight="1">
      <c r="A43" s="206">
        <v>2006</v>
      </c>
      <c r="B43" s="200">
        <v>1130.5779200432621</v>
      </c>
      <c r="C43" s="200">
        <v>487.61874462715599</v>
      </c>
      <c r="D43" s="200">
        <v>177.79029955354378</v>
      </c>
      <c r="E43" s="205">
        <v>77.543167864144806</v>
      </c>
      <c r="F43" s="200">
        <v>106.23725760963013</v>
      </c>
      <c r="G43" s="201" t="s">
        <v>192</v>
      </c>
      <c r="H43" s="200">
        <v>12530.846714651076</v>
      </c>
      <c r="I43" s="200">
        <v>10139.148579366911</v>
      </c>
      <c r="J43" s="200">
        <v>808.93292777300076</v>
      </c>
      <c r="K43" s="200">
        <v>213.48946654426669</v>
      </c>
      <c r="L43" s="200">
        <v>7220.2826353769306</v>
      </c>
      <c r="M43" s="200">
        <v>32892.467713409918</v>
      </c>
      <c r="N43" s="114"/>
    </row>
    <row r="44" spans="1:65" ht="15" customHeight="1">
      <c r="A44" s="206">
        <v>2007</v>
      </c>
      <c r="B44" s="200">
        <v>1240.4875496309458</v>
      </c>
      <c r="C44" s="200">
        <v>513.05061144173726</v>
      </c>
      <c r="D44" s="200">
        <v>175.32459359523079</v>
      </c>
      <c r="E44" s="205">
        <v>59.161225011178054</v>
      </c>
      <c r="F44" s="200">
        <v>113.8087435253655</v>
      </c>
      <c r="G44" s="201" t="s">
        <v>192</v>
      </c>
      <c r="H44" s="200">
        <v>11630.301010071018</v>
      </c>
      <c r="I44" s="200">
        <v>10060.801902903399</v>
      </c>
      <c r="J44" s="200">
        <v>692.4816921754084</v>
      </c>
      <c r="K44" s="200">
        <v>276.33064723402265</v>
      </c>
      <c r="L44" s="200">
        <v>6826.8147628055231</v>
      </c>
      <c r="M44" s="200">
        <v>31588.56273839383</v>
      </c>
      <c r="N44" s="114"/>
    </row>
    <row r="45" spans="1:65" ht="15" customHeight="1" thickBot="1">
      <c r="A45" s="207">
        <v>2008</v>
      </c>
      <c r="B45" s="208">
        <v>1247.1148584760256</v>
      </c>
      <c r="C45" s="208">
        <v>441.84872705268845</v>
      </c>
      <c r="D45" s="208">
        <v>172.47868246461212</v>
      </c>
      <c r="E45" s="209">
        <v>42.107330618087126</v>
      </c>
      <c r="F45" s="208">
        <v>86.735275182598997</v>
      </c>
      <c r="G45" s="210" t="s">
        <v>192</v>
      </c>
      <c r="H45" s="208">
        <v>11393.001688985318</v>
      </c>
      <c r="I45" s="208">
        <v>9764.1980460827108</v>
      </c>
      <c r="J45" s="208">
        <v>690.26303439380911</v>
      </c>
      <c r="K45" s="208">
        <v>336.12423558524898</v>
      </c>
      <c r="L45" s="208">
        <v>6360.1296462422433</v>
      </c>
      <c r="M45" s="208">
        <v>30534.001525083346</v>
      </c>
      <c r="N45" s="114"/>
    </row>
    <row r="46" spans="1:65" ht="15" customHeight="1" thickTop="1">
      <c r="A46" s="115" t="s">
        <v>267</v>
      </c>
    </row>
    <row r="47" spans="1:65" ht="15" customHeight="1">
      <c r="B47" s="200"/>
      <c r="C47" s="200"/>
      <c r="D47" s="200"/>
      <c r="E47" s="200"/>
      <c r="F47" s="200"/>
      <c r="G47" s="200"/>
      <c r="H47" s="200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</row>
    <row r="48" spans="1:65">
      <c r="A48" s="116" t="s">
        <v>268</v>
      </c>
    </row>
  </sheetData>
  <pageMargins left="0.74803149606299213" right="0.74803149606299213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autoPageBreaks="0"/>
  </sheetPr>
  <dimension ref="A3:G9"/>
  <sheetViews>
    <sheetView workbookViewId="0">
      <selection activeCell="E11" sqref="E11"/>
    </sheetView>
  </sheetViews>
  <sheetFormatPr baseColWidth="10" defaultColWidth="8.83203125" defaultRowHeight="13" x14ac:dyDescent="0"/>
  <cols>
    <col min="1" max="1" width="3.6640625" customWidth="1"/>
    <col min="2" max="2" width="24.33203125" bestFit="1" customWidth="1"/>
    <col min="3" max="3" width="20.33203125" customWidth="1"/>
    <col min="4" max="4" width="4.33203125" customWidth="1"/>
    <col min="5" max="5" width="12.33203125" bestFit="1" customWidth="1"/>
    <col min="6" max="6" width="10.1640625" bestFit="1" customWidth="1"/>
  </cols>
  <sheetData>
    <row r="3" spans="1:7" s="522" customFormat="1" ht="20">
      <c r="A3" s="530"/>
      <c r="B3" s="527" t="s">
        <v>580</v>
      </c>
      <c r="C3" s="531" t="s">
        <v>81</v>
      </c>
      <c r="E3" s="522" t="s">
        <v>613</v>
      </c>
      <c r="F3" s="538">
        <f>1/Unit.J</f>
        <v>3599999999999999.5</v>
      </c>
      <c r="G3" s="522" t="s">
        <v>78</v>
      </c>
    </row>
    <row r="5" spans="1:7" ht="20">
      <c r="A5" s="529"/>
      <c r="B5" s="527" t="s">
        <v>581</v>
      </c>
      <c r="C5" s="531" t="s">
        <v>585</v>
      </c>
      <c r="E5" s="522" t="s">
        <v>613</v>
      </c>
      <c r="F5" s="538">
        <f>1/Unit.W</f>
        <v>999999999.99999988</v>
      </c>
      <c r="G5" s="522" t="s">
        <v>584</v>
      </c>
    </row>
    <row r="7" spans="1:7" ht="20">
      <c r="A7" s="529"/>
      <c r="B7" s="527" t="s">
        <v>1144</v>
      </c>
      <c r="C7" s="531" t="s">
        <v>1136</v>
      </c>
      <c r="D7" s="115"/>
      <c r="E7" s="522" t="s">
        <v>613</v>
      </c>
      <c r="F7" s="538">
        <f>1/Unit.m2</f>
        <v>1000000</v>
      </c>
      <c r="G7" s="522" t="s">
        <v>1139</v>
      </c>
    </row>
    <row r="9" spans="1:7" s="1266" customFormat="1" ht="15">
      <c r="B9" s="527" t="s">
        <v>1563</v>
      </c>
      <c r="C9" s="531" t="s">
        <v>1549</v>
      </c>
      <c r="E9" s="522" t="s">
        <v>613</v>
      </c>
      <c r="F9" s="538">
        <f>1/GBP</f>
        <v>1000000</v>
      </c>
      <c r="G9" s="522" t="s">
        <v>1542</v>
      </c>
    </row>
  </sheetData>
  <dataValidations count="4">
    <dataValidation type="list" allowBlank="1" showInputMessage="1" showErrorMessage="1" sqref="C3">
      <formula1>Conversions.Energy.Units</formula1>
    </dataValidation>
    <dataValidation type="list" allowBlank="1" showInputMessage="1" showErrorMessage="1" sqref="C5">
      <formula1>Conversions.Power.Units</formula1>
    </dataValidation>
    <dataValidation type="list" allowBlank="1" showInputMessage="1" showErrorMessage="1" sqref="C7">
      <formula1>Conversions.Area.Units</formula1>
    </dataValidation>
    <dataValidation type="list" allowBlank="1" showInputMessage="1" showErrorMessage="1" sqref="C9">
      <formula1>Conversions.Money.Units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5" tint="0.39997558519241921"/>
    <pageSetUpPr autoPageBreaks="0"/>
  </sheetPr>
  <dimension ref="A1:U18"/>
  <sheetViews>
    <sheetView workbookViewId="0">
      <selection activeCell="D16" sqref="D16"/>
    </sheetView>
  </sheetViews>
  <sheetFormatPr baseColWidth="10" defaultColWidth="9.1640625" defaultRowHeight="13" x14ac:dyDescent="0"/>
  <cols>
    <col min="1" max="1" width="2.1640625" style="115" customWidth="1"/>
    <col min="2" max="2" width="4.5" customWidth="1"/>
    <col min="3" max="3" width="5.5" bestFit="1" customWidth="1"/>
    <col min="4" max="4" width="28.1640625" customWidth="1"/>
    <col min="5" max="5" width="10.33203125" customWidth="1"/>
    <col min="6" max="6" width="10" customWidth="1"/>
    <col min="8" max="8" width="16.6640625" style="115" bestFit="1" customWidth="1"/>
    <col min="9" max="9" width="20.6640625" bestFit="1" customWidth="1"/>
    <col min="10" max="10" width="8.5" customWidth="1"/>
    <col min="11" max="11" width="17.83203125" bestFit="1" customWidth="1"/>
    <col min="12" max="20" width="5.5" bestFit="1" customWidth="1"/>
  </cols>
  <sheetData>
    <row r="1" spans="1:21" ht="6.75" customHeight="1"/>
    <row r="2" spans="1:21" s="115" customFormat="1" ht="22">
      <c r="A2" s="766"/>
      <c r="B2" s="782" t="s">
        <v>1014</v>
      </c>
      <c r="C2" s="773"/>
      <c r="D2" s="773"/>
      <c r="E2" s="773"/>
      <c r="F2" s="773"/>
      <c r="G2" s="774"/>
    </row>
    <row r="3" spans="1:21" s="522" customFormat="1" ht="20.25" customHeight="1">
      <c r="B3" s="767"/>
      <c r="C3" s="769"/>
      <c r="D3" s="769"/>
      <c r="E3" s="769"/>
      <c r="F3" s="769" t="s">
        <v>1855</v>
      </c>
      <c r="G3" s="777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20.25" customHeight="1">
      <c r="B4" s="767"/>
      <c r="C4" s="769"/>
      <c r="D4" s="1019" t="str">
        <f>Preferences.EnergyUnits &amp; " / year"</f>
        <v>TWh / year</v>
      </c>
      <c r="E4" s="769"/>
      <c r="F4" s="1020">
        <v>2007</v>
      </c>
      <c r="G4" s="770"/>
    </row>
    <row r="5" spans="1:21" s="115" customFormat="1">
      <c r="B5" s="767"/>
      <c r="C5" s="769"/>
      <c r="D5" s="769"/>
      <c r="E5" s="769"/>
      <c r="F5" s="769"/>
      <c r="G5" s="770"/>
    </row>
    <row r="6" spans="1:21" s="519" customFormat="1">
      <c r="B6" s="1024"/>
      <c r="C6" s="1032" t="s">
        <v>1015</v>
      </c>
      <c r="D6" s="1025"/>
      <c r="E6" s="769"/>
      <c r="F6" s="1026"/>
      <c r="G6" s="1027"/>
      <c r="H6" s="733"/>
    </row>
    <row r="7" spans="1:21" s="519" customFormat="1">
      <c r="B7" s="1024"/>
      <c r="C7" s="1025" t="s">
        <v>33</v>
      </c>
      <c r="D7" s="1025" t="str">
        <f>INDEX(Vectors[Description], MATCH($C7, Vectors[Code], 0))</f>
        <v>Road transport</v>
      </c>
      <c r="E7" s="769"/>
      <c r="F7" s="1026">
        <f ca="1">INDEX(INDIRECT("'"&amp;F$4&amp;"'!Year.NetBalance"), MATCH('Intermediate output'!$C7, INDIRECT("'"&amp;F$4&amp;"'!Year.Vectors"), 0))</f>
        <v>0</v>
      </c>
      <c r="G7" s="1027"/>
      <c r="H7" s="733"/>
    </row>
    <row r="8" spans="1:21" s="519" customFormat="1">
      <c r="B8" s="1024"/>
      <c r="C8" s="1025" t="s">
        <v>34</v>
      </c>
      <c r="D8" s="1025" t="str">
        <f>INDEX(Vectors[Description], MATCH($C8, Vectors[Code], 0))</f>
        <v>Rail transport</v>
      </c>
      <c r="E8" s="769"/>
      <c r="F8" s="1026">
        <f ca="1">INDEX(INDIRECT("'"&amp;F$4&amp;"'!Year.NetBalance"), MATCH('Intermediate output'!$C8, INDIRECT("'"&amp;F$4&amp;"'!Year.Vectors"), 0))</f>
        <v>0</v>
      </c>
      <c r="G8" s="1027"/>
      <c r="H8" s="733"/>
    </row>
    <row r="9" spans="1:21" s="519" customFormat="1">
      <c r="B9" s="1024"/>
      <c r="C9" s="1025" t="s">
        <v>35</v>
      </c>
      <c r="D9" s="1025" t="str">
        <f>INDEX(Vectors[Description], MATCH($C9, Vectors[Code], 0))</f>
        <v>Domestic aviation</v>
      </c>
      <c r="E9" s="769"/>
      <c r="F9" s="1026">
        <f ca="1">INDEX(INDIRECT("'"&amp;F$4&amp;"'!Year.NetBalance"), MATCH('Intermediate output'!$C9, INDIRECT("'"&amp;F$4&amp;"'!Year.Vectors"), 0))</f>
        <v>0</v>
      </c>
      <c r="G9" s="1027"/>
      <c r="H9" s="733"/>
    </row>
    <row r="10" spans="1:21" s="519" customFormat="1">
      <c r="B10" s="1024"/>
      <c r="C10" s="1025" t="s">
        <v>36</v>
      </c>
      <c r="D10" s="1025" t="str">
        <f>INDEX(Vectors[Description], MATCH($C10, Vectors[Code], 0))</f>
        <v>National navigation</v>
      </c>
      <c r="E10" s="769"/>
      <c r="F10" s="1026">
        <f ca="1">INDEX(INDIRECT("'"&amp;F$4&amp;"'!Year.NetBalance"), MATCH('Intermediate output'!$C10, INDIRECT("'"&amp;F$4&amp;"'!Year.Vectors"), 0))</f>
        <v>0</v>
      </c>
      <c r="G10" s="1027"/>
      <c r="H10" s="733"/>
    </row>
    <row r="11" spans="1:21" s="519" customFormat="1">
      <c r="B11" s="1024"/>
      <c r="C11" s="1025" t="s">
        <v>746</v>
      </c>
      <c r="D11" s="1025" t="str">
        <f>INDEX(Vectors[Description], MATCH($C11, Vectors[Code], 0))</f>
        <v>International aviation</v>
      </c>
      <c r="E11" s="769"/>
      <c r="F11" s="1026">
        <f ca="1">INDEX(INDIRECT("'"&amp;F$4&amp;"'!Year.NetBalance"), MATCH('Intermediate output'!$C11, INDIRECT("'"&amp;F$4&amp;"'!Year.Vectors"), 0))</f>
        <v>0</v>
      </c>
      <c r="G11" s="1027"/>
      <c r="H11" s="733"/>
    </row>
    <row r="12" spans="1:21" s="519" customFormat="1">
      <c r="B12" s="1024"/>
      <c r="C12" s="1025" t="s">
        <v>747</v>
      </c>
      <c r="D12" s="1025" t="str">
        <f>INDEX(Vectors[Description], MATCH($C12, Vectors[Code], 0))</f>
        <v>International shipping</v>
      </c>
      <c r="E12" s="769"/>
      <c r="F12" s="1026">
        <f ca="1">INDEX(INDIRECT("'"&amp;F$4&amp;"'!Year.NetBalance"), MATCH('Intermediate output'!$C12, INDIRECT("'"&amp;F$4&amp;"'!Year.Vectors"), 0))</f>
        <v>0</v>
      </c>
      <c r="G12" s="1027"/>
      <c r="H12" s="733"/>
    </row>
    <row r="13" spans="1:21" s="115" customFormat="1">
      <c r="B13" s="767"/>
      <c r="C13" s="769"/>
      <c r="D13" s="769" t="s">
        <v>245</v>
      </c>
      <c r="E13" s="769"/>
      <c r="F13" s="1028">
        <f t="shared" ref="F13" ca="1" si="0">SUM(F7:F12)</f>
        <v>0</v>
      </c>
      <c r="G13" s="1029"/>
      <c r="H13" s="21"/>
      <c r="J13" s="21"/>
      <c r="K13" s="21"/>
    </row>
    <row r="14" spans="1:21">
      <c r="B14" s="767"/>
      <c r="C14" s="1033" t="s">
        <v>13</v>
      </c>
      <c r="D14" s="769" t="str">
        <f>INDEX(Vectors[Description], MATCH($C14, Vectors[Code], 0))</f>
        <v>Industry</v>
      </c>
      <c r="E14" s="769"/>
      <c r="F14" s="1028">
        <f ca="1">INDEX(INDIRECT("'"&amp;F$4&amp;"'!Year.NetBalance"), MATCH('Intermediate output'!$C14, INDIRECT("'"&amp;F$4&amp;"'!Year.Vectors"), 0))</f>
        <v>0</v>
      </c>
      <c r="G14" s="1029"/>
      <c r="H14" s="21"/>
    </row>
    <row r="15" spans="1:21">
      <c r="B15" s="767"/>
      <c r="C15" s="1033" t="s">
        <v>6</v>
      </c>
      <c r="D15" s="769" t="str">
        <f>INDEX(Vectors[Description], MATCH($C15, Vectors[Code], 0))</f>
        <v>Heating &amp; cooling</v>
      </c>
      <c r="E15" s="769"/>
      <c r="F15" s="1028">
        <f ca="1">INDEX(INDIRECT("'"&amp;F$4&amp;"'!Year.NetBalance"), MATCH('Intermediate output'!$C15, INDIRECT("'"&amp;F$4&amp;"'!Year.Vectors"), 0))</f>
        <v>382.53018590696547</v>
      </c>
      <c r="G15" s="1029"/>
      <c r="H15" s="21"/>
    </row>
    <row r="16" spans="1:21">
      <c r="B16" s="767"/>
      <c r="C16" s="1033" t="s">
        <v>51</v>
      </c>
      <c r="D16" s="769" t="str">
        <f>INDEX(Vectors[Description], MATCH($C16, Vectors[Code], 0))</f>
        <v>Lighting &amp; appliances</v>
      </c>
      <c r="E16" s="769"/>
      <c r="F16" s="1028">
        <f ca="1">INDEX(INDIRECT("'"&amp;F$4&amp;"'!Year.NetBalance"), MATCH('Intermediate output'!$C16, INDIRECT("'"&amp;F$4&amp;"'!Year.Vectors"), 0))</f>
        <v>0</v>
      </c>
      <c r="G16" s="1029"/>
      <c r="H16" s="21"/>
    </row>
    <row r="17" spans="2:8">
      <c r="B17" s="767"/>
      <c r="C17" s="1033" t="s">
        <v>37</v>
      </c>
      <c r="D17" s="769" t="str">
        <f>INDEX(Vectors[Description], MATCH($C17, Vectors[Code], 0))</f>
        <v>Food consumption [UNUSED]</v>
      </c>
      <c r="E17" s="769"/>
      <c r="F17" s="1028">
        <f ca="1">INDEX(INDIRECT("'"&amp;F$4&amp;"'!Year.NetBalance"), MATCH('Intermediate output'!$C17, INDIRECT("'"&amp;F$4&amp;"'!Year.Vectors"), 0))</f>
        <v>0</v>
      </c>
      <c r="G17" s="1029"/>
      <c r="H17" s="21"/>
    </row>
    <row r="18" spans="2:8" s="550" customFormat="1" ht="17">
      <c r="B18" s="1030"/>
      <c r="C18" s="1034"/>
      <c r="D18" s="1021" t="s">
        <v>133</v>
      </c>
      <c r="E18" s="769"/>
      <c r="F18" s="1022">
        <f t="shared" ref="F18" ca="1" si="1">F13+F14+F15+F16+F17</f>
        <v>382.53018590696547</v>
      </c>
      <c r="G18" s="1031"/>
      <c r="H18" s="554"/>
    </row>
  </sheetData>
  <sortState ref="I363:K453">
    <sortCondition ref="I363"/>
  </sortState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7" tint="0.39997558519241921"/>
    <pageSetUpPr autoPageBreaks="0"/>
  </sheetPr>
  <dimension ref="A2:AP107"/>
  <sheetViews>
    <sheetView workbookViewId="0"/>
  </sheetViews>
  <sheetFormatPr baseColWidth="10" defaultColWidth="8.83203125" defaultRowHeight="13" x14ac:dyDescent="0"/>
  <cols>
    <col min="1" max="1" width="3.6640625" customWidth="1"/>
    <col min="2" max="2" width="12.6640625" customWidth="1"/>
    <col min="3" max="3" width="28.5" style="115" bestFit="1" customWidth="1"/>
    <col min="4" max="4" width="23.6640625" customWidth="1"/>
    <col min="5" max="5" width="10.1640625" customWidth="1"/>
    <col min="6" max="6" width="13.83203125" bestFit="1" customWidth="1"/>
    <col min="8" max="8" width="10.5" bestFit="1" customWidth="1"/>
    <col min="9" max="9" width="15.1640625" customWidth="1"/>
    <col min="10" max="10" width="13.33203125" bestFit="1" customWidth="1"/>
    <col min="11" max="11" width="17" customWidth="1"/>
    <col min="12" max="12" width="13.5" customWidth="1"/>
    <col min="13" max="13" width="53.6640625" customWidth="1"/>
    <col min="14" max="15" width="10.5" bestFit="1" customWidth="1"/>
    <col min="16" max="16" width="12.6640625" customWidth="1"/>
    <col min="17" max="22" width="8.83203125" customWidth="1"/>
    <col min="25" max="25" width="13.1640625" customWidth="1"/>
  </cols>
  <sheetData>
    <row r="2" spans="1:42" ht="18">
      <c r="B2" s="23" t="s">
        <v>582</v>
      </c>
      <c r="C2" s="23"/>
      <c r="H2" s="23" t="s">
        <v>105</v>
      </c>
    </row>
    <row r="3" spans="1:42" ht="4.5" customHeight="1"/>
    <row r="4" spans="1:42" s="14" customFormat="1" ht="20.25" customHeight="1">
      <c r="B4" s="28" t="s">
        <v>79</v>
      </c>
      <c r="C4" s="28" t="s">
        <v>400</v>
      </c>
      <c r="D4" s="28" t="s">
        <v>401</v>
      </c>
      <c r="E4" s="29" t="s">
        <v>78</v>
      </c>
      <c r="F4" s="29" t="str">
        <f>Preferences.EnergyUnits</f>
        <v>TWh</v>
      </c>
      <c r="H4" s="1623">
        <v>1</v>
      </c>
      <c r="I4" s="33" t="s">
        <v>80</v>
      </c>
      <c r="J4" s="14" t="s">
        <v>106</v>
      </c>
      <c r="K4" s="484">
        <f>H4*INDEX(Conversions.Energy.Joules, MATCH(I4, Conversions.Energy.Units, 0))/INDEX(Conversions.Energy.Joules, MATCH(L4, Conversions.Energy.Units, 0))</f>
        <v>3.1688810807659062E-2</v>
      </c>
      <c r="L4" s="33" t="s">
        <v>88</v>
      </c>
    </row>
    <row r="5" spans="1:42" s="14" customFormat="1" ht="15">
      <c r="A5" s="527"/>
      <c r="B5" s="24" t="s">
        <v>80</v>
      </c>
      <c r="C5" s="24" t="s">
        <v>402</v>
      </c>
      <c r="D5" s="30" t="s">
        <v>89</v>
      </c>
      <c r="E5" s="25">
        <f>10^15</f>
        <v>1000000000000000</v>
      </c>
      <c r="F5" s="25">
        <f t="shared" ref="F5:F23" si="0">$E5/INDEX(Conversions.Energy.Joules, MATCH(F$4, Conversions.Energy.Units, 0))</f>
        <v>0.27777777777777779</v>
      </c>
    </row>
    <row r="6" spans="1:42" s="14" customFormat="1" ht="15">
      <c r="A6" s="527"/>
      <c r="B6" s="24" t="s">
        <v>103</v>
      </c>
      <c r="C6" s="24" t="s">
        <v>403</v>
      </c>
      <c r="D6" s="30" t="s">
        <v>104</v>
      </c>
      <c r="E6" s="25">
        <f>10^12</f>
        <v>1000000000000</v>
      </c>
      <c r="F6" s="25">
        <f t="shared" si="0"/>
        <v>2.7777777777777778E-4</v>
      </c>
      <c r="H6" s="32"/>
      <c r="I6" s="32"/>
      <c r="J6" s="32"/>
      <c r="K6" s="1584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</row>
    <row r="7" spans="1:42" s="14" customFormat="1" ht="15">
      <c r="A7" s="527"/>
      <c r="B7" s="24" t="s">
        <v>360</v>
      </c>
      <c r="C7" s="24" t="s">
        <v>404</v>
      </c>
      <c r="D7" s="30" t="s">
        <v>361</v>
      </c>
      <c r="E7" s="25">
        <f>10^9</f>
        <v>1000000000</v>
      </c>
      <c r="F7" s="25">
        <f t="shared" si="0"/>
        <v>2.7777777777777776E-7</v>
      </c>
      <c r="H7" s="32"/>
      <c r="I7" s="32"/>
      <c r="J7" s="32"/>
      <c r="K7" s="32"/>
      <c r="L7" s="17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</row>
    <row r="8" spans="1:42" s="522" customFormat="1" ht="15">
      <c r="A8" s="527"/>
      <c r="B8" s="24" t="s">
        <v>614</v>
      </c>
      <c r="C8" s="24" t="s">
        <v>78</v>
      </c>
      <c r="D8" s="30" t="s">
        <v>615</v>
      </c>
      <c r="E8" s="25">
        <v>1</v>
      </c>
      <c r="F8" s="25">
        <f t="shared" si="0"/>
        <v>2.777777777777778E-16</v>
      </c>
      <c r="H8" s="32"/>
      <c r="I8" s="1733"/>
      <c r="J8" s="32"/>
      <c r="K8" s="32"/>
      <c r="L8" s="1626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</row>
    <row r="9" spans="1:42" s="14" customFormat="1" ht="15">
      <c r="A9" s="527"/>
      <c r="B9" s="24" t="s">
        <v>368</v>
      </c>
      <c r="C9" s="24" t="s">
        <v>405</v>
      </c>
      <c r="D9" s="30" t="s">
        <v>369</v>
      </c>
      <c r="E9" s="25">
        <f>10^6</f>
        <v>1000000</v>
      </c>
      <c r="F9" s="25">
        <f t="shared" si="0"/>
        <v>2.7777777777777777E-10</v>
      </c>
      <c r="H9" s="32"/>
      <c r="I9" s="32"/>
      <c r="J9" s="32"/>
      <c r="K9" s="32"/>
      <c r="L9" s="1617"/>
      <c r="M9" s="1617"/>
      <c r="N9" s="1617"/>
      <c r="O9" s="1617"/>
      <c r="P9" s="1617"/>
      <c r="Q9" s="1617"/>
      <c r="R9" s="1617"/>
      <c r="S9" s="1617"/>
      <c r="T9" s="1617"/>
      <c r="U9" s="1617"/>
      <c r="V9" s="1617"/>
      <c r="W9" s="1617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</row>
    <row r="10" spans="1:42" s="14" customFormat="1" ht="15">
      <c r="A10" s="527"/>
      <c r="B10" s="24" t="s">
        <v>82</v>
      </c>
      <c r="C10" s="24" t="s">
        <v>406</v>
      </c>
      <c r="D10" s="30" t="s">
        <v>90</v>
      </c>
      <c r="E10" s="25">
        <f>10^3*60*60</f>
        <v>3600000</v>
      </c>
      <c r="F10" s="25">
        <f t="shared" si="0"/>
        <v>1.0000000000000001E-9</v>
      </c>
      <c r="H10" s="32"/>
      <c r="I10" s="32"/>
      <c r="J10" s="32"/>
      <c r="K10" s="1734"/>
      <c r="L10" s="1617"/>
      <c r="M10" s="1618"/>
      <c r="N10" s="1618"/>
      <c r="O10" s="1618"/>
      <c r="P10" s="1618"/>
      <c r="Q10" s="1618"/>
      <c r="R10" s="1618"/>
      <c r="S10" s="1618"/>
      <c r="T10" s="1618"/>
      <c r="U10" s="1618"/>
      <c r="V10" s="1618"/>
      <c r="W10" s="1618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spans="1:42" s="14" customFormat="1" ht="15">
      <c r="A11" s="527"/>
      <c r="B11" s="24" t="s">
        <v>269</v>
      </c>
      <c r="C11" s="24" t="s">
        <v>407</v>
      </c>
      <c r="D11" s="30" t="s">
        <v>270</v>
      </c>
      <c r="E11" s="25">
        <f>1000*60*60*365.25*60000000</f>
        <v>7.8894E+16</v>
      </c>
      <c r="F11" s="25">
        <f t="shared" si="0"/>
        <v>21.914999999999999</v>
      </c>
      <c r="H11" s="32"/>
      <c r="I11" s="32"/>
      <c r="J11" s="32"/>
      <c r="K11" s="32"/>
      <c r="L11" s="1617"/>
      <c r="M11" s="1618"/>
      <c r="N11" s="1618"/>
      <c r="O11" s="1618"/>
      <c r="P11" s="1618"/>
      <c r="Q11" s="1618"/>
      <c r="R11" s="1618"/>
      <c r="S11" s="1618"/>
      <c r="T11" s="1618"/>
      <c r="U11" s="1618"/>
      <c r="V11" s="1618"/>
      <c r="W11" s="1618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spans="1:42" s="14" customFormat="1" ht="15">
      <c r="A12" s="527"/>
      <c r="B12" s="24" t="s">
        <v>81</v>
      </c>
      <c r="C12" s="24" t="s">
        <v>408</v>
      </c>
      <c r="D12" s="30" t="s">
        <v>91</v>
      </c>
      <c r="E12" s="25">
        <f>10^12*60*60</f>
        <v>3600000000000000</v>
      </c>
      <c r="F12" s="25">
        <f t="shared" si="0"/>
        <v>1</v>
      </c>
      <c r="H12" s="32"/>
      <c r="I12" s="32"/>
      <c r="J12" s="32"/>
      <c r="K12" s="32"/>
      <c r="L12" s="1617"/>
      <c r="M12" s="1618"/>
      <c r="N12" s="1618"/>
      <c r="O12" s="1618"/>
      <c r="P12" s="1618"/>
      <c r="Q12" s="1618"/>
      <c r="R12" s="1618"/>
      <c r="S12" s="1618"/>
      <c r="T12" s="1618"/>
      <c r="U12" s="1618"/>
      <c r="V12" s="1618"/>
      <c r="W12" s="1618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1:42" s="14" customFormat="1" ht="15">
      <c r="A13" s="527"/>
      <c r="B13" s="24" t="s">
        <v>373</v>
      </c>
      <c r="C13" s="24" t="s">
        <v>409</v>
      </c>
      <c r="D13" s="30" t="s">
        <v>399</v>
      </c>
      <c r="E13" s="25">
        <f>10^9*60*60</f>
        <v>3600000000000</v>
      </c>
      <c r="F13" s="25">
        <f t="shared" si="0"/>
        <v>1E-3</v>
      </c>
      <c r="H13" s="32"/>
      <c r="I13" s="32"/>
      <c r="J13" s="32"/>
      <c r="K13" s="32"/>
      <c r="L13" s="32"/>
      <c r="M13" s="1618"/>
      <c r="N13" s="1733"/>
      <c r="O13" s="32"/>
      <c r="P13" s="1618"/>
      <c r="Q13" s="1618"/>
      <c r="R13" s="1618"/>
      <c r="S13" s="1618"/>
      <c r="T13" s="1618"/>
      <c r="U13" s="1618"/>
      <c r="V13" s="1618"/>
      <c r="W13" s="1618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2" s="522" customFormat="1" ht="15">
      <c r="A14" s="527"/>
      <c r="B14" s="24" t="s">
        <v>1641</v>
      </c>
      <c r="C14" s="24" t="s">
        <v>1642</v>
      </c>
      <c r="D14" s="30" t="s">
        <v>1643</v>
      </c>
      <c r="E14" s="25">
        <f>10^6*60*60</f>
        <v>3600000000</v>
      </c>
      <c r="F14" s="25">
        <f t="shared" si="0"/>
        <v>9.9999999999999995E-7</v>
      </c>
      <c r="H14" s="32"/>
      <c r="I14" s="32"/>
      <c r="J14" s="32"/>
      <c r="K14" s="32"/>
      <c r="L14" s="1617"/>
      <c r="M14" s="1618"/>
      <c r="N14" s="1622"/>
      <c r="O14" s="1618"/>
      <c r="P14" s="1618"/>
      <c r="Q14" s="1618"/>
      <c r="R14" s="1618"/>
      <c r="S14" s="1618"/>
      <c r="T14" s="1618"/>
      <c r="U14" s="1618"/>
      <c r="V14" s="1618"/>
      <c r="W14" s="1618"/>
      <c r="X14" s="32"/>
      <c r="Y14" s="1735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1:42" s="522" customFormat="1" ht="15">
      <c r="A15" s="527"/>
      <c r="B15" s="24" t="s">
        <v>1571</v>
      </c>
      <c r="C15" s="24" t="s">
        <v>1572</v>
      </c>
      <c r="D15" s="30" t="s">
        <v>1573</v>
      </c>
      <c r="E15" s="25">
        <f>5861520000000000/1000000</f>
        <v>5861520000</v>
      </c>
      <c r="F15" s="25">
        <f t="shared" si="0"/>
        <v>1.6281999999999999E-6</v>
      </c>
      <c r="H15" s="32"/>
      <c r="I15" s="32"/>
      <c r="J15" s="32"/>
      <c r="K15" s="32"/>
      <c r="L15" s="32"/>
      <c r="M15" s="32"/>
      <c r="N15" s="35"/>
      <c r="O15" s="35"/>
      <c r="P15" s="35"/>
      <c r="Q15" s="35"/>
      <c r="R15" s="35"/>
      <c r="S15" s="35"/>
      <c r="T15" s="35"/>
      <c r="U15" s="35"/>
      <c r="V15" s="1618"/>
      <c r="W15" s="1618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1:42" s="522" customFormat="1" ht="15">
      <c r="A16" s="527"/>
      <c r="B16" s="24" t="s">
        <v>1565</v>
      </c>
      <c r="C16" s="24" t="s">
        <v>1566</v>
      </c>
      <c r="D16" s="30" t="s">
        <v>1567</v>
      </c>
      <c r="E16" s="25">
        <v>5861520000000000</v>
      </c>
      <c r="F16" s="25">
        <f>$E16/INDEX(Conversions.Energy.Joules, MATCH(F$4, Conversions.Energy.Units, 0))</f>
        <v>1.6282000000000001</v>
      </c>
      <c r="H16" s="32"/>
      <c r="I16" s="32"/>
      <c r="J16" s="32"/>
      <c r="K16" s="32"/>
      <c r="L16" s="1618"/>
      <c r="M16" s="1618"/>
      <c r="N16" s="1620"/>
      <c r="O16" s="1620"/>
      <c r="P16" s="1620"/>
      <c r="Q16" s="1620"/>
      <c r="R16" s="1620"/>
      <c r="S16" s="1620"/>
      <c r="T16" s="1620"/>
      <c r="U16" s="1620"/>
      <c r="V16" s="1618"/>
      <c r="W16" s="1618"/>
      <c r="X16" s="32"/>
      <c r="Y16" s="1735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s="14" customFormat="1" ht="15">
      <c r="A17" s="527"/>
      <c r="B17" s="24" t="s">
        <v>84</v>
      </c>
      <c r="C17" s="24" t="s">
        <v>410</v>
      </c>
      <c r="D17" s="30" t="s">
        <v>92</v>
      </c>
      <c r="E17" s="25">
        <f>41.868*10^9</f>
        <v>41868000000</v>
      </c>
      <c r="F17" s="25">
        <f t="shared" si="0"/>
        <v>1.163E-5</v>
      </c>
      <c r="H17" s="32"/>
      <c r="I17" s="32"/>
      <c r="J17" s="32"/>
      <c r="K17" s="32"/>
      <c r="L17" s="1618"/>
      <c r="M17" s="1618"/>
      <c r="N17" s="1621"/>
      <c r="O17" s="1621"/>
      <c r="P17" s="1621"/>
      <c r="Q17" s="1621"/>
      <c r="R17" s="1621"/>
      <c r="S17" s="1621"/>
      <c r="T17" s="1621"/>
      <c r="U17" s="1621"/>
      <c r="V17" s="1618"/>
      <c r="W17" s="1618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1:42" s="14" customFormat="1" ht="15">
      <c r="A18" s="527"/>
      <c r="B18" s="24" t="s">
        <v>182</v>
      </c>
      <c r="C18" s="24" t="s">
        <v>411</v>
      </c>
      <c r="D18" s="30" t="s">
        <v>183</v>
      </c>
      <c r="E18" s="25">
        <f>E17*1000</f>
        <v>41868000000000</v>
      </c>
      <c r="F18" s="25">
        <f t="shared" si="0"/>
        <v>1.163E-2</v>
      </c>
      <c r="H18" s="32"/>
      <c r="I18" s="32"/>
      <c r="J18" s="32"/>
      <c r="K18" s="32"/>
      <c r="L18" s="1736"/>
      <c r="M18" s="1618"/>
      <c r="N18" s="1621"/>
      <c r="O18" s="1621"/>
      <c r="P18" s="1621"/>
      <c r="Q18" s="1621"/>
      <c r="R18" s="1621"/>
      <c r="S18" s="1621"/>
      <c r="T18" s="1621"/>
      <c r="U18" s="1621"/>
      <c r="V18" s="1618"/>
      <c r="W18" s="1618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1:42" s="14" customFormat="1" ht="15">
      <c r="A19" s="527"/>
      <c r="B19" s="24" t="s">
        <v>83</v>
      </c>
      <c r="C19" s="24" t="s">
        <v>412</v>
      </c>
      <c r="D19" s="30" t="s">
        <v>93</v>
      </c>
      <c r="E19" s="25">
        <f>E17*1000000</f>
        <v>4.1868E+16</v>
      </c>
      <c r="F19" s="25">
        <f t="shared" si="0"/>
        <v>11.63</v>
      </c>
      <c r="H19" s="32"/>
      <c r="I19" s="32"/>
      <c r="J19" s="32"/>
      <c r="K19" s="32"/>
      <c r="L19" s="1618"/>
      <c r="M19" s="1618"/>
      <c r="N19" s="32"/>
      <c r="O19" s="32"/>
      <c r="P19" s="32"/>
      <c r="Q19" s="32"/>
      <c r="R19" s="32"/>
      <c r="S19" s="32"/>
      <c r="T19" s="32"/>
      <c r="U19" s="32"/>
      <c r="V19" s="1618"/>
      <c r="W19" s="1618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1:42" s="14" customFormat="1" ht="15">
      <c r="A20" s="527"/>
      <c r="B20" s="24" t="s">
        <v>85</v>
      </c>
      <c r="C20" s="24" t="s">
        <v>413</v>
      </c>
      <c r="D20" s="30" t="s">
        <v>94</v>
      </c>
      <c r="E20" s="25">
        <f>41.868*10^9/396.83</f>
        <v>105506136.12882091</v>
      </c>
      <c r="F20" s="25">
        <f t="shared" si="0"/>
        <v>2.9307260035783588E-8</v>
      </c>
      <c r="H20" s="32"/>
      <c r="I20" s="32"/>
      <c r="J20" s="32"/>
      <c r="K20" s="32"/>
      <c r="L20" s="1617"/>
      <c r="M20" s="1618"/>
      <c r="N20" s="1621"/>
      <c r="O20" s="1621"/>
      <c r="P20" s="1621"/>
      <c r="Q20" s="1621"/>
      <c r="R20" s="1621"/>
      <c r="S20" s="1621"/>
      <c r="T20" s="1621"/>
      <c r="U20" s="1621"/>
      <c r="V20" s="1618"/>
      <c r="W20" s="32"/>
      <c r="X20" s="32"/>
      <c r="Y20" s="1737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1:42" s="14" customFormat="1" ht="15">
      <c r="A21" s="527"/>
      <c r="B21" s="24" t="s">
        <v>86</v>
      </c>
      <c r="C21" s="24" t="s">
        <v>414</v>
      </c>
      <c r="D21" s="30" t="s">
        <v>95</v>
      </c>
      <c r="E21" s="25">
        <f>E20/100000</f>
        <v>1055.0613612882091</v>
      </c>
      <c r="F21" s="25">
        <f t="shared" si="0"/>
        <v>2.9307260035783586E-13</v>
      </c>
      <c r="H21" s="32"/>
      <c r="I21" s="32"/>
      <c r="J21" s="32"/>
      <c r="K21" s="32"/>
      <c r="L21" s="1617"/>
      <c r="M21" s="1618"/>
      <c r="N21" s="1775"/>
      <c r="O21" s="1775"/>
      <c r="P21" s="1775"/>
      <c r="Q21" s="1775"/>
      <c r="R21" s="1728"/>
      <c r="S21" s="1261"/>
      <c r="T21" s="1261"/>
      <c r="U21" s="1261"/>
      <c r="V21" s="1618"/>
      <c r="W21" s="1618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1:42" s="14" customFormat="1" ht="15">
      <c r="A22" s="527"/>
      <c r="B22" s="24" t="s">
        <v>87</v>
      </c>
      <c r="C22" s="24" t="s">
        <v>415</v>
      </c>
      <c r="D22" s="30" t="s">
        <v>96</v>
      </c>
      <c r="E22" s="25">
        <v>4.1840000000000002</v>
      </c>
      <c r="F22" s="25">
        <f t="shared" si="0"/>
        <v>1.1622222222222223E-15</v>
      </c>
      <c r="H22" s="32"/>
      <c r="I22" s="32"/>
      <c r="J22" s="32"/>
      <c r="K22" s="32"/>
      <c r="L22" s="1617"/>
      <c r="M22" s="1618"/>
      <c r="N22" s="1773"/>
      <c r="O22" s="1774"/>
      <c r="P22" s="1773"/>
      <c r="Q22" s="1774"/>
      <c r="R22" s="1773"/>
      <c r="S22" s="1774"/>
      <c r="T22" s="1773"/>
      <c r="U22" s="1774"/>
      <c r="V22" s="1618"/>
      <c r="W22" s="1618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1:42" s="14" customFormat="1" ht="15">
      <c r="A23" s="527"/>
      <c r="B23" s="24" t="s">
        <v>88</v>
      </c>
      <c r="C23" s="24" t="s">
        <v>416</v>
      </c>
      <c r="D23" s="30" t="s">
        <v>97</v>
      </c>
      <c r="E23" s="25">
        <f>10^9*60*60*8765.8</f>
        <v>3.1556879999999996E+16</v>
      </c>
      <c r="F23" s="25">
        <f t="shared" si="0"/>
        <v>8.7657999999999987</v>
      </c>
      <c r="H23" s="32"/>
      <c r="I23" s="32"/>
      <c r="J23" s="32"/>
      <c r="K23" s="1610"/>
      <c r="L23" s="495"/>
      <c r="M23" s="495"/>
      <c r="N23" s="1677"/>
      <c r="O23" s="1677"/>
      <c r="P23" s="1729"/>
      <c r="Q23" s="1729"/>
      <c r="R23" s="1677"/>
      <c r="S23" s="1677"/>
      <c r="T23" s="1677"/>
      <c r="U23" s="1677"/>
      <c r="V23" s="1618"/>
      <c r="W23" s="1618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1:42" s="522" customFormat="1" ht="15">
      <c r="A24" s="527"/>
      <c r="B24" s="26" t="s">
        <v>1501</v>
      </c>
      <c r="C24" s="26" t="s">
        <v>1524</v>
      </c>
      <c r="D24" s="31" t="s">
        <v>1502</v>
      </c>
      <c r="E24" s="27">
        <f>F24*Unit.J</f>
        <v>2.5252525252525255E-17</v>
      </c>
      <c r="F24" s="27">
        <f>1/11</f>
        <v>9.0909090909090912E-2</v>
      </c>
      <c r="H24" s="32"/>
      <c r="I24" s="32"/>
      <c r="J24" s="32"/>
      <c r="K24" s="1610"/>
      <c r="L24" s="495"/>
      <c r="M24" s="495"/>
      <c r="N24" s="1677"/>
      <c r="O24" s="1677"/>
      <c r="P24" s="1729"/>
      <c r="Q24" s="1729"/>
      <c r="R24" s="1677"/>
      <c r="S24" s="1677"/>
      <c r="T24" s="1677"/>
      <c r="U24" s="1677"/>
      <c r="V24" s="1618"/>
      <c r="W24" s="1618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1:42">
      <c r="H25" s="35"/>
      <c r="I25" s="35"/>
      <c r="J25" s="35"/>
      <c r="K25" s="35"/>
      <c r="L25" s="1617"/>
      <c r="M25" s="1618"/>
      <c r="N25" s="1618"/>
      <c r="O25" s="1618"/>
      <c r="P25" s="1618"/>
      <c r="Q25" s="1618"/>
      <c r="R25" s="1618"/>
      <c r="S25" s="1618"/>
      <c r="T25" s="1618"/>
      <c r="U25" s="1618"/>
      <c r="V25" s="1618"/>
      <c r="W25" s="1618"/>
      <c r="X25" s="35"/>
      <c r="Y25" s="1738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spans="1:42" ht="14">
      <c r="E26" s="22"/>
      <c r="F26" s="22"/>
      <c r="H26" s="35"/>
      <c r="I26" s="35"/>
      <c r="J26" s="35"/>
      <c r="K26" s="35"/>
      <c r="L26" s="1617"/>
      <c r="M26" s="1618"/>
      <c r="N26" s="1618"/>
      <c r="O26" s="35"/>
      <c r="P26" s="1606"/>
      <c r="Q26" s="1606"/>
      <c r="R26" s="1283"/>
      <c r="S26" s="1283"/>
      <c r="T26" s="1283"/>
      <c r="U26" s="1283"/>
      <c r="V26" s="1283"/>
      <c r="W26" s="1283"/>
      <c r="X26" s="1283"/>
      <c r="Y26" s="1283"/>
      <c r="Z26" s="1283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ht="18">
      <c r="B27" s="23" t="s">
        <v>583</v>
      </c>
      <c r="C27" s="23"/>
      <c r="D27" s="1"/>
      <c r="E27" s="1"/>
      <c r="F27" s="1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1606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spans="1:42" ht="18" customHeight="1">
      <c r="B28" s="1"/>
      <c r="C28" s="1"/>
      <c r="D28" s="1"/>
      <c r="E28" s="1"/>
      <c r="F28" s="1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spans="1:42" ht="15">
      <c r="A29" s="3"/>
      <c r="B29" s="28" t="s">
        <v>79</v>
      </c>
      <c r="C29" s="28" t="s">
        <v>400</v>
      </c>
      <c r="D29" s="28" t="s">
        <v>401</v>
      </c>
      <c r="E29" s="518" t="s">
        <v>584</v>
      </c>
      <c r="F29" s="518" t="str">
        <f>Preferences.PowerUnits</f>
        <v>GW</v>
      </c>
      <c r="H29" s="35"/>
      <c r="I29" s="1611"/>
      <c r="J29" s="35"/>
      <c r="K29" s="35"/>
      <c r="L29" s="35"/>
      <c r="M29" s="35"/>
      <c r="N29" s="35"/>
      <c r="O29" s="35"/>
      <c r="P29" s="35"/>
      <c r="Q29" s="35"/>
      <c r="R29" s="1261"/>
      <c r="S29" s="1606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spans="1:42" ht="15">
      <c r="A30" s="3"/>
      <c r="B30" s="24" t="s">
        <v>585</v>
      </c>
      <c r="C30" s="24" t="s">
        <v>587</v>
      </c>
      <c r="D30" s="30" t="s">
        <v>589</v>
      </c>
      <c r="E30" s="25">
        <v>1000000000</v>
      </c>
      <c r="F30" s="25">
        <f t="shared" ref="F30:F35" si="1">$E30/INDEX(Conversions.Power.Watts, MATCH(F$29, Conversions.Power.Units, 0))</f>
        <v>1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1261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spans="1:42" s="1" customFormat="1" ht="15">
      <c r="A31" s="3"/>
      <c r="B31" s="24" t="s">
        <v>591</v>
      </c>
      <c r="C31" s="24" t="s">
        <v>592</v>
      </c>
      <c r="D31" s="30" t="s">
        <v>593</v>
      </c>
      <c r="E31" s="25">
        <v>1000000</v>
      </c>
      <c r="F31" s="25">
        <f t="shared" si="1"/>
        <v>1E-3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1:42" ht="15">
      <c r="A32" s="3"/>
      <c r="B32" s="1" t="s">
        <v>586</v>
      </c>
      <c r="C32" s="1" t="s">
        <v>588</v>
      </c>
      <c r="D32" s="30" t="s">
        <v>590</v>
      </c>
      <c r="E32" s="25">
        <v>1000</v>
      </c>
      <c r="F32" s="25">
        <f t="shared" si="1"/>
        <v>9.9999999999999995E-7</v>
      </c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s="115" customFormat="1" ht="15">
      <c r="A33" s="3"/>
      <c r="B33" s="115" t="s">
        <v>616</v>
      </c>
      <c r="C33" s="115" t="s">
        <v>584</v>
      </c>
      <c r="D33" s="30" t="s">
        <v>617</v>
      </c>
      <c r="E33" s="25">
        <v>1</v>
      </c>
      <c r="F33" s="25">
        <f t="shared" si="1"/>
        <v>1.0000000000000001E-9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ht="15">
      <c r="A34" s="3"/>
      <c r="B34" s="1233" t="s">
        <v>1308</v>
      </c>
      <c r="C34" s="1233" t="s">
        <v>1309</v>
      </c>
      <c r="D34" s="30" t="s">
        <v>1310</v>
      </c>
      <c r="E34" s="25">
        <f>29000000*1000000/(24*60*60)</f>
        <v>335648148.14814812</v>
      </c>
      <c r="F34" s="25">
        <f t="shared" si="1"/>
        <v>0.33564814814814814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>
      <c r="B35" s="532" t="s">
        <v>594</v>
      </c>
      <c r="C35" s="532" t="s">
        <v>595</v>
      </c>
      <c r="D35" s="533" t="s">
        <v>596</v>
      </c>
      <c r="E35" s="534">
        <f>$E$19/Unit.year</f>
        <v>1326716860.597764</v>
      </c>
      <c r="F35" s="534">
        <f t="shared" si="1"/>
        <v>1.3267168605977639</v>
      </c>
      <c r="H35" s="35"/>
      <c r="I35" s="35"/>
      <c r="J35" s="35"/>
      <c r="K35" s="35"/>
      <c r="L35" s="1617"/>
      <c r="M35" s="1618"/>
      <c r="N35" s="1618"/>
      <c r="O35" s="1618"/>
      <c r="P35" s="1618"/>
      <c r="Q35" s="1618"/>
      <c r="R35" s="1618"/>
      <c r="S35" s="1618"/>
      <c r="T35" s="1618"/>
      <c r="U35" s="1618"/>
      <c r="V35" s="1618"/>
      <c r="W35" s="1618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>
      <c r="H36" s="35"/>
      <c r="I36" s="35"/>
      <c r="J36" s="35"/>
      <c r="K36" s="35"/>
      <c r="L36" s="1617"/>
      <c r="M36" s="1618"/>
      <c r="N36" s="1618"/>
      <c r="O36" s="1618"/>
      <c r="P36" s="1618"/>
      <c r="Q36" s="1618"/>
      <c r="R36" s="1618"/>
      <c r="S36" s="1618"/>
      <c r="T36" s="1618"/>
      <c r="U36" s="1618"/>
      <c r="V36" s="1618"/>
      <c r="W36" s="1618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 ht="15" customHeight="1">
      <c r="B37" s="23" t="s">
        <v>597</v>
      </c>
      <c r="C37" s="23"/>
      <c r="D37" s="1"/>
      <c r="E37" s="1"/>
      <c r="F37" s="1"/>
      <c r="H37" s="35"/>
      <c r="I37" s="35"/>
      <c r="J37" s="35"/>
      <c r="K37" s="35"/>
      <c r="L37" s="1617"/>
      <c r="M37" s="1618"/>
      <c r="N37" s="1618"/>
      <c r="O37" s="1618"/>
      <c r="P37" s="1618"/>
      <c r="Q37" s="1618"/>
      <c r="R37" s="1618"/>
      <c r="S37" s="1618"/>
      <c r="T37" s="1618"/>
      <c r="U37" s="1618"/>
      <c r="V37" s="1618"/>
      <c r="W37" s="1618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ht="15">
      <c r="A38" s="3"/>
      <c r="B38" s="1"/>
      <c r="C38" s="1"/>
      <c r="D38" s="1"/>
      <c r="E38" s="1"/>
      <c r="F38" s="1"/>
      <c r="H38" s="35"/>
      <c r="I38" s="35"/>
      <c r="J38" s="35"/>
      <c r="K38" s="35"/>
      <c r="L38" s="35"/>
      <c r="M38" s="1618"/>
      <c r="N38" s="1618"/>
      <c r="O38" s="35"/>
      <c r="P38" s="1584"/>
      <c r="Q38" s="1618"/>
      <c r="R38" s="1618"/>
      <c r="S38" s="1627"/>
      <c r="T38" s="1618"/>
      <c r="U38" s="1618"/>
      <c r="V38" s="35"/>
      <c r="W38" s="1618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2" ht="15">
      <c r="A39" s="3"/>
      <c r="B39" s="28" t="s">
        <v>79</v>
      </c>
      <c r="C39" s="28" t="s">
        <v>400</v>
      </c>
      <c r="D39" s="28" t="s">
        <v>401</v>
      </c>
      <c r="E39" s="518"/>
      <c r="F39" s="518" t="s">
        <v>598</v>
      </c>
      <c r="H39" s="35"/>
      <c r="I39" s="35"/>
      <c r="J39" s="35"/>
      <c r="K39" s="35"/>
      <c r="L39" s="32"/>
      <c r="M39" s="1618"/>
      <c r="N39" s="1618"/>
      <c r="O39" s="1624"/>
      <c r="P39" s="1618"/>
      <c r="Q39" s="1618"/>
      <c r="R39" s="1618"/>
      <c r="S39" s="1618"/>
      <c r="T39" s="1618"/>
      <c r="U39" s="1618"/>
      <c r="V39" s="1618"/>
      <c r="W39" s="1618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>
      <c r="B40" s="24" t="s">
        <v>599</v>
      </c>
      <c r="C40" s="24" t="s">
        <v>600</v>
      </c>
      <c r="D40" s="30" t="s">
        <v>601</v>
      </c>
      <c r="E40" s="25"/>
      <c r="F40" s="25">
        <f>365.25*Unit.day</f>
        <v>31557600</v>
      </c>
      <c r="H40" s="35"/>
      <c r="I40" s="35"/>
      <c r="J40" s="35"/>
      <c r="K40" s="35"/>
      <c r="L40" s="1625"/>
      <c r="M40" s="1618"/>
      <c r="N40" s="1618"/>
      <c r="O40" s="1618"/>
      <c r="P40" s="1618"/>
      <c r="Q40" s="1618"/>
      <c r="R40" s="1618"/>
      <c r="S40" s="1618"/>
      <c r="T40" s="1618"/>
      <c r="U40" s="1618"/>
      <c r="V40" s="1618"/>
      <c r="W40" s="1618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B41" s="24" t="s">
        <v>1150</v>
      </c>
      <c r="C41" s="24" t="s">
        <v>1148</v>
      </c>
      <c r="D41" s="30" t="s">
        <v>1149</v>
      </c>
      <c r="E41" s="34"/>
      <c r="F41" s="1160">
        <f>Unit.hour*24</f>
        <v>86400</v>
      </c>
      <c r="H41" s="35"/>
      <c r="I41" s="35"/>
      <c r="J41" s="35"/>
      <c r="K41" s="35"/>
      <c r="L41" s="1617"/>
      <c r="M41" s="1618"/>
      <c r="N41" s="1618"/>
      <c r="O41" s="1618"/>
      <c r="P41" s="1618"/>
      <c r="Q41" s="1618"/>
      <c r="R41" s="1618"/>
      <c r="S41" s="1618"/>
      <c r="T41" s="1618"/>
      <c r="U41" s="1618"/>
      <c r="V41" s="1618"/>
      <c r="W41" s="1618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2">
      <c r="B42" t="s">
        <v>1151</v>
      </c>
      <c r="C42" s="115" t="s">
        <v>1152</v>
      </c>
      <c r="D42" s="1152" t="s">
        <v>1153</v>
      </c>
      <c r="F42" s="1008">
        <f>Unit.minute*60</f>
        <v>3600</v>
      </c>
      <c r="H42" s="35"/>
      <c r="I42" s="35"/>
      <c r="J42" s="35"/>
      <c r="K42" s="35"/>
      <c r="L42" s="1617"/>
      <c r="M42" s="1618"/>
      <c r="N42" s="1618"/>
      <c r="O42" s="1618"/>
      <c r="P42" s="1618"/>
      <c r="Q42" s="1618"/>
      <c r="R42" s="1618"/>
      <c r="S42" s="1618"/>
      <c r="T42" s="1618"/>
      <c r="U42" s="1618"/>
      <c r="V42" s="1618"/>
      <c r="W42" s="1618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2" ht="15">
      <c r="A43" s="3"/>
      <c r="B43" s="970" t="s">
        <v>1154</v>
      </c>
      <c r="C43" s="970" t="s">
        <v>1155</v>
      </c>
      <c r="D43" s="1161" t="s">
        <v>1156</v>
      </c>
      <c r="E43" s="970"/>
      <c r="F43" s="1162">
        <v>60</v>
      </c>
      <c r="H43" s="35"/>
      <c r="I43" s="1138"/>
      <c r="J43" s="35"/>
      <c r="K43" s="1730"/>
      <c r="L43" s="1730"/>
      <c r="M43" s="1613"/>
      <c r="N43" s="1613"/>
      <c r="O43" s="1613"/>
      <c r="P43" s="1310"/>
      <c r="Q43" s="1618"/>
      <c r="R43" s="1618"/>
      <c r="S43" s="1618"/>
      <c r="T43" s="1618"/>
      <c r="U43" s="1618"/>
      <c r="V43" s="1618"/>
      <c r="W43" s="1618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2">
      <c r="H44" s="35"/>
      <c r="I44" s="35"/>
      <c r="J44" s="35"/>
      <c r="K44" s="35"/>
      <c r="L44" s="1617"/>
      <c r="M44" s="1618"/>
      <c r="N44" s="1618"/>
      <c r="O44" s="1618"/>
      <c r="P44" s="1618"/>
      <c r="Q44" s="1618"/>
      <c r="R44" s="1618"/>
      <c r="S44" s="1618"/>
      <c r="T44" s="1618"/>
      <c r="U44" s="1618"/>
      <c r="V44" s="1618"/>
      <c r="W44" s="1618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spans="1:42" ht="18">
      <c r="B45" s="23" t="s">
        <v>1129</v>
      </c>
      <c r="C45" s="23"/>
      <c r="D45" s="115"/>
      <c r="E45" s="115"/>
      <c r="F45" s="115"/>
      <c r="H45" s="35"/>
      <c r="I45" s="35"/>
      <c r="J45" s="35"/>
      <c r="K45" s="35"/>
      <c r="L45" s="1617"/>
      <c r="M45" s="1618"/>
      <c r="N45" s="1618"/>
      <c r="O45" s="1618"/>
      <c r="P45" s="1618"/>
      <c r="Q45" s="1618"/>
      <c r="R45" s="1618"/>
      <c r="S45" s="1618"/>
      <c r="T45" s="1618"/>
      <c r="U45" s="1618"/>
      <c r="V45" s="1618"/>
      <c r="W45" s="1618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spans="1:42" ht="15">
      <c r="A46" s="3"/>
      <c r="B46" s="115"/>
      <c r="D46" s="115"/>
      <c r="E46" s="115"/>
      <c r="F46" s="115"/>
      <c r="H46" s="35"/>
      <c r="I46" s="35"/>
      <c r="J46" s="35"/>
      <c r="K46" s="35"/>
      <c r="L46" s="1617"/>
      <c r="M46" s="1618"/>
      <c r="N46" s="1618"/>
      <c r="O46" s="1618"/>
      <c r="P46" s="1618"/>
      <c r="Q46" s="1618"/>
      <c r="R46" s="1618"/>
      <c r="S46" s="1618"/>
      <c r="T46" s="1618"/>
      <c r="U46" s="1618"/>
      <c r="V46" s="1618"/>
      <c r="W46" s="1618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 ht="15">
      <c r="A47" s="3"/>
      <c r="B47" s="28" t="s">
        <v>79</v>
      </c>
      <c r="C47" s="28" t="s">
        <v>400</v>
      </c>
      <c r="D47" s="28" t="s">
        <v>401</v>
      </c>
      <c r="E47" s="518" t="s">
        <v>1137</v>
      </c>
      <c r="F47" s="518" t="str">
        <f>Preferences.AreaUnits</f>
        <v>km^2</v>
      </c>
      <c r="H47" s="35"/>
      <c r="I47" s="35"/>
      <c r="J47" s="35"/>
      <c r="K47" s="35"/>
      <c r="L47" s="1617"/>
      <c r="M47" s="1618"/>
      <c r="N47" s="1618"/>
      <c r="O47" s="1618"/>
      <c r="P47" s="1618"/>
      <c r="Q47" s="1618"/>
      <c r="R47" s="1618"/>
      <c r="S47" s="1618"/>
      <c r="T47" s="1618"/>
      <c r="U47" s="1618"/>
      <c r="V47" s="1618"/>
      <c r="W47" s="1618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spans="1:42" s="115" customFormat="1" ht="15">
      <c r="A48" s="3"/>
      <c r="B48" s="24" t="s">
        <v>1130</v>
      </c>
      <c r="C48" s="24" t="s">
        <v>1131</v>
      </c>
      <c r="D48" s="30" t="s">
        <v>1132</v>
      </c>
      <c r="E48" s="25">
        <f>100^2</f>
        <v>10000</v>
      </c>
      <c r="F48" s="25">
        <f t="shared" ref="F48:F53" si="2">$E48/INDEX(Conversions.Area.m2, MATCH(F$47, Conversions.Area.Units, 0))</f>
        <v>0.01</v>
      </c>
      <c r="H48" s="35"/>
      <c r="I48" s="35"/>
      <c r="J48" s="35"/>
      <c r="K48" s="35"/>
      <c r="L48" s="1617"/>
      <c r="M48" s="1618"/>
      <c r="N48" s="1618"/>
      <c r="O48" s="1618"/>
      <c r="P48" s="1618"/>
      <c r="Q48" s="1618"/>
      <c r="R48" s="1618"/>
      <c r="S48" s="1618"/>
      <c r="T48" s="1618"/>
      <c r="U48" s="1618"/>
      <c r="V48" s="1618"/>
      <c r="W48" s="1618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spans="1:42" ht="15">
      <c r="A49" s="3"/>
      <c r="B49" s="24" t="s">
        <v>1167</v>
      </c>
      <c r="C49" s="24" t="s">
        <v>1168</v>
      </c>
      <c r="D49" s="30" t="s">
        <v>1169</v>
      </c>
      <c r="E49" s="25">
        <f>E48*1000000</f>
        <v>10000000000</v>
      </c>
      <c r="F49" s="25">
        <f t="shared" si="2"/>
        <v>10000</v>
      </c>
      <c r="H49" s="1731"/>
      <c r="I49" s="35"/>
      <c r="J49" s="35"/>
      <c r="K49" s="35"/>
      <c r="L49" s="1617"/>
      <c r="M49" s="1618"/>
      <c r="N49" s="1618"/>
      <c r="O49" s="1618"/>
      <c r="P49" s="1618"/>
      <c r="Q49" s="1618"/>
      <c r="R49" s="1618"/>
      <c r="S49" s="1618"/>
      <c r="T49" s="1618"/>
      <c r="U49" s="1618"/>
      <c r="V49" s="1618"/>
      <c r="W49" s="1618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ht="15">
      <c r="A50" s="3"/>
      <c r="B50" s="24" t="s">
        <v>1134</v>
      </c>
      <c r="C50" s="24" t="s">
        <v>1133</v>
      </c>
      <c r="D50" s="30" t="s">
        <v>1135</v>
      </c>
      <c r="E50" s="25">
        <v>4046.8564224000002</v>
      </c>
      <c r="F50" s="25">
        <f t="shared" si="2"/>
        <v>4.0468564224000001E-3</v>
      </c>
      <c r="H50" s="35"/>
      <c r="I50" s="35"/>
      <c r="J50" s="35"/>
      <c r="K50" s="35"/>
      <c r="L50" s="1617"/>
      <c r="M50" s="1618"/>
      <c r="N50" s="1618"/>
      <c r="O50" s="1618"/>
      <c r="P50" s="1618"/>
      <c r="Q50" s="1618"/>
      <c r="R50" s="1618"/>
      <c r="S50" s="1618"/>
      <c r="T50" s="1618"/>
      <c r="U50" s="1618"/>
      <c r="V50" s="1618"/>
      <c r="W50" s="1618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spans="1:42" s="115" customFormat="1" ht="15">
      <c r="A51" s="3"/>
      <c r="B51" s="115" t="s">
        <v>1136</v>
      </c>
      <c r="C51" s="115" t="s">
        <v>1138</v>
      </c>
      <c r="D51" s="30" t="s">
        <v>1140</v>
      </c>
      <c r="E51" s="25">
        <f>1000^2</f>
        <v>1000000</v>
      </c>
      <c r="F51" s="25">
        <f t="shared" si="2"/>
        <v>1</v>
      </c>
      <c r="H51" s="35"/>
      <c r="I51" s="35"/>
      <c r="J51" s="35"/>
      <c r="K51" s="35"/>
      <c r="L51" s="1617"/>
      <c r="M51" s="1618"/>
      <c r="N51" s="1618"/>
      <c r="O51" s="1618"/>
      <c r="P51" s="1618"/>
      <c r="Q51" s="1618"/>
      <c r="R51" s="1618"/>
      <c r="S51" s="1618"/>
      <c r="T51" s="1618"/>
      <c r="U51" s="1618"/>
      <c r="V51" s="1618"/>
      <c r="W51" s="1618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 ht="15">
      <c r="A52" s="3"/>
      <c r="B52" s="115" t="s">
        <v>1137</v>
      </c>
      <c r="C52" s="115" t="s">
        <v>1139</v>
      </c>
      <c r="D52" s="30" t="s">
        <v>1141</v>
      </c>
      <c r="E52" s="25">
        <v>1</v>
      </c>
      <c r="F52" s="25">
        <f t="shared" si="2"/>
        <v>9.9999999999999995E-7</v>
      </c>
      <c r="H52" s="35"/>
      <c r="I52" s="35"/>
      <c r="J52" s="35"/>
      <c r="K52" s="35"/>
      <c r="L52" s="1617"/>
      <c r="M52" s="1618"/>
      <c r="N52" s="1618"/>
      <c r="O52" s="1618"/>
      <c r="P52" s="1618"/>
      <c r="Q52" s="1618"/>
      <c r="R52" s="1618"/>
      <c r="S52" s="1618"/>
      <c r="T52" s="1618"/>
      <c r="U52" s="1618"/>
      <c r="V52" s="1618"/>
      <c r="W52" s="1618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</row>
    <row r="53" spans="1:42" s="115" customFormat="1" ht="15">
      <c r="A53" s="3"/>
      <c r="B53" s="532" t="s">
        <v>1142</v>
      </c>
      <c r="C53" s="532" t="s">
        <v>1142</v>
      </c>
      <c r="D53" s="533" t="s">
        <v>1143</v>
      </c>
      <c r="E53" s="534">
        <f>20700*E51</f>
        <v>20700000000</v>
      </c>
      <c r="F53" s="534">
        <f t="shared" si="2"/>
        <v>20700</v>
      </c>
      <c r="H53" s="35"/>
      <c r="I53" s="35"/>
      <c r="J53" s="35"/>
      <c r="K53" s="35"/>
      <c r="L53" s="1617"/>
      <c r="M53" s="1618"/>
      <c r="N53" s="1618"/>
      <c r="O53" s="1618"/>
      <c r="P53" s="1618"/>
      <c r="Q53" s="1618"/>
      <c r="R53" s="1618"/>
      <c r="S53" s="1618"/>
      <c r="T53" s="1618"/>
      <c r="U53" s="1618"/>
      <c r="V53" s="1618"/>
      <c r="W53" s="1618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</row>
    <row r="54" spans="1:42">
      <c r="B54" s="34"/>
      <c r="C54" s="34"/>
      <c r="D54" s="1152"/>
      <c r="E54" s="1153"/>
      <c r="F54" s="1153"/>
      <c r="H54" s="35"/>
      <c r="I54" s="35"/>
      <c r="J54" s="35"/>
      <c r="K54" s="35"/>
      <c r="L54" s="1617"/>
      <c r="M54" s="1618"/>
      <c r="N54" s="1618"/>
      <c r="O54" s="1618"/>
      <c r="P54" s="1618"/>
      <c r="Q54" s="1618"/>
      <c r="R54" s="1618"/>
      <c r="S54" s="1618"/>
      <c r="T54" s="1618"/>
      <c r="U54" s="1618"/>
      <c r="V54" s="1618"/>
      <c r="W54" s="1618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</row>
    <row r="55" spans="1:42" s="115" customFormat="1" ht="18">
      <c r="B55" s="23" t="s">
        <v>1157</v>
      </c>
      <c r="F55"/>
      <c r="H55" s="35"/>
      <c r="I55" s="35"/>
      <c r="J55" s="35"/>
      <c r="K55" s="35"/>
      <c r="L55" s="1617"/>
      <c r="M55" s="1618"/>
      <c r="N55" s="1618"/>
      <c r="O55" s="1618"/>
      <c r="P55" s="1618"/>
      <c r="Q55" s="1618"/>
      <c r="R55" s="1618"/>
      <c r="S55" s="1618"/>
      <c r="T55" s="1618"/>
      <c r="U55" s="1618"/>
      <c r="V55" s="1618"/>
      <c r="W55" s="1618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</row>
    <row r="56" spans="1:42" ht="4.5" customHeight="1">
      <c r="A56" s="3"/>
      <c r="B56" s="23"/>
      <c r="D56" s="115"/>
      <c r="E56" s="115"/>
      <c r="F56" s="115"/>
      <c r="H56" s="35"/>
      <c r="I56" s="35"/>
      <c r="J56" s="35"/>
      <c r="K56" s="35"/>
      <c r="L56" s="1617"/>
      <c r="M56" s="1618"/>
      <c r="N56" s="1618"/>
      <c r="O56" s="1618"/>
      <c r="P56" s="1618"/>
      <c r="Q56" s="1618"/>
      <c r="R56" s="1618"/>
      <c r="S56" s="1618"/>
      <c r="T56" s="1618"/>
      <c r="U56" s="1618"/>
      <c r="V56" s="1618"/>
      <c r="W56" s="1618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</row>
    <row r="57" spans="1:42" ht="15">
      <c r="A57" s="3"/>
      <c r="B57" s="28" t="s">
        <v>1160</v>
      </c>
      <c r="C57" s="28" t="s">
        <v>400</v>
      </c>
      <c r="D57" s="28" t="s">
        <v>401</v>
      </c>
      <c r="E57" s="518" t="s">
        <v>1162</v>
      </c>
      <c r="F57" s="28" t="s">
        <v>1161</v>
      </c>
      <c r="H57" s="35"/>
      <c r="I57" s="35"/>
      <c r="J57" s="35"/>
      <c r="K57" s="35"/>
      <c r="L57" s="1617"/>
      <c r="M57" s="1618"/>
      <c r="N57" s="1618"/>
      <c r="O57" s="1618"/>
      <c r="P57" s="1618"/>
      <c r="Q57" s="1618"/>
      <c r="R57" s="1618"/>
      <c r="S57" s="1618"/>
      <c r="T57" s="1618"/>
      <c r="U57" s="1618"/>
      <c r="V57" s="1618"/>
      <c r="W57" s="1618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</row>
    <row r="58" spans="1:42" ht="15">
      <c r="A58" s="3"/>
      <c r="B58" s="24" t="str">
        <f>Preferences.EnergyUnits</f>
        <v>TWh</v>
      </c>
      <c r="C58" s="24" t="s">
        <v>1158</v>
      </c>
      <c r="D58" s="30" t="s">
        <v>1159</v>
      </c>
      <c r="E58" s="1163">
        <f>(1/Unit.J)*(1/Unit.year)*Unit.W</f>
        <v>0.1140771161305042</v>
      </c>
      <c r="F58" s="1164" t="str">
        <f>Preferences.PowerUnits</f>
        <v>GW</v>
      </c>
      <c r="H58" s="35"/>
      <c r="I58" s="35"/>
      <c r="J58" s="35"/>
      <c r="K58" s="35"/>
      <c r="L58" s="1617"/>
      <c r="M58" s="1618"/>
      <c r="N58" s="1618"/>
      <c r="O58" s="1618"/>
      <c r="P58" s="1618"/>
      <c r="Q58" s="1618"/>
      <c r="R58" s="1618"/>
      <c r="S58" s="1618"/>
      <c r="T58" s="1618"/>
      <c r="U58" s="1618"/>
      <c r="V58" s="1618"/>
      <c r="W58" s="1618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</row>
    <row r="59" spans="1:42" ht="15">
      <c r="A59" s="3"/>
      <c r="B59" s="1164" t="str">
        <f>Preferences.PowerUnits</f>
        <v>GW</v>
      </c>
      <c r="C59" s="24" t="s">
        <v>1163</v>
      </c>
      <c r="D59" s="30" t="s">
        <v>1164</v>
      </c>
      <c r="E59">
        <f>(1/Unit.W)*Unit.year*Unit.J</f>
        <v>8.766</v>
      </c>
      <c r="F59" s="543" t="str">
        <f>Preferences.EnergyUnits</f>
        <v>TWh</v>
      </c>
      <c r="H59" s="35"/>
      <c r="I59" s="35"/>
      <c r="J59" s="35"/>
      <c r="K59" s="35"/>
      <c r="L59" s="1617"/>
      <c r="M59" s="1618"/>
      <c r="N59" s="1618"/>
      <c r="O59" s="1618"/>
      <c r="P59" s="1618"/>
      <c r="Q59" s="1618"/>
      <c r="R59" s="1618"/>
      <c r="S59" s="1618"/>
      <c r="T59" s="1618"/>
      <c r="U59" s="1618"/>
      <c r="V59" s="1618"/>
      <c r="W59" s="1618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>
      <c r="B60" s="1170" t="str">
        <f>Preferences.PowerUnits</f>
        <v>GW</v>
      </c>
      <c r="C60" s="970" t="s">
        <v>1165</v>
      </c>
      <c r="D60" s="31" t="s">
        <v>1166</v>
      </c>
      <c r="E60" s="970">
        <f>Unit.J/Unit.W</f>
        <v>2.7777777777777776E-7</v>
      </c>
      <c r="F60" s="1171" t="str">
        <f>Preferences.EnergyUnits&amp;"/s"</f>
        <v>TWh/s</v>
      </c>
      <c r="L60" s="1617"/>
      <c r="M60" s="1618"/>
      <c r="N60" s="1618"/>
      <c r="O60" s="1618"/>
      <c r="P60" s="1618"/>
      <c r="Q60" s="1618"/>
      <c r="R60" s="1618"/>
      <c r="S60" s="1618"/>
      <c r="T60" s="1618"/>
      <c r="U60" s="1618"/>
      <c r="V60" s="1618"/>
      <c r="W60" s="1618"/>
      <c r="X60" s="35"/>
    </row>
    <row r="61" spans="1:42" s="1305" customFormat="1">
      <c r="L61" s="1617"/>
      <c r="M61" s="1618"/>
      <c r="N61" s="1618"/>
      <c r="O61" s="1618"/>
      <c r="P61" s="1618"/>
      <c r="Q61" s="1618"/>
      <c r="R61" s="1618"/>
      <c r="S61" s="1618"/>
      <c r="T61" s="1618"/>
      <c r="U61" s="1618"/>
      <c r="V61" s="1618"/>
      <c r="W61" s="1618"/>
      <c r="X61" s="35"/>
    </row>
    <row r="62" spans="1:42" s="1305" customFormat="1" ht="18">
      <c r="B62" s="23" t="s">
        <v>1595</v>
      </c>
      <c r="C62" s="23"/>
      <c r="L62" s="1617"/>
      <c r="M62" s="1618"/>
      <c r="N62" s="1618"/>
      <c r="O62" s="1618"/>
      <c r="P62" s="1618"/>
      <c r="Q62" s="1618"/>
      <c r="R62" s="1618"/>
      <c r="S62" s="1618"/>
      <c r="T62" s="1618"/>
      <c r="U62" s="1618"/>
      <c r="V62" s="1618"/>
      <c r="W62" s="1618"/>
      <c r="X62" s="35"/>
    </row>
    <row r="63" spans="1:42" s="1305" customFormat="1" ht="4.5" customHeight="1">
      <c r="L63" s="1617"/>
      <c r="M63" s="1618"/>
      <c r="N63" s="1618"/>
      <c r="O63" s="1618"/>
      <c r="P63" s="1618"/>
      <c r="Q63" s="1618"/>
      <c r="R63" s="1618"/>
      <c r="S63" s="1618"/>
      <c r="T63" s="1618"/>
      <c r="U63" s="1618"/>
      <c r="V63" s="1618"/>
      <c r="W63" s="1618"/>
      <c r="X63" s="35"/>
    </row>
    <row r="64" spans="1:42" s="1305" customFormat="1">
      <c r="B64" s="28" t="s">
        <v>1160</v>
      </c>
      <c r="C64" s="28" t="s">
        <v>400</v>
      </c>
      <c r="D64" s="28" t="s">
        <v>401</v>
      </c>
      <c r="E64" s="518" t="s">
        <v>1162</v>
      </c>
      <c r="F64" s="28" t="s">
        <v>1161</v>
      </c>
      <c r="L64" s="1617"/>
      <c r="M64" s="1618"/>
      <c r="N64" s="1618"/>
      <c r="O64" s="1618"/>
      <c r="P64" s="1618"/>
      <c r="Q64" s="1618"/>
      <c r="R64" s="1618"/>
      <c r="S64" s="1618"/>
      <c r="T64" s="1618"/>
      <c r="U64" s="1618"/>
      <c r="V64" s="1618"/>
      <c r="W64" s="1618"/>
      <c r="X64" s="35"/>
    </row>
    <row r="65" spans="2:24" s="1305" customFormat="1">
      <c r="B65" s="1305" t="s">
        <v>1596</v>
      </c>
      <c r="C65" s="1305" t="s">
        <v>1597</v>
      </c>
      <c r="D65" s="1305" t="s">
        <v>1598</v>
      </c>
      <c r="E65" s="1305">
        <v>4.5460900000000004</v>
      </c>
      <c r="F65" s="1305" t="s">
        <v>1599</v>
      </c>
      <c r="L65" s="1617"/>
      <c r="M65" s="1618"/>
      <c r="N65" s="1618"/>
      <c r="O65" s="1618"/>
      <c r="P65" s="1618"/>
      <c r="Q65" s="1618"/>
      <c r="R65" s="1618"/>
      <c r="S65" s="1618"/>
      <c r="T65" s="1618"/>
      <c r="U65" s="1618"/>
      <c r="V65" s="1618"/>
      <c r="W65" s="1618"/>
      <c r="X65" s="35"/>
    </row>
    <row r="66" spans="2:24" s="1305" customFormat="1">
      <c r="B66" s="970" t="s">
        <v>1600</v>
      </c>
      <c r="C66" s="970" t="s">
        <v>1601</v>
      </c>
      <c r="D66" s="970" t="s">
        <v>1602</v>
      </c>
      <c r="E66" s="970">
        <v>3.7854109999999999</v>
      </c>
      <c r="F66" s="970" t="s">
        <v>1599</v>
      </c>
      <c r="L66" s="1617"/>
      <c r="M66" s="1618"/>
      <c r="N66" s="1618"/>
      <c r="O66" s="1618"/>
      <c r="P66" s="1618"/>
      <c r="Q66" s="1618"/>
      <c r="R66" s="1618"/>
      <c r="S66" s="1618"/>
      <c r="T66" s="1618"/>
      <c r="U66" s="1618"/>
      <c r="V66" s="1618"/>
      <c r="W66" s="1618"/>
      <c r="X66" s="35"/>
    </row>
    <row r="67" spans="2:24" s="1305" customFormat="1">
      <c r="L67" s="1617"/>
      <c r="M67" s="1618"/>
      <c r="N67" s="1618"/>
      <c r="O67" s="1618"/>
      <c r="P67" s="1618"/>
      <c r="Q67" s="1618"/>
      <c r="R67" s="1618"/>
      <c r="S67" s="1618"/>
      <c r="T67" s="1618"/>
      <c r="U67" s="1618"/>
      <c r="V67" s="1618"/>
      <c r="W67" s="1618"/>
      <c r="X67" s="35"/>
    </row>
    <row r="68" spans="2:24" ht="18">
      <c r="B68" s="23" t="s">
        <v>1541</v>
      </c>
      <c r="C68" s="23"/>
      <c r="D68" s="1266"/>
      <c r="E68" s="1266"/>
      <c r="F68" s="1266"/>
      <c r="L68" s="1617"/>
      <c r="M68" s="1618"/>
      <c r="N68" s="1618"/>
      <c r="O68" s="1618"/>
      <c r="P68" s="1618"/>
      <c r="Q68" s="1618"/>
      <c r="R68" s="1618"/>
      <c r="S68" s="1618"/>
      <c r="T68" s="1618"/>
      <c r="U68" s="1618"/>
      <c r="V68" s="1618"/>
      <c r="W68" s="1618"/>
      <c r="X68" s="35"/>
    </row>
    <row r="69" spans="2:24">
      <c r="B69" s="1266"/>
      <c r="C69" s="1266"/>
      <c r="D69" s="1266"/>
      <c r="E69" s="1266"/>
      <c r="F69" s="1266"/>
      <c r="L69" s="1617"/>
      <c r="M69" s="1618"/>
      <c r="N69" s="1618"/>
      <c r="O69" s="1618"/>
      <c r="P69" s="1618"/>
      <c r="Q69" s="1618"/>
      <c r="R69" s="1618"/>
      <c r="S69" s="1618"/>
      <c r="T69" s="1618"/>
      <c r="U69" s="1618"/>
      <c r="V69" s="1618"/>
      <c r="W69" s="1618"/>
      <c r="X69" s="35"/>
    </row>
    <row r="70" spans="2:24">
      <c r="B70" s="1272" t="s">
        <v>79</v>
      </c>
      <c r="C70" s="1273" t="s">
        <v>400</v>
      </c>
      <c r="D70" s="1273" t="s">
        <v>401</v>
      </c>
      <c r="E70" s="1274" t="str">
        <f>Preferences.moneyunits</f>
        <v>£m</v>
      </c>
      <c r="F70" s="1275" t="s">
        <v>1542</v>
      </c>
      <c r="L70" s="1617"/>
      <c r="M70" s="1618"/>
      <c r="N70" s="1618"/>
      <c r="O70" s="1618"/>
      <c r="P70" s="1618"/>
      <c r="Q70" s="1618"/>
      <c r="R70" s="1618"/>
      <c r="S70" s="1618"/>
      <c r="T70" s="1618"/>
      <c r="U70" s="1618"/>
      <c r="V70" s="1618"/>
      <c r="W70" s="1618"/>
      <c r="X70" s="35"/>
    </row>
    <row r="71" spans="2:24">
      <c r="B71" s="1247" t="s">
        <v>1543</v>
      </c>
      <c r="C71" s="24" t="s">
        <v>1544</v>
      </c>
      <c r="D71" s="30" t="s">
        <v>1545</v>
      </c>
      <c r="E71" s="1160">
        <f t="shared" ref="E71:E78" si="3">$F71/INDEX(Conversions.Money.GBP, MATCH(E$70, Conversions.Money.Units, 0))</f>
        <v>1000000</v>
      </c>
      <c r="F71" s="1276">
        <v>1000000000000</v>
      </c>
      <c r="L71" s="1617"/>
      <c r="M71" s="1618"/>
      <c r="N71" s="1618"/>
      <c r="O71" s="1618"/>
      <c r="P71" s="1618"/>
      <c r="Q71" s="1618"/>
      <c r="R71" s="1618"/>
      <c r="S71" s="1618"/>
      <c r="T71" s="1618"/>
      <c r="U71" s="1618"/>
      <c r="V71" s="1618"/>
      <c r="W71" s="1618"/>
      <c r="X71" s="35"/>
    </row>
    <row r="72" spans="2:24">
      <c r="B72" s="1247" t="s">
        <v>1546</v>
      </c>
      <c r="C72" s="24" t="s">
        <v>1547</v>
      </c>
      <c r="D72" s="30" t="s">
        <v>1548</v>
      </c>
      <c r="E72" s="1160">
        <f t="shared" si="3"/>
        <v>1000</v>
      </c>
      <c r="F72" s="1276">
        <v>1000000000</v>
      </c>
      <c r="L72" s="1617"/>
      <c r="M72" s="1618"/>
      <c r="N72" s="1618"/>
      <c r="O72" s="1618"/>
      <c r="P72" s="1618"/>
      <c r="Q72" s="1618"/>
      <c r="R72" s="1618"/>
      <c r="S72" s="1618"/>
      <c r="T72" s="1618"/>
      <c r="U72" s="1618"/>
      <c r="V72" s="1618"/>
      <c r="W72" s="1618"/>
      <c r="X72" s="35"/>
    </row>
    <row r="73" spans="2:24">
      <c r="B73" s="1247" t="s">
        <v>1549</v>
      </c>
      <c r="C73" s="24" t="s">
        <v>1550</v>
      </c>
      <c r="D73" s="30" t="s">
        <v>1551</v>
      </c>
      <c r="E73" s="1160">
        <f t="shared" si="3"/>
        <v>1</v>
      </c>
      <c r="F73" s="1276">
        <v>1000000</v>
      </c>
      <c r="L73" s="1617"/>
      <c r="M73" s="1618"/>
      <c r="N73" s="1618"/>
      <c r="O73" s="1618"/>
      <c r="P73" s="1618"/>
      <c r="Q73" s="1618"/>
      <c r="R73" s="1618"/>
      <c r="S73" s="1618"/>
      <c r="T73" s="1618"/>
      <c r="U73" s="1618"/>
      <c r="V73" s="1618"/>
      <c r="W73" s="1618"/>
      <c r="X73" s="35"/>
    </row>
    <row r="74" spans="2:24">
      <c r="B74" s="1247" t="s">
        <v>1552</v>
      </c>
      <c r="C74" s="24" t="s">
        <v>1553</v>
      </c>
      <c r="D74" s="30" t="s">
        <v>1554</v>
      </c>
      <c r="E74" s="1160">
        <f t="shared" si="3"/>
        <v>1E-3</v>
      </c>
      <c r="F74" s="1276">
        <v>1000</v>
      </c>
      <c r="L74" s="1617"/>
      <c r="M74" s="1618"/>
      <c r="N74" s="1618"/>
      <c r="O74" s="1618"/>
      <c r="P74" s="1618"/>
      <c r="Q74" s="1618"/>
      <c r="R74" s="1618"/>
      <c r="S74" s="1618"/>
      <c r="T74" s="1618"/>
      <c r="U74" s="1618"/>
      <c r="V74" s="1618"/>
      <c r="W74" s="1618"/>
      <c r="X74" s="35"/>
    </row>
    <row r="75" spans="2:24">
      <c r="B75" s="1247" t="s">
        <v>1592</v>
      </c>
      <c r="C75" s="24" t="s">
        <v>1593</v>
      </c>
      <c r="D75" s="30" t="s">
        <v>1594</v>
      </c>
      <c r="E75" s="1160">
        <f t="shared" si="3"/>
        <v>6.2893081761006289E-7</v>
      </c>
      <c r="F75" s="1276">
        <f>1/1.59</f>
        <v>0.62893081761006286</v>
      </c>
      <c r="L75" s="1617"/>
      <c r="M75" s="1618"/>
      <c r="N75" s="1618"/>
      <c r="O75" s="1618"/>
      <c r="P75" s="1618"/>
      <c r="Q75" s="1618"/>
      <c r="R75" s="1618"/>
      <c r="S75" s="1618"/>
      <c r="T75" s="1618"/>
      <c r="U75" s="1618"/>
      <c r="V75" s="1618"/>
      <c r="W75" s="1618"/>
      <c r="X75" s="35"/>
    </row>
    <row r="76" spans="2:24">
      <c r="B76" s="1247" t="s">
        <v>1772</v>
      </c>
      <c r="C76" s="24" t="s">
        <v>1569</v>
      </c>
      <c r="D76" s="30" t="s">
        <v>1570</v>
      </c>
      <c r="E76" s="1160">
        <f t="shared" si="3"/>
        <v>6.2500000000000005E-7</v>
      </c>
      <c r="F76" s="1276">
        <f>1/1.6</f>
        <v>0.625</v>
      </c>
      <c r="L76" s="1617"/>
      <c r="M76" s="1618"/>
      <c r="N76" s="1618"/>
      <c r="O76" s="1618"/>
      <c r="P76" s="1618"/>
      <c r="Q76" s="1618"/>
      <c r="R76" s="1618"/>
      <c r="S76" s="1618"/>
      <c r="T76" s="1618"/>
      <c r="U76" s="1618"/>
      <c r="V76" s="1618"/>
      <c r="W76" s="1618"/>
      <c r="X76" s="35"/>
    </row>
    <row r="77" spans="2:24" s="1592" customFormat="1">
      <c r="B77" s="1247" t="s">
        <v>1773</v>
      </c>
      <c r="C77" s="24" t="s">
        <v>1774</v>
      </c>
      <c r="D77" s="30" t="s">
        <v>1775</v>
      </c>
      <c r="E77" s="1160">
        <f t="shared" si="3"/>
        <v>6.4683053040103484E-7</v>
      </c>
      <c r="F77" s="1276">
        <f>1/1.546</f>
        <v>0.64683053040103489</v>
      </c>
      <c r="L77" s="1617"/>
      <c r="M77" s="1618"/>
      <c r="N77" s="1618"/>
      <c r="O77" s="1618"/>
      <c r="P77" s="1618"/>
      <c r="Q77" s="1618"/>
      <c r="R77" s="1618"/>
      <c r="S77" s="1618"/>
      <c r="T77" s="1618"/>
      <c r="U77" s="1618"/>
      <c r="V77" s="1618"/>
      <c r="W77" s="1618"/>
      <c r="X77" s="35"/>
    </row>
    <row r="78" spans="2:24">
      <c r="B78" s="1277" t="s">
        <v>1542</v>
      </c>
      <c r="C78" s="26" t="s">
        <v>1555</v>
      </c>
      <c r="D78" s="31" t="s">
        <v>1556</v>
      </c>
      <c r="E78" s="1162">
        <f t="shared" si="3"/>
        <v>9.9999999999999995E-7</v>
      </c>
      <c r="F78" s="1278">
        <v>1</v>
      </c>
      <c r="L78" s="1617"/>
      <c r="M78" s="1618"/>
      <c r="N78" s="1618"/>
      <c r="O78" s="1618"/>
      <c r="P78" s="1618"/>
      <c r="Q78" s="1618"/>
      <c r="R78" s="1618"/>
      <c r="S78" s="1618"/>
      <c r="T78" s="1618"/>
      <c r="U78" s="1618"/>
      <c r="V78" s="1618"/>
      <c r="W78" s="1618"/>
      <c r="X78" s="35"/>
    </row>
    <row r="79" spans="2:24">
      <c r="L79" s="1617"/>
      <c r="M79" s="1618"/>
      <c r="N79" s="1618"/>
      <c r="O79" s="1618"/>
      <c r="P79" s="1618"/>
      <c r="Q79" s="1618"/>
      <c r="R79" s="1618"/>
      <c r="S79" s="1618"/>
      <c r="T79" s="1618"/>
      <c r="U79" s="1618"/>
      <c r="V79" s="1618"/>
      <c r="W79" s="1618"/>
      <c r="X79" s="35"/>
    </row>
    <row r="80" spans="2:24" ht="18">
      <c r="B80" s="23" t="s">
        <v>1664</v>
      </c>
      <c r="C80" s="1266"/>
      <c r="D80" s="1266"/>
      <c r="E80" s="1266"/>
      <c r="F80" s="1266"/>
      <c r="L80" s="1617"/>
      <c r="M80" s="1618"/>
      <c r="N80" s="1618"/>
      <c r="O80" s="1618"/>
      <c r="P80" s="1618"/>
      <c r="Q80" s="1618"/>
      <c r="R80" s="1618"/>
      <c r="S80" s="1618"/>
      <c r="T80" s="1618"/>
      <c r="U80" s="1618"/>
      <c r="V80" s="1618"/>
      <c r="W80" s="1618"/>
      <c r="X80" s="35"/>
    </row>
    <row r="81" spans="2:24">
      <c r="B81" s="1266"/>
      <c r="C81" s="1266"/>
      <c r="D81" s="1266"/>
      <c r="E81" s="1266"/>
      <c r="F81" s="1266"/>
      <c r="L81" s="1617"/>
      <c r="M81" s="1618"/>
      <c r="N81" s="1618"/>
      <c r="O81" s="1618"/>
      <c r="P81" s="1618"/>
      <c r="Q81" s="1618"/>
      <c r="R81" s="1618"/>
      <c r="S81" s="1618"/>
      <c r="T81" s="1618"/>
      <c r="U81" s="1618"/>
      <c r="V81" s="1618"/>
      <c r="W81" s="1618"/>
      <c r="X81" s="35"/>
    </row>
    <row r="82" spans="2:24">
      <c r="B82" s="1318" t="s">
        <v>1665</v>
      </c>
      <c r="C82" s="1176"/>
      <c r="D82" s="1192"/>
      <c r="E82" s="1266"/>
      <c r="F82" s="1266"/>
      <c r="L82" s="1617"/>
      <c r="M82" s="1618"/>
      <c r="N82" s="1618"/>
      <c r="O82" s="1618"/>
      <c r="P82" s="1618"/>
      <c r="Q82" s="1618"/>
      <c r="R82" s="1618"/>
      <c r="S82" s="1618"/>
      <c r="T82" s="1618"/>
      <c r="U82" s="1618"/>
      <c r="V82" s="1618"/>
      <c r="W82" s="1618"/>
      <c r="X82" s="35"/>
    </row>
    <row r="83" spans="2:24">
      <c r="B83" s="1193"/>
      <c r="C83" s="1591"/>
      <c r="D83" s="1194"/>
      <c r="E83" s="1266"/>
      <c r="F83" s="1266"/>
      <c r="L83" s="1617"/>
      <c r="M83" s="1618"/>
      <c r="N83" s="1618"/>
      <c r="O83" s="1618"/>
      <c r="P83" s="1618"/>
      <c r="Q83" s="1618"/>
      <c r="R83" s="1618"/>
      <c r="S83" s="1618"/>
      <c r="T83" s="1618"/>
      <c r="U83" s="1618"/>
      <c r="V83" s="1618"/>
      <c r="W83" s="1618"/>
      <c r="X83" s="35"/>
    </row>
    <row r="84" spans="2:24">
      <c r="B84" s="1193" t="s">
        <v>1645</v>
      </c>
      <c r="C84" s="1591">
        <v>57.915999999999997</v>
      </c>
      <c r="D84" s="1194">
        <f t="shared" ref="D84:D105" si="4">1+(($C$104-C84)/C84)</f>
        <v>1.7266385800124318</v>
      </c>
      <c r="E84" s="1266"/>
      <c r="F84" s="1266"/>
      <c r="L84" s="1617"/>
      <c r="M84" s="1618"/>
      <c r="N84" s="1618"/>
      <c r="O84" s="1618"/>
      <c r="P84" s="1618"/>
      <c r="Q84" s="1618"/>
      <c r="R84" s="1618"/>
      <c r="S84" s="1618"/>
      <c r="T84" s="1618"/>
      <c r="U84" s="1618"/>
      <c r="V84" s="1618"/>
      <c r="W84" s="1618"/>
      <c r="X84" s="35"/>
    </row>
    <row r="85" spans="2:24">
      <c r="B85" s="1193" t="s">
        <v>1646</v>
      </c>
      <c r="C85" s="1591">
        <v>61.656999999999996</v>
      </c>
      <c r="D85" s="1194">
        <f t="shared" si="4"/>
        <v>1.6218758616215516</v>
      </c>
      <c r="E85" s="1266"/>
      <c r="F85" s="1266"/>
      <c r="L85" s="1617"/>
      <c r="M85" s="1618"/>
      <c r="N85" s="1618"/>
      <c r="O85" s="1618"/>
      <c r="P85" s="1618"/>
      <c r="Q85" s="1618"/>
      <c r="R85" s="1618"/>
      <c r="S85" s="1618"/>
      <c r="T85" s="1618"/>
      <c r="U85" s="1618"/>
      <c r="V85" s="1618"/>
      <c r="W85" s="1618"/>
      <c r="X85" s="35"/>
    </row>
    <row r="86" spans="2:24">
      <c r="B86" s="1193" t="s">
        <v>1647</v>
      </c>
      <c r="C86" s="1591">
        <v>63.975000000000001</v>
      </c>
      <c r="D86" s="1194">
        <f t="shared" si="4"/>
        <v>1.5631105900742477</v>
      </c>
      <c r="E86" s="1266"/>
      <c r="F86" s="1266"/>
      <c r="L86" s="1617"/>
      <c r="M86" s="1618"/>
      <c r="N86" s="1618"/>
      <c r="O86" s="1618"/>
      <c r="P86" s="1618"/>
      <c r="Q86" s="1618"/>
      <c r="R86" s="1618"/>
      <c r="S86" s="1618"/>
      <c r="T86" s="1618"/>
      <c r="U86" s="1618"/>
      <c r="V86" s="1618"/>
      <c r="W86" s="1618"/>
      <c r="X86" s="35"/>
    </row>
    <row r="87" spans="2:24">
      <c r="B87" s="1193" t="s">
        <v>1648</v>
      </c>
      <c r="C87" s="1591">
        <v>65.814999999999998</v>
      </c>
      <c r="D87" s="1194">
        <f t="shared" si="4"/>
        <v>1.5194104687381298</v>
      </c>
      <c r="E87" s="1266"/>
      <c r="F87" s="1266"/>
      <c r="L87" s="1617"/>
      <c r="M87" s="1618"/>
      <c r="N87" s="1618"/>
      <c r="O87" s="1618"/>
      <c r="P87" s="1618"/>
      <c r="Q87" s="1618"/>
      <c r="R87" s="1618"/>
      <c r="S87" s="1618"/>
      <c r="T87" s="1618"/>
      <c r="U87" s="1618"/>
      <c r="V87" s="1618"/>
      <c r="W87" s="1618"/>
      <c r="X87" s="35"/>
    </row>
    <row r="88" spans="2:24">
      <c r="B88" s="1193" t="s">
        <v>1649</v>
      </c>
      <c r="C88" s="1591">
        <v>66.855999999999995</v>
      </c>
      <c r="D88" s="1194">
        <f t="shared" si="4"/>
        <v>1.4957520641378486</v>
      </c>
      <c r="E88" s="1266"/>
      <c r="F88" s="1266"/>
      <c r="L88" s="1617"/>
      <c r="M88" s="1618"/>
      <c r="N88" s="1618"/>
      <c r="O88" s="1618"/>
      <c r="P88" s="1618"/>
      <c r="Q88" s="1618"/>
      <c r="R88" s="1618"/>
      <c r="S88" s="1618"/>
      <c r="T88" s="1618"/>
      <c r="U88" s="1618"/>
      <c r="V88" s="1618"/>
      <c r="W88" s="1618"/>
      <c r="X88" s="35"/>
    </row>
    <row r="89" spans="2:24">
      <c r="B89" s="1193" t="s">
        <v>1650</v>
      </c>
      <c r="C89" s="1591">
        <v>68.647000000000006</v>
      </c>
      <c r="D89" s="1194">
        <f t="shared" si="4"/>
        <v>1.4567278977959706</v>
      </c>
      <c r="E89" s="1266"/>
      <c r="F89" s="1266"/>
      <c r="L89" s="1617"/>
      <c r="M89" s="1618"/>
      <c r="N89" s="1618"/>
      <c r="O89" s="1618"/>
      <c r="P89" s="1618"/>
      <c r="Q89" s="1618"/>
      <c r="R89" s="1618"/>
      <c r="S89" s="1618"/>
      <c r="T89" s="1618"/>
      <c r="U89" s="1618"/>
      <c r="V89" s="1618"/>
      <c r="W89" s="1618"/>
      <c r="X89" s="35"/>
    </row>
    <row r="90" spans="2:24">
      <c r="B90" s="1193" t="s">
        <v>1651</v>
      </c>
      <c r="C90" s="1591">
        <v>71.131</v>
      </c>
      <c r="D90" s="1194">
        <f t="shared" si="4"/>
        <v>1.4058567994264104</v>
      </c>
      <c r="E90" s="1282"/>
      <c r="F90" s="1282"/>
      <c r="L90" s="1617"/>
      <c r="M90" s="1618"/>
      <c r="N90" s="1618"/>
      <c r="O90" s="1618"/>
      <c r="P90" s="1618"/>
      <c r="Q90" s="1618"/>
      <c r="R90" s="1618"/>
      <c r="S90" s="1618"/>
      <c r="T90" s="1618"/>
      <c r="U90" s="1618"/>
      <c r="V90" s="1618"/>
      <c r="W90" s="1618"/>
      <c r="X90" s="35"/>
    </row>
    <row r="91" spans="2:24">
      <c r="B91" s="1193" t="s">
        <v>1652</v>
      </c>
      <c r="C91" s="1591">
        <v>73.114000000000004</v>
      </c>
      <c r="D91" s="1194">
        <f t="shared" si="4"/>
        <v>1.3677271110867959</v>
      </c>
      <c r="E91" s="1305"/>
      <c r="F91" s="1305"/>
      <c r="L91" s="1617"/>
      <c r="M91" s="1618"/>
      <c r="N91" s="1618"/>
      <c r="O91" s="1618"/>
      <c r="P91" s="1618"/>
      <c r="Q91" s="1618"/>
      <c r="R91" s="1618"/>
      <c r="S91" s="1618"/>
      <c r="T91" s="1618"/>
      <c r="U91" s="1618"/>
      <c r="V91" s="1618"/>
      <c r="W91" s="1618"/>
      <c r="X91" s="35"/>
    </row>
    <row r="92" spans="2:24">
      <c r="B92" s="1193" t="s">
        <v>1653</v>
      </c>
      <c r="C92" s="1591">
        <v>74.734999999999999</v>
      </c>
      <c r="D92" s="1194">
        <f t="shared" si="4"/>
        <v>1.3380611493945274</v>
      </c>
      <c r="E92" s="1279"/>
      <c r="F92" s="1279"/>
      <c r="L92" s="1617"/>
      <c r="M92" s="1618"/>
      <c r="N92" s="1618"/>
      <c r="O92" s="1618"/>
      <c r="P92" s="1618"/>
      <c r="Q92" s="1618"/>
      <c r="R92" s="1618"/>
      <c r="S92" s="1618"/>
      <c r="T92" s="1618"/>
      <c r="U92" s="1618"/>
      <c r="V92" s="1618"/>
      <c r="W92" s="1618"/>
      <c r="X92" s="35"/>
    </row>
    <row r="93" spans="2:24">
      <c r="B93" s="1193" t="s">
        <v>1654</v>
      </c>
      <c r="C93" s="1591">
        <v>76.304000000000002</v>
      </c>
      <c r="D93" s="1194">
        <f t="shared" si="4"/>
        <v>1.3105472845460264</v>
      </c>
      <c r="E93" s="1266"/>
      <c r="F93" s="1266"/>
      <c r="L93" s="1617"/>
      <c r="M93" s="1618"/>
      <c r="N93" s="1618"/>
      <c r="O93" s="1618"/>
      <c r="P93" s="1618"/>
      <c r="Q93" s="1618"/>
      <c r="R93" s="1618"/>
      <c r="S93" s="1618"/>
      <c r="T93" s="1618"/>
      <c r="U93" s="1618"/>
      <c r="V93" s="1618"/>
      <c r="W93" s="1618"/>
      <c r="X93" s="35"/>
    </row>
    <row r="94" spans="2:24">
      <c r="B94" s="1193" t="s">
        <v>1655</v>
      </c>
      <c r="C94" s="1591">
        <v>77.207999999999998</v>
      </c>
      <c r="D94" s="1194">
        <f t="shared" si="4"/>
        <v>1.2952025696818983</v>
      </c>
      <c r="E94" s="1266"/>
      <c r="F94" s="1266"/>
      <c r="L94" s="1617"/>
      <c r="M94" s="1618"/>
      <c r="N94" s="1618"/>
      <c r="O94" s="1618"/>
      <c r="P94" s="1618"/>
      <c r="Q94" s="1618"/>
      <c r="R94" s="1618"/>
      <c r="S94" s="1618"/>
      <c r="T94" s="1618"/>
      <c r="U94" s="1618"/>
      <c r="V94" s="1618"/>
      <c r="W94" s="1618"/>
      <c r="X94" s="35"/>
    </row>
    <row r="95" spans="2:24">
      <c r="B95" s="1193" t="s">
        <v>1656</v>
      </c>
      <c r="C95" s="1591">
        <v>78.849000000000004</v>
      </c>
      <c r="D95" s="1194">
        <f t="shared" si="4"/>
        <v>1.2682469023069411</v>
      </c>
      <c r="E95" s="1266"/>
      <c r="F95" s="1266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</row>
    <row r="96" spans="2:24">
      <c r="B96" s="1193" t="s">
        <v>1657</v>
      </c>
      <c r="C96" s="1591">
        <v>81.290999999999997</v>
      </c>
      <c r="D96" s="1194">
        <f t="shared" si="4"/>
        <v>1.2301484789214059</v>
      </c>
      <c r="E96" s="1266"/>
      <c r="F96" s="1266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</row>
    <row r="97" spans="2:6">
      <c r="B97" s="1193" t="s">
        <v>1658</v>
      </c>
      <c r="C97" s="1591">
        <v>83.789000000000001</v>
      </c>
      <c r="D97" s="1194">
        <f t="shared" si="4"/>
        <v>1.1934740837102722</v>
      </c>
      <c r="E97" s="1266"/>
      <c r="F97" s="1266"/>
    </row>
    <row r="98" spans="2:6">
      <c r="B98" s="1193" t="s">
        <v>1659</v>
      </c>
      <c r="C98" s="1591">
        <v>85.9</v>
      </c>
      <c r="D98" s="1194">
        <f t="shared" si="4"/>
        <v>1.1641443538998835</v>
      </c>
      <c r="E98" s="1266"/>
      <c r="F98" s="1266"/>
    </row>
    <row r="99" spans="2:6">
      <c r="B99" s="1193" t="s">
        <v>1660</v>
      </c>
      <c r="C99" s="1591">
        <v>87.644999999999996</v>
      </c>
      <c r="D99" s="1194">
        <f t="shared" si="4"/>
        <v>1.1409663985395631</v>
      </c>
      <c r="E99" s="1315"/>
      <c r="F99" s="1315"/>
    </row>
    <row r="100" spans="2:6">
      <c r="B100" s="1193" t="s">
        <v>1661</v>
      </c>
      <c r="C100" s="1591">
        <v>90.32</v>
      </c>
      <c r="D100" s="1194">
        <f t="shared" si="4"/>
        <v>1.1071744906997343</v>
      </c>
      <c r="E100" s="1315"/>
      <c r="F100" s="1315"/>
    </row>
    <row r="101" spans="2:6">
      <c r="B101" s="1193" t="s">
        <v>578</v>
      </c>
      <c r="C101" s="1591">
        <v>93.022999999999996</v>
      </c>
      <c r="D101" s="1194">
        <f t="shared" si="4"/>
        <v>1.0750029562581298</v>
      </c>
      <c r="E101" s="1266"/>
      <c r="F101" s="1266"/>
    </row>
    <row r="102" spans="2:6">
      <c r="B102" s="1193" t="s">
        <v>1662</v>
      </c>
      <c r="C102" s="1591">
        <v>95.783000000000001</v>
      </c>
      <c r="D102" s="1194">
        <f t="shared" si="4"/>
        <v>1.0440266017978137</v>
      </c>
      <c r="E102" s="1266"/>
      <c r="F102" s="1266"/>
    </row>
    <row r="103" spans="2:6">
      <c r="B103" s="1193" t="s">
        <v>1663</v>
      </c>
      <c r="C103" s="1591">
        <v>97.167000000000002</v>
      </c>
      <c r="D103" s="1194">
        <f t="shared" si="4"/>
        <v>1.0291559891732789</v>
      </c>
      <c r="E103" s="1266"/>
      <c r="F103" s="1266"/>
    </row>
    <row r="104" spans="2:6">
      <c r="B104" s="1193" t="s">
        <v>579</v>
      </c>
      <c r="C104" s="1591">
        <v>100</v>
      </c>
      <c r="D104" s="1194">
        <f t="shared" si="4"/>
        <v>1</v>
      </c>
      <c r="E104" s="1266"/>
      <c r="F104" s="1266"/>
    </row>
    <row r="105" spans="2:6" s="1592" customFormat="1">
      <c r="B105" s="1593">
        <v>2011</v>
      </c>
      <c r="C105" s="1594">
        <v>103</v>
      </c>
      <c r="D105" s="1595">
        <f t="shared" si="4"/>
        <v>0.970873786407767</v>
      </c>
    </row>
    <row r="106" spans="2:6">
      <c r="B106" s="1266"/>
      <c r="C106" s="1266"/>
      <c r="D106" s="1266"/>
      <c r="E106" s="1266"/>
      <c r="F106" s="1266"/>
    </row>
    <row r="107" spans="2:6">
      <c r="B107" s="1316" t="s">
        <v>1666</v>
      </c>
      <c r="C107" s="1266"/>
      <c r="D107" s="1266"/>
      <c r="E107" s="1266"/>
      <c r="F107" s="1266"/>
    </row>
  </sheetData>
  <mergeCells count="6">
    <mergeCell ref="T22:U22"/>
    <mergeCell ref="N21:O21"/>
    <mergeCell ref="P21:Q21"/>
    <mergeCell ref="N22:O22"/>
    <mergeCell ref="P22:Q22"/>
    <mergeCell ref="R22:S22"/>
  </mergeCells>
  <dataValidations disablePrompts="1" count="1">
    <dataValidation type="list" allowBlank="1" showInputMessage="1" showErrorMessage="1" sqref="I4 L4">
      <formula1>Conversions.Energy.Units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7" tint="0.39997558519241921"/>
    <pageSetUpPr autoPageBreaks="0"/>
  </sheetPr>
  <dimension ref="A1:R87"/>
  <sheetViews>
    <sheetView workbookViewId="0"/>
  </sheetViews>
  <sheetFormatPr baseColWidth="10" defaultColWidth="8.83203125" defaultRowHeight="13" x14ac:dyDescent="0"/>
  <cols>
    <col min="1" max="1" width="4.5" customWidth="1"/>
    <col min="2" max="2" width="27.33203125" customWidth="1"/>
    <col min="3" max="3" width="27.5" customWidth="1"/>
    <col min="4" max="4" width="13.83203125" customWidth="1"/>
    <col min="5" max="5" width="18.83203125" bestFit="1" customWidth="1"/>
    <col min="6" max="6" width="16.6640625" customWidth="1"/>
    <col min="7" max="7" width="11.5" style="1500" customWidth="1"/>
    <col min="8" max="8" width="10.33203125" customWidth="1"/>
    <col min="9" max="9" width="9.5" bestFit="1" customWidth="1"/>
  </cols>
  <sheetData>
    <row r="1" spans="1:18" s="115" customFormat="1">
      <c r="B1" s="1581" t="s">
        <v>1754</v>
      </c>
      <c r="G1" s="1500"/>
    </row>
    <row r="2" spans="1:18" s="1581" customFormat="1"/>
    <row r="3" spans="1:18" s="115" customFormat="1" ht="18">
      <c r="B3" s="23" t="s">
        <v>646</v>
      </c>
      <c r="G3" s="1500"/>
    </row>
    <row r="5" spans="1:18" ht="22.5" customHeight="1">
      <c r="B5" s="562" t="s">
        <v>600</v>
      </c>
      <c r="C5" s="562" t="s">
        <v>644</v>
      </c>
      <c r="D5" s="562" t="s">
        <v>645</v>
      </c>
      <c r="E5" s="562" t="s">
        <v>648</v>
      </c>
      <c r="F5" s="522" t="s">
        <v>1691</v>
      </c>
      <c r="G5" s="522" t="s">
        <v>1706</v>
      </c>
      <c r="I5" s="520" t="s">
        <v>652</v>
      </c>
    </row>
    <row r="6" spans="1:18" ht="15">
      <c r="A6" s="3"/>
      <c r="B6" s="522">
        <v>2007</v>
      </c>
      <c r="C6" s="563">
        <v>60973000</v>
      </c>
      <c r="D6" s="563">
        <v>26042600</v>
      </c>
      <c r="E6" s="563">
        <v>1322842</v>
      </c>
      <c r="F6" s="563">
        <f>Global.Assumptions[[#This Row],[GDP (2005 £m)]]*MGBP*Price2005</f>
        <v>1509318.2725768727</v>
      </c>
      <c r="G6" s="542">
        <f>Global.Assumptions[[#This Row],[GDP (£2010)]]/Global.Assumptions[[#This Row],[Population]]</f>
        <v>2.4753879136287744E-2</v>
      </c>
      <c r="I6" s="520"/>
      <c r="J6" s="115"/>
    </row>
    <row r="7" spans="1:18" ht="15">
      <c r="A7" s="3"/>
      <c r="B7" s="522">
        <v>2010</v>
      </c>
      <c r="C7" s="563">
        <v>62222403</v>
      </c>
      <c r="D7" s="563">
        <v>26917400</v>
      </c>
      <c r="E7" s="563">
        <f>E6*(1.02)^3</f>
        <v>1403810.5131359999</v>
      </c>
      <c r="F7" s="563">
        <f>Global.Assumptions[[#This Row],[GDP (2005 £m)]]*MGBP*Price2005</f>
        <v>1601700.6254047577</v>
      </c>
      <c r="G7" s="542">
        <f>Global.Assumptions[[#This Row],[GDP (£2010)]]/Global.Assumptions[[#This Row],[Population]]</f>
        <v>2.5741542405630938E-2</v>
      </c>
      <c r="I7" s="1297" t="s">
        <v>650</v>
      </c>
      <c r="J7" s="115" t="s">
        <v>651</v>
      </c>
      <c r="K7" s="1225"/>
      <c r="L7" s="1225"/>
      <c r="M7" s="1225"/>
      <c r="N7" s="1225"/>
      <c r="O7" s="1225"/>
      <c r="P7" s="1225"/>
      <c r="Q7" s="1225"/>
      <c r="R7" s="1225"/>
    </row>
    <row r="8" spans="1:18" ht="15">
      <c r="A8" s="3"/>
      <c r="B8" s="522">
        <v>2015</v>
      </c>
      <c r="C8" s="563">
        <v>64344156</v>
      </c>
      <c r="D8" s="563">
        <v>28469000</v>
      </c>
      <c r="E8" s="563">
        <f>E7*(1.02)^5</f>
        <v>1549920.2388837989</v>
      </c>
      <c r="F8" s="563">
        <f>Global.Assumptions[[#This Row],[GDP (2005 £m)]]*MGBP*Price2005</f>
        <v>1768406.9129828273</v>
      </c>
      <c r="G8" s="542">
        <f>Global.Assumptions[[#This Row],[GDP (£2010)]]/Global.Assumptions[[#This Row],[Population]]</f>
        <v>2.7483566852331193E-2</v>
      </c>
      <c r="I8" s="1297"/>
      <c r="J8" s="115"/>
      <c r="N8" s="1006"/>
    </row>
    <row r="9" spans="1:18" ht="15">
      <c r="A9" s="3"/>
      <c r="B9" s="522">
        <v>2020</v>
      </c>
      <c r="C9" s="563">
        <v>66521962</v>
      </c>
      <c r="D9" s="563">
        <v>30004800</v>
      </c>
      <c r="E9" s="563">
        <f t="shared" ref="E9:E14" si="0">E8*(1.02)^5</f>
        <v>1711237.1822427607</v>
      </c>
      <c r="F9" s="563">
        <f>Global.Assumptions[[#This Row],[GDP (2005 £m)]]*MGBP*Price2005</f>
        <v>1952464.1248705126</v>
      </c>
      <c r="G9" s="542">
        <f>Global.Assumptions[[#This Row],[GDP (£2010)]]/Global.Assumptions[[#This Row],[Population]]</f>
        <v>2.9350669555875588E-2</v>
      </c>
      <c r="I9" s="1297" t="s">
        <v>649</v>
      </c>
      <c r="J9" s="115" t="s">
        <v>658</v>
      </c>
      <c r="N9" s="1006"/>
    </row>
    <row r="10" spans="1:18" ht="15">
      <c r="A10" s="3"/>
      <c r="B10" s="522">
        <v>2025</v>
      </c>
      <c r="C10" s="563">
        <v>68647528</v>
      </c>
      <c r="D10" s="563">
        <v>31434800</v>
      </c>
      <c r="E10" s="563">
        <f t="shared" si="0"/>
        <v>1889344.1226362919</v>
      </c>
      <c r="F10" s="563">
        <f>Global.Assumptions[[#This Row],[GDP (2005 £m)]]*MGBP*Price2005</f>
        <v>2155678.1592062204</v>
      </c>
      <c r="G10" s="542">
        <f>Global.Assumptions[[#This Row],[GDP (£2010)]]/Global.Assumptions[[#This Row],[Population]]</f>
        <v>3.1402123601686288E-2</v>
      </c>
      <c r="I10" s="1297"/>
      <c r="J10" s="115" t="s">
        <v>777</v>
      </c>
      <c r="N10" s="1006"/>
    </row>
    <row r="11" spans="1:18" ht="15">
      <c r="A11" s="3"/>
      <c r="B11" s="522">
        <v>2030</v>
      </c>
      <c r="C11" s="563">
        <v>70575666</v>
      </c>
      <c r="D11" s="563">
        <v>32744800</v>
      </c>
      <c r="E11" s="563">
        <f t="shared" si="0"/>
        <v>2085988.5764414766</v>
      </c>
      <c r="F11" s="563">
        <f>Global.Assumptions[[#This Row],[GDP (2005 £m)]]*MGBP*Price2005</f>
        <v>2380042.8734571016</v>
      </c>
      <c r="G11" s="542">
        <f>Global.Assumptions[[#This Row],[GDP (£2010)]]/Global.Assumptions[[#This Row],[Population]]</f>
        <v>3.3723278976313192E-2</v>
      </c>
      <c r="I11" s="1297"/>
      <c r="J11" s="115" t="s">
        <v>659</v>
      </c>
      <c r="N11" s="1006"/>
    </row>
    <row r="12" spans="1:18" ht="15">
      <c r="A12" s="3"/>
      <c r="B12" s="522">
        <v>2035</v>
      </c>
      <c r="C12" s="563">
        <v>72278230.000000015</v>
      </c>
      <c r="D12" s="563">
        <f>D11*(1.01)^5</f>
        <v>34415113.888514474</v>
      </c>
      <c r="E12" s="563">
        <f t="shared" si="0"/>
        <v>2303099.9429435302</v>
      </c>
      <c r="F12" s="563">
        <f>Global.Assumptions[[#This Row],[GDP (2005 £m)]]*MGBP*Price2005</f>
        <v>2627759.6473769527</v>
      </c>
      <c r="G12" s="542">
        <f>Global.Assumptions[[#This Row],[GDP (£2010)]]/Global.Assumptions[[#This Row],[Population]]</f>
        <v>3.6356170417800107E-2</v>
      </c>
      <c r="I12" s="1297"/>
      <c r="J12" s="115"/>
      <c r="N12" s="1006"/>
    </row>
    <row r="13" spans="1:18" ht="15">
      <c r="A13" s="3"/>
      <c r="B13" s="522">
        <v>2040</v>
      </c>
      <c r="C13" s="563">
        <v>73853253</v>
      </c>
      <c r="D13" s="563">
        <f>D12*(1.01)^5</f>
        <v>36170630.572164804</v>
      </c>
      <c r="E13" s="563">
        <f t="shared" si="0"/>
        <v>2542808.4348549671</v>
      </c>
      <c r="F13" s="563">
        <f>Global.Assumptions[[#This Row],[GDP (2005 £m)]]*MGBP*Price2005</f>
        <v>2901258.9820924951</v>
      </c>
      <c r="G13" s="542">
        <f>Global.Assumptions[[#This Row],[GDP (£2010)]]/Global.Assumptions[[#This Row],[Population]]</f>
        <v>3.9284105496239889E-2</v>
      </c>
      <c r="I13" s="1297" t="s">
        <v>647</v>
      </c>
      <c r="J13" s="940" t="s">
        <v>1846</v>
      </c>
      <c r="N13" s="1006"/>
    </row>
    <row r="14" spans="1:18" ht="15">
      <c r="A14" s="3"/>
      <c r="B14" s="522">
        <v>2045</v>
      </c>
      <c r="C14" s="563">
        <v>75356458</v>
      </c>
      <c r="D14" s="563">
        <f>D13*(1.01)^5</f>
        <v>38015696.24979952</v>
      </c>
      <c r="E14" s="563">
        <f t="shared" si="0"/>
        <v>2807465.9791384069</v>
      </c>
      <c r="F14" s="563">
        <f>Global.Assumptions[[#This Row],[GDP (2005 £m)]]*MGBP*Price2005</f>
        <v>3203224.3472398962</v>
      </c>
      <c r="G14" s="542">
        <f>Global.Assumptions[[#This Row],[GDP (£2010)]]/Global.Assumptions[[#This Row],[Population]]</f>
        <v>4.2507628838392271E-2</v>
      </c>
      <c r="I14" s="1297"/>
      <c r="N14" s="1006"/>
    </row>
    <row r="15" spans="1:18">
      <c r="B15" s="522">
        <v>2050</v>
      </c>
      <c r="C15" s="563">
        <v>76789483</v>
      </c>
      <c r="D15" s="563">
        <f>D14*(1.01)^5</f>
        <v>39954878.82008817</v>
      </c>
      <c r="E15" s="563">
        <f>E14*(1.02)^5</f>
        <v>3099669.293203807</v>
      </c>
      <c r="F15" s="563">
        <f>Global.Assumptions[[#This Row],[GDP (2005 £m)]]*MGBP*Price2005</f>
        <v>3536618.5101304203</v>
      </c>
      <c r="G15" s="542">
        <f>Global.Assumptions[[#This Row],[GDP (£2010)]]/Global.Assumptions[[#This Row],[Population]]</f>
        <v>4.6056027101138583E-2</v>
      </c>
      <c r="I15" s="1297" t="s">
        <v>919</v>
      </c>
      <c r="J15" s="115" t="s">
        <v>920</v>
      </c>
      <c r="N15" s="1006"/>
    </row>
    <row r="16" spans="1:18">
      <c r="B16" s="24"/>
      <c r="C16" s="1160">
        <f>SUBTOTAL(101,Global.Assumptions[Population])</f>
        <v>69156213.900000006</v>
      </c>
      <c r="D16" s="1160"/>
      <c r="E16" s="24"/>
      <c r="F16" s="1160"/>
      <c r="G16" s="544"/>
    </row>
    <row r="17" spans="1:14" ht="18">
      <c r="B17" s="23" t="s">
        <v>633</v>
      </c>
      <c r="C17" s="115"/>
      <c r="D17" s="115"/>
    </row>
    <row r="18" spans="1:14" ht="4.5" customHeight="1"/>
    <row r="19" spans="1:14">
      <c r="B19" s="969" t="s">
        <v>915</v>
      </c>
      <c r="C19" s="969" t="s">
        <v>916</v>
      </c>
      <c r="D19" s="969" t="s">
        <v>917</v>
      </c>
    </row>
    <row r="20" spans="1:14" ht="15">
      <c r="B20" s="563" t="s">
        <v>914</v>
      </c>
      <c r="C20" s="734" t="s">
        <v>918</v>
      </c>
      <c r="D20">
        <v>100</v>
      </c>
      <c r="M20" s="1628"/>
      <c r="N20" s="1628"/>
    </row>
    <row r="21" spans="1:14" ht="15">
      <c r="B21" s="1162" t="s">
        <v>921</v>
      </c>
      <c r="C21" s="1596" t="s">
        <v>918</v>
      </c>
      <c r="D21" s="970">
        <v>110</v>
      </c>
    </row>
    <row r="24" spans="1:14" ht="18">
      <c r="A24" s="1266"/>
      <c r="B24" s="23" t="s">
        <v>1539</v>
      </c>
      <c r="C24" s="1266"/>
      <c r="D24" s="1266"/>
      <c r="E24" s="1266"/>
      <c r="F24" s="1266"/>
      <c r="G24" s="1266"/>
      <c r="H24" s="1266"/>
      <c r="I24" s="1266"/>
      <c r="J24" s="1266"/>
      <c r="K24" s="1266"/>
      <c r="L24" s="1266"/>
    </row>
    <row r="25" spans="1:14" ht="6" customHeight="1">
      <c r="A25" s="1266"/>
      <c r="B25" s="1266"/>
      <c r="C25" s="1266"/>
      <c r="D25" s="1266"/>
      <c r="E25" s="1266"/>
      <c r="F25" s="1266"/>
      <c r="G25" s="1266"/>
      <c r="H25" s="1266"/>
      <c r="I25" s="1266"/>
      <c r="J25" s="1266"/>
      <c r="K25" s="1266"/>
      <c r="L25" s="1266"/>
    </row>
    <row r="26" spans="1:14">
      <c r="A26" s="1266"/>
      <c r="B26" s="1191" t="s">
        <v>600</v>
      </c>
      <c r="C26" s="1176">
        <v>2010</v>
      </c>
      <c r="D26" s="1176">
        <v>2015</v>
      </c>
      <c r="E26" s="1176">
        <v>2020</v>
      </c>
      <c r="F26" s="1176">
        <v>2025</v>
      </c>
      <c r="G26" s="1176">
        <v>2030</v>
      </c>
      <c r="H26" s="1176">
        <v>2035</v>
      </c>
      <c r="I26" s="1176">
        <v>2040</v>
      </c>
      <c r="J26" s="1176">
        <v>2045</v>
      </c>
      <c r="K26" s="1176">
        <v>2050</v>
      </c>
      <c r="L26" s="1193"/>
    </row>
    <row r="27" spans="1:14">
      <c r="A27" s="1319"/>
      <c r="B27" s="1597" t="s">
        <v>1668</v>
      </c>
      <c r="C27" s="1598">
        <v>3.5000000000000003E-2</v>
      </c>
      <c r="D27" s="1599">
        <f t="shared" ref="D27:I27" si="1">Discount_rate</f>
        <v>3.5000000000000003E-2</v>
      </c>
      <c r="E27" s="1599">
        <f t="shared" si="1"/>
        <v>3.5000000000000003E-2</v>
      </c>
      <c r="F27" s="1599">
        <f t="shared" si="1"/>
        <v>3.5000000000000003E-2</v>
      </c>
      <c r="G27" s="1599">
        <f t="shared" si="1"/>
        <v>3.5000000000000003E-2</v>
      </c>
      <c r="H27" s="1599">
        <f t="shared" si="1"/>
        <v>3.5000000000000003E-2</v>
      </c>
      <c r="I27" s="1599">
        <f t="shared" si="1"/>
        <v>3.5000000000000003E-2</v>
      </c>
      <c r="J27" s="1600">
        <v>0.03</v>
      </c>
      <c r="K27" s="1600">
        <v>0.03</v>
      </c>
      <c r="L27" s="1193"/>
    </row>
    <row r="28" spans="1:14">
      <c r="A28" s="1319"/>
      <c r="B28" s="1195" t="s">
        <v>1540</v>
      </c>
      <c r="C28" s="1317">
        <v>1</v>
      </c>
      <c r="D28" s="1317">
        <f t="shared" ref="D28:K28" si="2">C28/((1+D27)^5)</f>
        <v>0.84197316685852419</v>
      </c>
      <c r="E28" s="1317">
        <f t="shared" si="2"/>
        <v>0.70891881370977217</v>
      </c>
      <c r="F28" s="1317">
        <f t="shared" si="2"/>
        <v>0.59689061862480497</v>
      </c>
      <c r="G28" s="1317">
        <f t="shared" si="2"/>
        <v>0.50256588443167061</v>
      </c>
      <c r="H28" s="1317">
        <f t="shared" si="2"/>
        <v>0.42314698926998878</v>
      </c>
      <c r="I28" s="1317">
        <f t="shared" si="2"/>
        <v>0.35627841060230242</v>
      </c>
      <c r="J28" s="1317">
        <f t="shared" si="2"/>
        <v>0.30732888667197417</v>
      </c>
      <c r="K28" s="1317">
        <f t="shared" si="2"/>
        <v>0.26510459733825015</v>
      </c>
      <c r="L28" s="1193"/>
    </row>
    <row r="31" spans="1:14" ht="18">
      <c r="B31" s="23" t="s">
        <v>1667</v>
      </c>
      <c r="C31" s="1172"/>
      <c r="D31" s="1776" t="s">
        <v>1105</v>
      </c>
      <c r="E31" s="1776"/>
      <c r="F31" s="1776" t="s">
        <v>1792</v>
      </c>
      <c r="G31" s="1776"/>
      <c r="H31" s="1776" t="s">
        <v>1107</v>
      </c>
      <c r="I31" s="1776"/>
    </row>
    <row r="32" spans="1:14" ht="6" customHeight="1">
      <c r="B32" s="1266"/>
      <c r="C32" s="1172"/>
      <c r="D32" s="1776"/>
      <c r="E32" s="1776"/>
    </row>
    <row r="33" spans="2:11">
      <c r="B33" s="1743" t="s">
        <v>185</v>
      </c>
      <c r="C33" s="1744"/>
      <c r="D33" s="1745" t="s">
        <v>1644</v>
      </c>
      <c r="E33" s="1746" t="s">
        <v>1574</v>
      </c>
      <c r="F33" s="1745" t="s">
        <v>1644</v>
      </c>
      <c r="G33" s="1746" t="s">
        <v>1574</v>
      </c>
      <c r="H33" s="1745" t="s">
        <v>1644</v>
      </c>
      <c r="I33" s="1746" t="s">
        <v>1574</v>
      </c>
    </row>
    <row r="34" spans="2:11">
      <c r="B34" s="1193"/>
      <c r="C34" s="34"/>
      <c r="D34" s="1191"/>
      <c r="E34" s="1192"/>
      <c r="F34" s="1191"/>
      <c r="G34" s="1192"/>
      <c r="H34" s="1191"/>
      <c r="I34" s="1192"/>
      <c r="K34" s="1684" t="s">
        <v>551</v>
      </c>
    </row>
    <row r="35" spans="2:11">
      <c r="B35" s="1193"/>
      <c r="C35" s="548" t="s">
        <v>1729</v>
      </c>
      <c r="D35" s="1685">
        <v>0</v>
      </c>
      <c r="E35" s="1194">
        <v>5</v>
      </c>
      <c r="F35" s="1685">
        <v>7.0000000000000007E-2</v>
      </c>
      <c r="G35" s="1194">
        <v>15</v>
      </c>
      <c r="H35" s="1685">
        <v>0.1</v>
      </c>
      <c r="I35" s="1194">
        <v>15</v>
      </c>
      <c r="K35" s="1684" t="s">
        <v>1793</v>
      </c>
    </row>
    <row r="36" spans="2:11">
      <c r="B36" s="1193"/>
      <c r="C36" s="1686"/>
      <c r="D36" s="1685"/>
      <c r="E36" s="1194"/>
      <c r="F36" s="1685"/>
      <c r="G36" s="1194"/>
      <c r="H36" s="1685"/>
      <c r="I36" s="1194"/>
    </row>
    <row r="37" spans="2:11">
      <c r="B37" s="1597" t="s">
        <v>619</v>
      </c>
      <c r="C37" s="1461" t="s">
        <v>1286</v>
      </c>
      <c r="D37" s="1749">
        <v>0</v>
      </c>
      <c r="E37" s="1750">
        <v>20</v>
      </c>
      <c r="F37" s="1749">
        <v>7.0000000000000007E-2</v>
      </c>
      <c r="G37" s="1750">
        <v>20</v>
      </c>
      <c r="H37" s="1749">
        <v>0.1</v>
      </c>
      <c r="I37" s="1750">
        <v>20</v>
      </c>
    </row>
    <row r="38" spans="2:11">
      <c r="B38" s="1597" t="s">
        <v>695</v>
      </c>
      <c r="C38" s="1461" t="s">
        <v>1011</v>
      </c>
      <c r="D38" s="1749">
        <v>0</v>
      </c>
      <c r="E38" s="1750">
        <v>30</v>
      </c>
      <c r="F38" s="1749">
        <v>7.0000000000000007E-2</v>
      </c>
      <c r="G38" s="1750">
        <v>30</v>
      </c>
      <c r="H38" s="1749">
        <v>0.1</v>
      </c>
      <c r="I38" s="1750">
        <v>30</v>
      </c>
    </row>
    <row r="39" spans="2:11">
      <c r="B39" s="1597" t="s">
        <v>628</v>
      </c>
      <c r="C39" s="1461" t="s">
        <v>1004</v>
      </c>
      <c r="D39" s="1749">
        <v>0</v>
      </c>
      <c r="E39" s="1750">
        <v>30</v>
      </c>
      <c r="F39" s="1749">
        <v>7.0000000000000007E-2</v>
      </c>
      <c r="G39" s="1750">
        <v>30</v>
      </c>
      <c r="H39" s="1749">
        <v>0.1</v>
      </c>
      <c r="I39" s="1750">
        <v>30</v>
      </c>
    </row>
    <row r="40" spans="2:11">
      <c r="B40" s="1597" t="s">
        <v>1027</v>
      </c>
      <c r="C40" s="1461" t="s">
        <v>696</v>
      </c>
      <c r="D40" s="1749">
        <v>0</v>
      </c>
      <c r="E40" s="1750">
        <v>20</v>
      </c>
      <c r="F40" s="1749">
        <v>7.0000000000000007E-2</v>
      </c>
      <c r="G40" s="1750">
        <v>20</v>
      </c>
      <c r="H40" s="1749">
        <v>0.1</v>
      </c>
      <c r="I40" s="1750">
        <v>20</v>
      </c>
    </row>
    <row r="41" spans="2:11">
      <c r="B41" s="1597" t="s">
        <v>1028</v>
      </c>
      <c r="C41" s="1461" t="s">
        <v>697</v>
      </c>
      <c r="D41" s="1749">
        <v>0</v>
      </c>
      <c r="E41" s="1750">
        <v>20</v>
      </c>
      <c r="F41" s="1749">
        <v>7.0000000000000007E-2</v>
      </c>
      <c r="G41" s="1750">
        <v>20</v>
      </c>
      <c r="H41" s="1749">
        <v>0.1</v>
      </c>
      <c r="I41" s="1750">
        <v>20</v>
      </c>
    </row>
    <row r="42" spans="2:11">
      <c r="B42" s="1597" t="s">
        <v>638</v>
      </c>
      <c r="C42" s="1461" t="s">
        <v>63</v>
      </c>
      <c r="D42" s="1749">
        <v>0</v>
      </c>
      <c r="E42" s="1750">
        <v>30</v>
      </c>
      <c r="F42" s="1749">
        <v>7.0000000000000007E-2</v>
      </c>
      <c r="G42" s="1750">
        <v>30</v>
      </c>
      <c r="H42" s="1749">
        <v>0.1</v>
      </c>
      <c r="I42" s="1750">
        <v>30</v>
      </c>
    </row>
    <row r="43" spans="2:11">
      <c r="B43" s="1597" t="s">
        <v>640</v>
      </c>
      <c r="C43" s="1461" t="s">
        <v>1195</v>
      </c>
      <c r="D43" s="1749">
        <v>0</v>
      </c>
      <c r="E43" s="1750">
        <v>30</v>
      </c>
      <c r="F43" s="1749">
        <v>7.0000000000000007E-2</v>
      </c>
      <c r="G43" s="1750">
        <v>30</v>
      </c>
      <c r="H43" s="1749">
        <v>0.1</v>
      </c>
      <c r="I43" s="1750">
        <v>30</v>
      </c>
    </row>
    <row r="44" spans="2:11">
      <c r="B44" s="1597" t="s">
        <v>641</v>
      </c>
      <c r="C44" s="1461" t="s">
        <v>3</v>
      </c>
      <c r="D44" s="1749">
        <v>0</v>
      </c>
      <c r="E44" s="1750">
        <v>25</v>
      </c>
      <c r="F44" s="1749">
        <v>7.0000000000000007E-2</v>
      </c>
      <c r="G44" s="1750">
        <v>25</v>
      </c>
      <c r="H44" s="1749">
        <v>0.1</v>
      </c>
      <c r="I44" s="1750">
        <v>25</v>
      </c>
    </row>
    <row r="45" spans="2:11">
      <c r="B45" s="1597" t="s">
        <v>752</v>
      </c>
      <c r="C45" s="1461" t="s">
        <v>1001</v>
      </c>
      <c r="D45" s="1749">
        <v>0</v>
      </c>
      <c r="E45" s="1750">
        <v>25</v>
      </c>
      <c r="F45" s="1749">
        <v>7.0000000000000007E-2</v>
      </c>
      <c r="G45" s="1750">
        <v>25</v>
      </c>
      <c r="H45" s="1749">
        <v>0.1</v>
      </c>
      <c r="I45" s="1750">
        <v>25</v>
      </c>
    </row>
    <row r="46" spans="2:11">
      <c r="B46" s="1597" t="s">
        <v>958</v>
      </c>
      <c r="C46" s="1461" t="s">
        <v>1002</v>
      </c>
      <c r="D46" s="1749">
        <v>0</v>
      </c>
      <c r="E46" s="1750">
        <v>20</v>
      </c>
      <c r="F46" s="1749">
        <v>7.0000000000000007E-2</v>
      </c>
      <c r="G46" s="1750">
        <v>20</v>
      </c>
      <c r="H46" s="1749">
        <v>0.1</v>
      </c>
      <c r="I46" s="1750">
        <v>20</v>
      </c>
    </row>
    <row r="47" spans="2:11">
      <c r="B47" s="1597" t="s">
        <v>990</v>
      </c>
      <c r="C47" s="1461" t="s">
        <v>1003</v>
      </c>
      <c r="D47" s="1749">
        <v>0</v>
      </c>
      <c r="E47" s="1750">
        <v>25</v>
      </c>
      <c r="F47" s="1749">
        <v>7.0000000000000007E-2</v>
      </c>
      <c r="G47" s="1750">
        <v>25</v>
      </c>
      <c r="H47" s="1749">
        <v>0.1</v>
      </c>
      <c r="I47" s="1750">
        <v>25</v>
      </c>
    </row>
    <row r="48" spans="2:11">
      <c r="B48" s="1597" t="s">
        <v>744</v>
      </c>
      <c r="C48" s="1461" t="s">
        <v>1531</v>
      </c>
      <c r="D48" s="1749">
        <v>0</v>
      </c>
      <c r="E48" s="1750">
        <v>30</v>
      </c>
      <c r="F48" s="1749">
        <v>7.0000000000000007E-2</v>
      </c>
      <c r="G48" s="1750">
        <v>30</v>
      </c>
      <c r="H48" s="1749">
        <v>0.1</v>
      </c>
      <c r="I48" s="1750">
        <v>30</v>
      </c>
    </row>
    <row r="49" spans="2:12">
      <c r="B49" s="1597"/>
      <c r="C49" s="1461"/>
      <c r="D49" s="1749"/>
      <c r="E49" s="1750"/>
      <c r="F49" s="1749"/>
      <c r="G49" s="1750"/>
      <c r="H49" s="1749"/>
      <c r="I49" s="1750"/>
    </row>
    <row r="50" spans="2:12">
      <c r="B50" s="1597"/>
      <c r="C50" s="1461"/>
      <c r="D50" s="1749"/>
      <c r="E50" s="1750"/>
      <c r="F50" s="1749"/>
      <c r="G50" s="1750"/>
      <c r="H50" s="1749"/>
      <c r="I50" s="1750"/>
    </row>
    <row r="51" spans="2:12">
      <c r="B51" s="1597"/>
      <c r="C51" s="1461"/>
      <c r="D51" s="1749"/>
      <c r="E51" s="1750"/>
      <c r="F51" s="1749"/>
      <c r="G51" s="1750"/>
      <c r="H51" s="1749"/>
      <c r="I51" s="1750"/>
      <c r="L51" s="1742"/>
    </row>
    <row r="52" spans="2:12">
      <c r="B52" s="1597" t="s">
        <v>1731</v>
      </c>
      <c r="C52" s="1461" t="s">
        <v>1733</v>
      </c>
      <c r="D52" s="1749">
        <v>0</v>
      </c>
      <c r="E52" s="1750">
        <v>15</v>
      </c>
      <c r="F52" s="1749">
        <v>7.0000000000000007E-2</v>
      </c>
      <c r="G52" s="1750">
        <v>15</v>
      </c>
      <c r="H52" s="1749">
        <v>0.1</v>
      </c>
      <c r="I52" s="1750">
        <v>15</v>
      </c>
    </row>
    <row r="53" spans="2:12">
      <c r="B53" s="1597" t="s">
        <v>1732</v>
      </c>
      <c r="C53" s="1461" t="s">
        <v>985</v>
      </c>
      <c r="D53" s="1749">
        <v>0</v>
      </c>
      <c r="E53" s="1750">
        <v>15</v>
      </c>
      <c r="F53" s="1749">
        <v>7.0000000000000007E-2</v>
      </c>
      <c r="G53" s="1750">
        <v>15</v>
      </c>
      <c r="H53" s="1749">
        <v>0.1</v>
      </c>
      <c r="I53" s="1750">
        <v>15</v>
      </c>
    </row>
    <row r="54" spans="2:12">
      <c r="B54" s="1597"/>
      <c r="C54" s="1461"/>
      <c r="D54" s="1749"/>
      <c r="E54" s="1750"/>
      <c r="F54" s="1749"/>
      <c r="G54" s="1750"/>
      <c r="H54" s="1749"/>
      <c r="I54" s="1750"/>
    </row>
    <row r="55" spans="2:12">
      <c r="B55" s="1597"/>
      <c r="C55" s="1461"/>
      <c r="D55" s="1749"/>
      <c r="E55" s="1750"/>
      <c r="F55" s="1749"/>
      <c r="G55" s="1750"/>
      <c r="H55" s="1749"/>
      <c r="I55" s="1750"/>
    </row>
    <row r="56" spans="2:12">
      <c r="B56" s="1597"/>
      <c r="C56" s="1461"/>
      <c r="D56" s="1749"/>
      <c r="E56" s="1750"/>
      <c r="F56" s="1749"/>
      <c r="G56" s="1750"/>
      <c r="H56" s="1749"/>
      <c r="I56" s="1750"/>
    </row>
    <row r="57" spans="2:12">
      <c r="B57" s="1597" t="s">
        <v>632</v>
      </c>
      <c r="C57" s="1461" t="s">
        <v>631</v>
      </c>
      <c r="D57" s="1749">
        <v>0</v>
      </c>
      <c r="E57" s="1750">
        <v>20</v>
      </c>
      <c r="F57" s="1749">
        <v>7.0000000000000007E-2</v>
      </c>
      <c r="G57" s="1750">
        <v>20</v>
      </c>
      <c r="H57" s="1749">
        <v>0.1</v>
      </c>
      <c r="I57" s="1750">
        <v>20</v>
      </c>
    </row>
    <row r="58" spans="2:12">
      <c r="B58" s="1597" t="s">
        <v>634</v>
      </c>
      <c r="C58" s="1461" t="s">
        <v>1147</v>
      </c>
      <c r="D58" s="1749">
        <v>0</v>
      </c>
      <c r="E58" s="1750">
        <v>15</v>
      </c>
      <c r="F58" s="1749">
        <v>7.0000000000000007E-2</v>
      </c>
      <c r="G58" s="1750">
        <v>15</v>
      </c>
      <c r="H58" s="1749">
        <v>0.1</v>
      </c>
      <c r="I58" s="1750">
        <v>15</v>
      </c>
    </row>
    <row r="59" spans="2:12">
      <c r="B59" s="1597" t="s">
        <v>753</v>
      </c>
      <c r="C59" s="1461" t="s">
        <v>572</v>
      </c>
      <c r="D59" s="1749">
        <v>0</v>
      </c>
      <c r="E59" s="1750">
        <v>25</v>
      </c>
      <c r="F59" s="1749">
        <v>7.0000000000000007E-2</v>
      </c>
      <c r="G59" s="1750">
        <v>25</v>
      </c>
      <c r="H59" s="1749">
        <v>0.1</v>
      </c>
      <c r="I59" s="1750">
        <v>25</v>
      </c>
    </row>
    <row r="60" spans="2:12">
      <c r="B60" s="1597" t="s">
        <v>1711</v>
      </c>
      <c r="C60" s="1461" t="s">
        <v>1591</v>
      </c>
      <c r="D60" s="1749">
        <v>0</v>
      </c>
      <c r="E60" s="1750">
        <v>15</v>
      </c>
      <c r="F60" s="1749">
        <v>7.0000000000000007E-2</v>
      </c>
      <c r="G60" s="1750">
        <v>15</v>
      </c>
      <c r="H60" s="1749">
        <v>0.1</v>
      </c>
      <c r="I60" s="1750">
        <v>15</v>
      </c>
    </row>
    <row r="61" spans="2:12">
      <c r="B61" s="1597" t="s">
        <v>1712</v>
      </c>
      <c r="C61" s="1461" t="s">
        <v>1713</v>
      </c>
      <c r="D61" s="1749">
        <v>0</v>
      </c>
      <c r="E61" s="1750">
        <v>30</v>
      </c>
      <c r="F61" s="1749">
        <v>7.0000000000000007E-2</v>
      </c>
      <c r="G61" s="1750">
        <v>30</v>
      </c>
      <c r="H61" s="1749">
        <v>0.1</v>
      </c>
      <c r="I61" s="1750">
        <v>30</v>
      </c>
    </row>
    <row r="62" spans="2:12">
      <c r="B62" s="1597" t="s">
        <v>726</v>
      </c>
      <c r="C62" s="1461" t="s">
        <v>957</v>
      </c>
      <c r="D62" s="1749">
        <v>0</v>
      </c>
      <c r="E62" s="1750">
        <v>15</v>
      </c>
      <c r="F62" s="1749">
        <v>7.0000000000000007E-2</v>
      </c>
      <c r="G62" s="1750">
        <v>15</v>
      </c>
      <c r="H62" s="1749">
        <v>0.1</v>
      </c>
      <c r="I62" s="1750">
        <v>15</v>
      </c>
    </row>
    <row r="63" spans="2:12">
      <c r="B63" s="1597" t="s">
        <v>731</v>
      </c>
      <c r="C63" s="1461" t="s">
        <v>733</v>
      </c>
      <c r="D63" s="1749">
        <v>0</v>
      </c>
      <c r="E63" s="1750">
        <v>15</v>
      </c>
      <c r="F63" s="1749">
        <v>7.0000000000000007E-2</v>
      </c>
      <c r="G63" s="1750">
        <v>15</v>
      </c>
      <c r="H63" s="1749">
        <v>0.1</v>
      </c>
      <c r="I63" s="1750">
        <v>15</v>
      </c>
    </row>
    <row r="64" spans="2:12">
      <c r="B64" s="1597"/>
      <c r="C64" s="1461"/>
      <c r="D64" s="1749"/>
      <c r="E64" s="1750"/>
      <c r="F64" s="1749"/>
      <c r="G64" s="1750"/>
      <c r="H64" s="1749"/>
      <c r="I64" s="1750"/>
    </row>
    <row r="65" spans="2:9">
      <c r="B65" s="1597"/>
      <c r="C65" s="1461"/>
      <c r="D65" s="1749"/>
      <c r="E65" s="1750"/>
      <c r="F65" s="1749"/>
      <c r="G65" s="1750"/>
      <c r="H65" s="1749"/>
      <c r="I65" s="1750"/>
    </row>
    <row r="66" spans="2:9">
      <c r="B66" s="1597" t="s">
        <v>1714</v>
      </c>
      <c r="C66" s="1461" t="s">
        <v>1720</v>
      </c>
      <c r="D66" s="1749">
        <v>0</v>
      </c>
      <c r="E66" s="1750">
        <v>15</v>
      </c>
      <c r="F66" s="1749">
        <v>7.0000000000000007E-2</v>
      </c>
      <c r="G66" s="1750">
        <v>15</v>
      </c>
      <c r="H66" s="1749">
        <v>0.1</v>
      </c>
      <c r="I66" s="1750">
        <v>15</v>
      </c>
    </row>
    <row r="67" spans="2:9">
      <c r="B67" s="1597" t="s">
        <v>1715</v>
      </c>
      <c r="C67" s="1461" t="s">
        <v>1721</v>
      </c>
      <c r="D67" s="1749">
        <v>0</v>
      </c>
      <c r="E67" s="1750">
        <v>15</v>
      </c>
      <c r="F67" s="1749">
        <v>7.0000000000000007E-2</v>
      </c>
      <c r="G67" s="1750">
        <v>15</v>
      </c>
      <c r="H67" s="1749">
        <v>0.1</v>
      </c>
      <c r="I67" s="1750">
        <v>15</v>
      </c>
    </row>
    <row r="68" spans="2:9">
      <c r="B68" s="1597" t="s">
        <v>1716</v>
      </c>
      <c r="C68" s="1461" t="s">
        <v>1722</v>
      </c>
      <c r="D68" s="1749">
        <v>0</v>
      </c>
      <c r="E68" s="1750">
        <v>15</v>
      </c>
      <c r="F68" s="1749">
        <v>7.0000000000000007E-2</v>
      </c>
      <c r="G68" s="1750">
        <v>15</v>
      </c>
      <c r="H68" s="1749">
        <v>0.1</v>
      </c>
      <c r="I68" s="1750">
        <v>15</v>
      </c>
    </row>
    <row r="69" spans="2:9">
      <c r="B69" s="1597" t="s">
        <v>1717</v>
      </c>
      <c r="C69" s="1461" t="s">
        <v>1723</v>
      </c>
      <c r="D69" s="1749">
        <v>0</v>
      </c>
      <c r="E69" s="1750">
        <v>15</v>
      </c>
      <c r="F69" s="1749">
        <v>7.0000000000000007E-2</v>
      </c>
      <c r="G69" s="1750">
        <v>15</v>
      </c>
      <c r="H69" s="1749">
        <v>0.1</v>
      </c>
      <c r="I69" s="1750">
        <v>15</v>
      </c>
    </row>
    <row r="70" spans="2:9">
      <c r="B70" s="1597" t="s">
        <v>1736</v>
      </c>
      <c r="C70" s="1461" t="s">
        <v>1724</v>
      </c>
      <c r="D70" s="1749">
        <v>0</v>
      </c>
      <c r="E70" s="1750">
        <v>5</v>
      </c>
      <c r="F70" s="1749">
        <v>7.0000000000000007E-2</v>
      </c>
      <c r="G70" s="1750">
        <v>5</v>
      </c>
      <c r="H70" s="1749">
        <v>0.1</v>
      </c>
      <c r="I70" s="1750">
        <v>5</v>
      </c>
    </row>
    <row r="71" spans="2:9">
      <c r="B71" s="1597" t="s">
        <v>1718</v>
      </c>
      <c r="C71" s="1461" t="s">
        <v>24</v>
      </c>
      <c r="D71" s="1749">
        <v>0</v>
      </c>
      <c r="E71" s="1750">
        <v>30</v>
      </c>
      <c r="F71" s="1749">
        <v>7.0000000000000007E-2</v>
      </c>
      <c r="G71" s="1750">
        <v>30</v>
      </c>
      <c r="H71" s="1749">
        <v>0.1</v>
      </c>
      <c r="I71" s="1750">
        <v>30</v>
      </c>
    </row>
    <row r="72" spans="2:9">
      <c r="B72" s="1597" t="s">
        <v>1719</v>
      </c>
      <c r="C72" s="1461" t="s">
        <v>737</v>
      </c>
      <c r="D72" s="1749">
        <v>0</v>
      </c>
      <c r="E72" s="1750">
        <v>30</v>
      </c>
      <c r="F72" s="1749">
        <v>7.0000000000000007E-2</v>
      </c>
      <c r="G72" s="1750">
        <v>30</v>
      </c>
      <c r="H72" s="1749">
        <v>0.1</v>
      </c>
      <c r="I72" s="1750">
        <v>30</v>
      </c>
    </row>
    <row r="73" spans="2:9">
      <c r="B73" s="1597" t="s">
        <v>714</v>
      </c>
      <c r="C73" s="1461" t="s">
        <v>976</v>
      </c>
      <c r="D73" s="1749">
        <v>0</v>
      </c>
      <c r="E73" s="1750">
        <v>10</v>
      </c>
      <c r="F73" s="1749">
        <v>7.0000000000000007E-2</v>
      </c>
      <c r="G73" s="1750">
        <v>10</v>
      </c>
      <c r="H73" s="1749">
        <v>0.1</v>
      </c>
      <c r="I73" s="1750">
        <v>10</v>
      </c>
    </row>
    <row r="74" spans="2:9">
      <c r="B74" s="1597" t="s">
        <v>715</v>
      </c>
      <c r="C74" s="1461" t="s">
        <v>736</v>
      </c>
      <c r="D74" s="1749">
        <v>0</v>
      </c>
      <c r="E74" s="1750">
        <v>15</v>
      </c>
      <c r="F74" s="1749">
        <v>7.0000000000000007E-2</v>
      </c>
      <c r="G74" s="1750">
        <v>15</v>
      </c>
      <c r="H74" s="1749">
        <v>0.1</v>
      </c>
      <c r="I74" s="1750">
        <v>15</v>
      </c>
    </row>
    <row r="75" spans="2:9">
      <c r="B75" s="1597" t="s">
        <v>738</v>
      </c>
      <c r="C75" s="1461" t="s">
        <v>739</v>
      </c>
      <c r="D75" s="1749">
        <v>0</v>
      </c>
      <c r="E75" s="1750">
        <v>15</v>
      </c>
      <c r="F75" s="1749">
        <v>7.0000000000000007E-2</v>
      </c>
      <c r="G75" s="1750">
        <v>15</v>
      </c>
      <c r="H75" s="1749">
        <v>0.1</v>
      </c>
      <c r="I75" s="1750">
        <v>15</v>
      </c>
    </row>
    <row r="76" spans="2:9">
      <c r="B76" s="1597"/>
      <c r="C76" s="1461"/>
      <c r="D76" s="1749"/>
      <c r="E76" s="1750"/>
      <c r="F76" s="1749"/>
      <c r="G76" s="1750"/>
      <c r="H76" s="1749"/>
      <c r="I76" s="1750"/>
    </row>
    <row r="77" spans="2:9">
      <c r="B77" s="1597" t="s">
        <v>751</v>
      </c>
      <c r="C77" s="1461" t="s">
        <v>147</v>
      </c>
      <c r="D77" s="1749">
        <v>0</v>
      </c>
      <c r="E77" s="1750">
        <v>15</v>
      </c>
      <c r="F77" s="1749">
        <v>7.0000000000000007E-2</v>
      </c>
      <c r="G77" s="1750">
        <v>15</v>
      </c>
      <c r="H77" s="1749">
        <v>0.1</v>
      </c>
      <c r="I77" s="1750">
        <v>15</v>
      </c>
    </row>
    <row r="78" spans="2:9">
      <c r="B78" s="1597"/>
      <c r="C78" s="1461"/>
      <c r="D78" s="1749"/>
      <c r="E78" s="1750"/>
      <c r="F78" s="1749"/>
      <c r="G78" s="1750"/>
      <c r="H78" s="1749"/>
      <c r="I78" s="1750"/>
    </row>
    <row r="79" spans="2:9">
      <c r="B79" s="1597"/>
      <c r="C79" s="1461"/>
      <c r="D79" s="1749"/>
      <c r="E79" s="1750"/>
      <c r="F79" s="1749"/>
      <c r="G79" s="1750"/>
      <c r="H79" s="1749"/>
      <c r="I79" s="1750"/>
    </row>
    <row r="80" spans="2:9">
      <c r="B80" s="1597"/>
      <c r="C80" s="1461"/>
      <c r="D80" s="1749"/>
      <c r="E80" s="1750"/>
      <c r="F80" s="1749"/>
      <c r="G80" s="1750"/>
      <c r="H80" s="1749"/>
      <c r="I80" s="1750"/>
    </row>
    <row r="81" spans="2:9">
      <c r="B81" s="1597" t="s">
        <v>767</v>
      </c>
      <c r="C81" s="1461" t="s">
        <v>769</v>
      </c>
      <c r="D81" s="1749">
        <v>0</v>
      </c>
      <c r="E81" s="1750">
        <v>15</v>
      </c>
      <c r="F81" s="1749">
        <v>7.0000000000000007E-2</v>
      </c>
      <c r="G81" s="1750">
        <v>15</v>
      </c>
      <c r="H81" s="1749">
        <v>0.1</v>
      </c>
      <c r="I81" s="1750">
        <v>15</v>
      </c>
    </row>
    <row r="82" spans="2:9">
      <c r="B82" s="1597"/>
      <c r="C82" s="1461"/>
      <c r="D82" s="1749"/>
      <c r="E82" s="1750"/>
      <c r="F82" s="1749"/>
      <c r="G82" s="1750"/>
      <c r="H82" s="1749"/>
      <c r="I82" s="1750"/>
    </row>
    <row r="83" spans="2:9">
      <c r="B83" s="1597"/>
      <c r="C83" s="1461"/>
      <c r="D83" s="1749"/>
      <c r="E83" s="1750"/>
      <c r="F83" s="1749"/>
      <c r="G83" s="1750"/>
      <c r="H83" s="1749"/>
      <c r="I83" s="1750"/>
    </row>
    <row r="84" spans="2:9">
      <c r="B84" s="1597"/>
      <c r="C84" s="1461"/>
      <c r="D84" s="1749"/>
      <c r="E84" s="1750"/>
      <c r="F84" s="1749"/>
      <c r="G84" s="1750"/>
      <c r="H84" s="1749"/>
      <c r="I84" s="1750"/>
    </row>
    <row r="85" spans="2:9">
      <c r="B85" s="1597" t="s">
        <v>967</v>
      </c>
      <c r="C85" s="1461" t="s">
        <v>966</v>
      </c>
      <c r="D85" s="1749">
        <v>0</v>
      </c>
      <c r="E85" s="1750">
        <v>15</v>
      </c>
      <c r="F85" s="1749">
        <v>7.0000000000000007E-2</v>
      </c>
      <c r="G85" s="1750">
        <v>15</v>
      </c>
      <c r="H85" s="1749">
        <v>0.1</v>
      </c>
      <c r="I85" s="1750">
        <v>15</v>
      </c>
    </row>
    <row r="86" spans="2:9">
      <c r="B86" s="1747" t="s">
        <v>1776</v>
      </c>
      <c r="C86" s="1748" t="s">
        <v>1777</v>
      </c>
      <c r="D86" s="1751">
        <v>0</v>
      </c>
      <c r="E86" s="1595">
        <v>15</v>
      </c>
      <c r="F86" s="1751">
        <v>7.0000000000000007E-2</v>
      </c>
      <c r="G86" s="1595">
        <v>15</v>
      </c>
      <c r="H86" s="1751">
        <v>0.1</v>
      </c>
      <c r="I86" s="1595">
        <v>15</v>
      </c>
    </row>
    <row r="87" spans="2:9">
      <c r="B87" s="240" t="s">
        <v>1730</v>
      </c>
      <c r="G87"/>
    </row>
  </sheetData>
  <mergeCells count="4">
    <mergeCell ref="D32:E32"/>
    <mergeCell ref="D31:E31"/>
    <mergeCell ref="F31:G31"/>
    <mergeCell ref="H31:I31"/>
  </mergeCells>
  <pageMargins left="0.7" right="0.7" top="0.75" bottom="0.75" header="0.3" footer="0.3"/>
  <pageSetup paperSize="9" orientation="portrait" horizontalDpi="4294967292" verticalDpi="4294967292"/>
  <ignoredErrors>
    <ignoredError sqref="D6:D11 D12:D15" calculatedColumn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 tint="0.39997558519241921"/>
    <pageSetUpPr autoPageBreaks="0"/>
  </sheetPr>
  <dimension ref="A1:K91"/>
  <sheetViews>
    <sheetView workbookViewId="0"/>
  </sheetViews>
  <sheetFormatPr baseColWidth="10" defaultColWidth="8.83203125" defaultRowHeight="13" x14ac:dyDescent="0"/>
  <cols>
    <col min="1" max="1" width="2.83203125" customWidth="1"/>
    <col min="2" max="2" width="35" customWidth="1"/>
    <col min="3" max="3" width="26.33203125" customWidth="1"/>
    <col min="5" max="5" width="18.6640625" style="115" bestFit="1" customWidth="1"/>
    <col min="6" max="6" width="14.1640625" customWidth="1"/>
    <col min="7" max="8" width="14.1640625" style="115" customWidth="1"/>
    <col min="9" max="9" width="11.5" bestFit="1" customWidth="1"/>
    <col min="10" max="10" width="24.1640625" customWidth="1"/>
    <col min="11" max="11" width="12.33203125" bestFit="1" customWidth="1"/>
  </cols>
  <sheetData>
    <row r="1" spans="1:11">
      <c r="B1" s="1581" t="s">
        <v>1755</v>
      </c>
    </row>
    <row r="2" spans="1:11" s="1581" customFormat="1"/>
    <row r="3" spans="1:11" s="1581" customFormat="1"/>
    <row r="4" spans="1:11" ht="18" customHeight="1">
      <c r="B4" s="23" t="s">
        <v>367</v>
      </c>
      <c r="C4" s="115"/>
      <c r="E4" s="23" t="s">
        <v>529</v>
      </c>
      <c r="F4" s="115"/>
      <c r="H4" s="15" t="str">
        <f>"per " &amp; Preferences.EnergyUnits</f>
        <v>per TWh</v>
      </c>
      <c r="J4" s="23" t="s">
        <v>536</v>
      </c>
      <c r="K4" s="23"/>
    </row>
    <row r="5" spans="1:11" ht="6.75" customHeight="1">
      <c r="B5" s="240"/>
      <c r="C5" s="115"/>
      <c r="E5" s="240"/>
      <c r="F5" s="115"/>
      <c r="J5" s="240"/>
      <c r="K5" s="240"/>
    </row>
    <row r="6" spans="1:11" s="115" customFormat="1" ht="6.75" customHeight="1">
      <c r="B6" s="240"/>
      <c r="E6" s="240"/>
      <c r="J6" s="240"/>
      <c r="K6" s="240"/>
    </row>
    <row r="7" spans="1:11" ht="18.75" customHeight="1">
      <c r="B7" s="28" t="s">
        <v>363</v>
      </c>
      <c r="C7" s="596" t="str">
        <f>Preferences.EnergyUnits &amp; " / kg"</f>
        <v>TWh / kg</v>
      </c>
      <c r="E7" s="28" t="s">
        <v>532</v>
      </c>
      <c r="F7" s="29" t="s">
        <v>556</v>
      </c>
      <c r="G7" s="29" t="s">
        <v>557</v>
      </c>
      <c r="H7" s="29" t="s">
        <v>558</v>
      </c>
      <c r="J7" s="28" t="s">
        <v>14</v>
      </c>
      <c r="K7" s="28" t="s">
        <v>537</v>
      </c>
    </row>
    <row r="8" spans="1:11" ht="15">
      <c r="A8" s="3"/>
      <c r="B8" s="24" t="s">
        <v>359</v>
      </c>
      <c r="C8" s="241">
        <f>'DUKES 09 (A.1)'!$C$7*Unit.GJ/1000</f>
        <v>7.2500000000000004E-9</v>
      </c>
      <c r="E8" s="24" t="s">
        <v>530</v>
      </c>
      <c r="F8" s="241">
        <f>0.308/1000000000/Unit.kWh</f>
        <v>0.30799999999999994</v>
      </c>
      <c r="G8" s="241">
        <f>(13.56 / 96935) * EF.IndustrialCoal.CO2 * GWP.CH4</f>
        <v>9.0479269613658628E-4</v>
      </c>
      <c r="H8" s="241">
        <f>(2.77 / 96935) *EF.IndustrialCoal.CO2 * GWP.N2O</f>
        <v>2.7284221385464481E-3</v>
      </c>
      <c r="J8" s="24" t="s">
        <v>538</v>
      </c>
      <c r="K8" s="24">
        <v>1</v>
      </c>
    </row>
    <row r="9" spans="1:11" ht="15">
      <c r="A9" s="3"/>
      <c r="B9" s="24" t="s">
        <v>362</v>
      </c>
      <c r="C9" s="241">
        <f>'DUKES 09 (A.1)'!$C$38*Unit.GJ/1000</f>
        <v>8.277777777777778E-9</v>
      </c>
      <c r="E9" s="24" t="s">
        <v>531</v>
      </c>
      <c r="F9" s="241">
        <f>0.25/1000000000/Unit.kWh</f>
        <v>0.25</v>
      </c>
      <c r="G9" s="241">
        <f>(4.28 / 72193) * EF.Diesel.CO2 * GWP.CH4</f>
        <v>3.1124901306220826E-4</v>
      </c>
      <c r="H9" s="241">
        <f>(4.19 / 72193)*EF.Diesel.CO2 * GWP.N2O</f>
        <v>4.4980122726580142E-3</v>
      </c>
      <c r="J9" s="24" t="s">
        <v>539</v>
      </c>
      <c r="K9" s="24">
        <v>21</v>
      </c>
    </row>
    <row r="10" spans="1:11" ht="15">
      <c r="A10" s="3"/>
      <c r="B10" s="24" t="s">
        <v>332</v>
      </c>
      <c r="C10" s="241">
        <f>'DUKES 09 (A.1)'!$C$39*Unit.GJ/1000</f>
        <v>6.8888888888888888E-9</v>
      </c>
      <c r="E10" s="24" t="s">
        <v>260</v>
      </c>
      <c r="F10" s="241">
        <f>0.184/1000000000/Unit.kWh</f>
        <v>0.18399999999999997</v>
      </c>
      <c r="G10" s="241">
        <f>(5.49 / 57516) * EF.NaturalGas.CO2 * GWP.CH4</f>
        <v>3.6882537033173374E-4</v>
      </c>
      <c r="H10" s="241">
        <f>(0.4 / 57516) *EF.NaturalGas.CO2 * GWP.N2O</f>
        <v>3.9668961680228111E-4</v>
      </c>
      <c r="J10" s="24" t="s">
        <v>540</v>
      </c>
      <c r="K10" s="24">
        <v>310</v>
      </c>
    </row>
    <row r="11" spans="1:11" ht="15">
      <c r="A11" s="3"/>
      <c r="B11" s="26" t="s">
        <v>333</v>
      </c>
      <c r="C11" s="242">
        <f>'DUKES 09 (A.1)'!$C$40*Unit.GJ/1000</f>
        <v>9.0555555555555567E-9</v>
      </c>
      <c r="E11" s="26" t="s">
        <v>253</v>
      </c>
      <c r="F11" s="242">
        <f>(44/12)*6.273/1000/1000000/Unit.therm</f>
        <v>0.78482259931212373</v>
      </c>
      <c r="G11" s="242"/>
      <c r="H11" s="242"/>
      <c r="J11" s="24" t="s">
        <v>541</v>
      </c>
      <c r="K11" s="513" t="s">
        <v>544</v>
      </c>
    </row>
    <row r="12" spans="1:11" ht="15">
      <c r="A12" s="3"/>
      <c r="B12" s="24"/>
      <c r="C12" s="30"/>
      <c r="E12" s="24"/>
      <c r="F12" s="30"/>
      <c r="G12" s="30"/>
      <c r="H12" s="30"/>
      <c r="J12" s="24" t="s">
        <v>542</v>
      </c>
      <c r="K12" s="513" t="s">
        <v>545</v>
      </c>
    </row>
    <row r="13" spans="1:11" ht="17">
      <c r="A13" s="3"/>
      <c r="B13" s="515" t="s">
        <v>703</v>
      </c>
      <c r="C13" s="597" t="str">
        <f>Preferences.EnergyUnits &amp; " / kg"</f>
        <v>TWh / kg</v>
      </c>
      <c r="E13"/>
      <c r="J13" s="26" t="s">
        <v>543</v>
      </c>
      <c r="K13" s="514">
        <v>23900</v>
      </c>
    </row>
    <row r="14" spans="1:11" s="115" customFormat="1" ht="15">
      <c r="A14" s="3"/>
      <c r="B14" s="741" t="s">
        <v>778</v>
      </c>
      <c r="C14" s="241">
        <f>'DUKES 09 (A.1)'!$F$20*Unit.GJ/1000</f>
        <v>1.2681685784924602E-8</v>
      </c>
      <c r="J14" s="24"/>
      <c r="K14" s="739"/>
    </row>
    <row r="15" spans="1:11" ht="15">
      <c r="A15" s="3"/>
      <c r="B15" s="24" t="s">
        <v>704</v>
      </c>
      <c r="C15" s="241">
        <f>'DUKES 09 (A.1)'!$F$21*Unit.GJ/1000</f>
        <v>1.2793750995122346E-8</v>
      </c>
      <c r="E15" s="517"/>
      <c r="F15" s="516"/>
      <c r="G15" s="516"/>
    </row>
    <row r="16" spans="1:11" s="115" customFormat="1" ht="15">
      <c r="A16" s="3"/>
      <c r="B16" s="24" t="s">
        <v>707</v>
      </c>
      <c r="C16" s="241">
        <f>'DUKES 09 (A.1)'!$F$28*Unit.GJ/1000</f>
        <v>1.3081411266069852E-8</v>
      </c>
      <c r="E16" s="517"/>
      <c r="F16" s="516"/>
      <c r="G16" s="516"/>
    </row>
    <row r="17" spans="1:10" s="115" customFormat="1" ht="15">
      <c r="A17" s="3"/>
      <c r="B17" s="24" t="s">
        <v>708</v>
      </c>
      <c r="C17" s="241">
        <f>'DUKES 09 (A.1)'!$F$30*Unit.GJ/1000</f>
        <v>1.2651871239786547E-8</v>
      </c>
      <c r="E17" s="517"/>
      <c r="F17" s="516"/>
      <c r="G17" s="516"/>
    </row>
    <row r="18" spans="1:10" s="115" customFormat="1" ht="15">
      <c r="A18" s="3"/>
      <c r="B18" s="26" t="s">
        <v>716</v>
      </c>
      <c r="C18" s="242">
        <f>'DUKES 09 (A.1)'!$F$27*Unit.GJ/1000</f>
        <v>1.2827208886163561E-8</v>
      </c>
      <c r="E18" s="517"/>
      <c r="F18" s="516"/>
      <c r="G18" s="516"/>
    </row>
    <row r="19" spans="1:10" ht="15" customHeight="1">
      <c r="B19" s="24"/>
      <c r="C19" s="30"/>
    </row>
    <row r="20" spans="1:10" ht="15">
      <c r="A20" s="3"/>
      <c r="B20" s="515" t="s">
        <v>364</v>
      </c>
      <c r="C20" s="597" t="str">
        <f>Preferences.EnergyUnits &amp; " / cubic metre"</f>
        <v>TWh / cubic metre</v>
      </c>
      <c r="E20" s="18" t="s">
        <v>548</v>
      </c>
      <c r="J20" s="18" t="s">
        <v>549</v>
      </c>
    </row>
    <row r="21" spans="1:10" s="115" customFormat="1" ht="15">
      <c r="A21" s="3"/>
      <c r="B21" s="740" t="s">
        <v>779</v>
      </c>
      <c r="C21" s="241">
        <f>'DUKES 09 (A.1)'!$F$37*Unit.MJ</f>
        <v>1.1016960011247869E-8</v>
      </c>
      <c r="E21" s="18"/>
      <c r="J21" s="18"/>
    </row>
    <row r="22" spans="1:10" ht="15">
      <c r="A22" s="3"/>
      <c r="B22" s="24" t="s">
        <v>365</v>
      </c>
      <c r="C22" s="241">
        <f>'DUKES 09 (A.1)'!$F$38*Unit.MJ</f>
        <v>1.0944444444444444E-8</v>
      </c>
      <c r="E22" s="240" t="s">
        <v>547</v>
      </c>
      <c r="J22" s="240" t="s">
        <v>550</v>
      </c>
    </row>
    <row r="23" spans="1:10" ht="15">
      <c r="A23" s="3"/>
      <c r="B23" s="24" t="s">
        <v>258</v>
      </c>
      <c r="C23" s="241">
        <f>'DUKES 09 (A.1)'!$F$39*Unit.MJ</f>
        <v>5.0000000000000001E-9</v>
      </c>
      <c r="E23" s="240" t="s">
        <v>546</v>
      </c>
    </row>
    <row r="24" spans="1:10" ht="15">
      <c r="A24" s="3"/>
      <c r="B24" s="24" t="s">
        <v>253</v>
      </c>
      <c r="C24" s="241">
        <f>'DUKES 09 (A.1)'!$F$40*Unit.MJ</f>
        <v>8.3333333333333335E-10</v>
      </c>
      <c r="E24" s="240" t="s">
        <v>552</v>
      </c>
    </row>
    <row r="25" spans="1:10" ht="15">
      <c r="A25" s="3"/>
      <c r="B25" s="24" t="s">
        <v>212</v>
      </c>
      <c r="C25" s="241">
        <f>23*Unit.MJ</f>
        <v>6.3888888888888885E-9</v>
      </c>
      <c r="E25"/>
    </row>
    <row r="26" spans="1:10" ht="15">
      <c r="A26" s="3"/>
      <c r="B26" s="26" t="s">
        <v>366</v>
      </c>
      <c r="C26" s="242">
        <f>23*Unit.MJ</f>
        <v>6.3888888888888885E-9</v>
      </c>
      <c r="E26" s="18" t="s">
        <v>551</v>
      </c>
    </row>
    <row r="27" spans="1:10">
      <c r="E27" s="240" t="s">
        <v>553</v>
      </c>
    </row>
    <row r="28" spans="1:10">
      <c r="B28" s="18" t="s">
        <v>549</v>
      </c>
      <c r="E28" s="240" t="s">
        <v>554</v>
      </c>
    </row>
    <row r="29" spans="1:10">
      <c r="B29" s="240" t="s">
        <v>705</v>
      </c>
      <c r="E29" s="240" t="s">
        <v>555</v>
      </c>
    </row>
    <row r="32" spans="1:10" ht="18">
      <c r="B32" s="23" t="s">
        <v>709</v>
      </c>
      <c r="C32" s="115"/>
      <c r="E32" s="115" t="s">
        <v>1787</v>
      </c>
    </row>
    <row r="33" spans="1:9" ht="4.5" customHeight="1">
      <c r="B33" s="240"/>
      <c r="C33" s="115"/>
    </row>
    <row r="34" spans="1:9" ht="15">
      <c r="A34" s="3"/>
      <c r="B34" s="28" t="s">
        <v>710</v>
      </c>
      <c r="C34" s="596" t="s">
        <v>706</v>
      </c>
      <c r="E34" s="115" t="s">
        <v>1788</v>
      </c>
      <c r="F34" t="s">
        <v>1760</v>
      </c>
      <c r="G34" s="115" t="s">
        <v>1762</v>
      </c>
      <c r="H34" s="115" t="s">
        <v>1763</v>
      </c>
      <c r="I34" t="s">
        <v>1761</v>
      </c>
    </row>
    <row r="35" spans="1:9" ht="15">
      <c r="A35" s="3"/>
      <c r="B35" s="24" t="s">
        <v>712</v>
      </c>
      <c r="C35" s="241">
        <f>(1/1362)*1000</f>
        <v>0.73421439060205573</v>
      </c>
      <c r="E35" s="115" t="s">
        <v>986</v>
      </c>
      <c r="F35" s="1589">
        <v>4.1883435413393535</v>
      </c>
      <c r="G35" s="1589">
        <v>0.76884878586155336</v>
      </c>
      <c r="H35" s="1589">
        <v>1.1643824604548389E-2</v>
      </c>
      <c r="I35" s="1589">
        <v>15.32101270801348</v>
      </c>
    </row>
    <row r="36" spans="1:9" s="1312" customFormat="1" ht="15">
      <c r="A36" s="3"/>
      <c r="B36" s="24" t="s">
        <v>1637</v>
      </c>
      <c r="C36" s="241">
        <v>0.78900000000000003</v>
      </c>
      <c r="E36" s="1312" t="s">
        <v>215</v>
      </c>
      <c r="F36" s="1589">
        <v>4.6844827796160651</v>
      </c>
      <c r="G36" s="1589">
        <v>0.23047708742545636</v>
      </c>
      <c r="H36" s="1589">
        <v>1.3065148833871658E-2</v>
      </c>
      <c r="I36" s="1589">
        <v>8.5906552123944682</v>
      </c>
    </row>
    <row r="37" spans="1:9" s="1312" customFormat="1" ht="15">
      <c r="A37" s="3"/>
      <c r="B37" s="24" t="s">
        <v>1638</v>
      </c>
      <c r="C37" s="241">
        <f>AVERAGE(775,840)/1000</f>
        <v>0.8075</v>
      </c>
      <c r="E37" s="1312" t="s">
        <v>14</v>
      </c>
      <c r="F37" s="1589">
        <v>10.039877780604778</v>
      </c>
      <c r="G37" s="1589">
        <v>0.57381656809661186</v>
      </c>
      <c r="H37" s="1589">
        <v>0</v>
      </c>
      <c r="I37" s="1589">
        <v>1.6277314142584762</v>
      </c>
    </row>
    <row r="38" spans="1:9" ht="15">
      <c r="A38" s="3"/>
      <c r="B38" s="26" t="s">
        <v>713</v>
      </c>
      <c r="C38" s="242">
        <f>(1/1198)*1000</f>
        <v>0.8347245409015025</v>
      </c>
    </row>
    <row r="39" spans="1:9">
      <c r="B39" s="32" t="s">
        <v>549</v>
      </c>
    </row>
    <row r="40" spans="1:9">
      <c r="B40" s="549" t="s">
        <v>711</v>
      </c>
    </row>
    <row r="42" spans="1:9" s="115" customFormat="1" ht="18">
      <c r="B42" s="23" t="s">
        <v>805</v>
      </c>
      <c r="G42" s="1244"/>
    </row>
    <row r="43" spans="1:9" s="115" customFormat="1">
      <c r="B43" s="115" t="s">
        <v>1243</v>
      </c>
      <c r="G43" s="1244"/>
      <c r="H43" s="15" t="str">
        <f>"Mt CO2e per " &amp; Preferences.EnergyUnits</f>
        <v>Mt CO2e per TWh</v>
      </c>
    </row>
    <row r="44" spans="1:9" ht="6" customHeight="1">
      <c r="C44" s="115"/>
      <c r="E44"/>
      <c r="G44" s="1244"/>
      <c r="H44"/>
    </row>
    <row r="45" spans="1:9" ht="17">
      <c r="A45" s="535"/>
      <c r="B45" s="522" t="s">
        <v>72</v>
      </c>
      <c r="C45" s="522" t="s">
        <v>73</v>
      </c>
      <c r="D45" s="522" t="s">
        <v>792</v>
      </c>
      <c r="E45" s="522" t="s">
        <v>793</v>
      </c>
      <c r="F45" s="522" t="s">
        <v>794</v>
      </c>
      <c r="G45" s="522" t="s">
        <v>1405</v>
      </c>
      <c r="H45" s="522" t="s">
        <v>561</v>
      </c>
    </row>
    <row r="46" spans="1:9" ht="15">
      <c r="A46" s="3"/>
      <c r="B46" s="522" t="s">
        <v>31</v>
      </c>
      <c r="C46" s="522" t="str">
        <f>INDEX(Vectors[Description], MATCH(EF[Vector], Vectors[Code], 0))</f>
        <v>Conversion losses</v>
      </c>
      <c r="D46" s="555">
        <v>0</v>
      </c>
      <c r="E46" s="555">
        <v>0</v>
      </c>
      <c r="F46" s="555">
        <v>0</v>
      </c>
      <c r="G46" s="555">
        <f>SUM(EF[[#This Row],[CO2]:[N2O]])</f>
        <v>0</v>
      </c>
      <c r="H46" s="522"/>
    </row>
    <row r="47" spans="1:9" ht="15">
      <c r="A47" s="3"/>
      <c r="B47" s="522" t="s">
        <v>32</v>
      </c>
      <c r="C47" s="522" t="str">
        <f>INDEX(Vectors[Description], MATCH(EF[Vector], Vectors[Code], 0))</f>
        <v>Distribution losses and own use</v>
      </c>
      <c r="D47" s="555">
        <v>0</v>
      </c>
      <c r="E47" s="555">
        <v>0</v>
      </c>
      <c r="F47" s="555">
        <v>0</v>
      </c>
      <c r="G47" s="555">
        <f>SUM(EF[[#This Row],[CO2]:[N2O]])</f>
        <v>0</v>
      </c>
      <c r="H47" s="522"/>
    </row>
    <row r="48" spans="1:9" ht="15">
      <c r="A48" s="3"/>
      <c r="B48" s="522" t="s">
        <v>55</v>
      </c>
      <c r="C48" s="522" t="str">
        <f>INDEX(Vectors[Description], MATCH(EF[Vector], Vectors[Code], 0))</f>
        <v>Unallocated</v>
      </c>
      <c r="D48" s="555">
        <v>0</v>
      </c>
      <c r="E48" s="555">
        <v>0</v>
      </c>
      <c r="F48" s="555">
        <v>0</v>
      </c>
      <c r="G48" s="555">
        <f>SUM(EF[[#This Row],[CO2]:[N2O]])</f>
        <v>0</v>
      </c>
      <c r="H48" s="522"/>
    </row>
    <row r="49" spans="1:8" ht="15">
      <c r="A49" s="3"/>
      <c r="B49" s="522" t="s">
        <v>33</v>
      </c>
      <c r="C49" s="522" t="str">
        <f>INDEX(Vectors[Description], MATCH(EF[Vector], Vectors[Code], 0))</f>
        <v>Road transport</v>
      </c>
      <c r="D49" s="555">
        <v>0</v>
      </c>
      <c r="E49" s="555">
        <v>0</v>
      </c>
      <c r="F49" s="555">
        <v>0</v>
      </c>
      <c r="G49" s="555">
        <f>SUM(EF[[#This Row],[CO2]:[N2O]])</f>
        <v>0</v>
      </c>
      <c r="H49" s="522"/>
    </row>
    <row r="50" spans="1:8" ht="15">
      <c r="A50" s="3"/>
      <c r="B50" s="522" t="s">
        <v>34</v>
      </c>
      <c r="C50" s="522" t="str">
        <f>INDEX(Vectors[Description], MATCH(EF[Vector], Vectors[Code], 0))</f>
        <v>Rail transport</v>
      </c>
      <c r="D50" s="555">
        <v>0</v>
      </c>
      <c r="E50" s="555">
        <v>0</v>
      </c>
      <c r="F50" s="555">
        <v>0</v>
      </c>
      <c r="G50" s="555">
        <f>SUM(EF[[#This Row],[CO2]:[N2O]])</f>
        <v>0</v>
      </c>
      <c r="H50" s="522"/>
    </row>
    <row r="51" spans="1:8" ht="15">
      <c r="A51" s="3"/>
      <c r="B51" s="522" t="s">
        <v>35</v>
      </c>
      <c r="C51" s="522" t="str">
        <f>INDEX(Vectors[Description], MATCH(EF[Vector], Vectors[Code], 0))</f>
        <v>Domestic aviation</v>
      </c>
      <c r="D51" s="555">
        <v>0</v>
      </c>
      <c r="E51" s="555">
        <v>0</v>
      </c>
      <c r="F51" s="555">
        <v>0</v>
      </c>
      <c r="G51" s="555">
        <f>SUM(EF[[#This Row],[CO2]:[N2O]])</f>
        <v>0</v>
      </c>
      <c r="H51" s="522"/>
    </row>
    <row r="52" spans="1:8" ht="15">
      <c r="A52" s="3"/>
      <c r="B52" s="522" t="s">
        <v>36</v>
      </c>
      <c r="C52" s="522" t="str">
        <f>INDEX(Vectors[Description], MATCH(EF[Vector], Vectors[Code], 0))</f>
        <v>National navigation</v>
      </c>
      <c r="D52" s="555">
        <v>0</v>
      </c>
      <c r="E52" s="555">
        <v>0</v>
      </c>
      <c r="F52" s="555">
        <v>0</v>
      </c>
      <c r="G52" s="555">
        <f>SUM(EF[[#This Row],[CO2]:[N2O]])</f>
        <v>0</v>
      </c>
      <c r="H52" s="522"/>
    </row>
    <row r="53" spans="1:8" ht="15">
      <c r="A53" s="3"/>
      <c r="B53" s="522" t="s">
        <v>746</v>
      </c>
      <c r="C53" s="522" t="str">
        <f>INDEX(Vectors[Description], MATCH(EF[Vector], Vectors[Code], 0))</f>
        <v>International aviation</v>
      </c>
      <c r="D53" s="555">
        <v>0</v>
      </c>
      <c r="E53" s="555">
        <v>0</v>
      </c>
      <c r="F53" s="555">
        <v>0</v>
      </c>
      <c r="G53" s="555">
        <f>SUM(EF[[#This Row],[CO2]:[N2O]])</f>
        <v>0</v>
      </c>
      <c r="H53" s="522"/>
    </row>
    <row r="54" spans="1:8" ht="15">
      <c r="A54" s="3"/>
      <c r="B54" s="522" t="s">
        <v>747</v>
      </c>
      <c r="C54" s="522" t="str">
        <f>INDEX(Vectors[Description], MATCH(EF[Vector], Vectors[Code], 0))</f>
        <v>International shipping</v>
      </c>
      <c r="D54" s="555">
        <v>0</v>
      </c>
      <c r="E54" s="555">
        <v>0</v>
      </c>
      <c r="F54" s="555">
        <v>0</v>
      </c>
      <c r="G54" s="555">
        <f>SUM(EF[[#This Row],[CO2]:[N2O]])</f>
        <v>0</v>
      </c>
      <c r="H54" s="522"/>
    </row>
    <row r="55" spans="1:8" ht="15">
      <c r="A55" s="3"/>
      <c r="B55" s="522" t="s">
        <v>13</v>
      </c>
      <c r="C55" s="522" t="str">
        <f>INDEX(Vectors[Description], MATCH(EF[Vector], Vectors[Code], 0))</f>
        <v>Industry</v>
      </c>
      <c r="D55" s="555">
        <v>0</v>
      </c>
      <c r="E55" s="555">
        <v>0</v>
      </c>
      <c r="F55" s="555">
        <v>0</v>
      </c>
      <c r="G55" s="555">
        <f>SUM(EF[[#This Row],[CO2]:[N2O]])</f>
        <v>0</v>
      </c>
      <c r="H55" s="522"/>
    </row>
    <row r="56" spans="1:8" ht="15">
      <c r="A56" s="3"/>
      <c r="B56" s="522" t="s">
        <v>6</v>
      </c>
      <c r="C56" s="522" t="str">
        <f>INDEX(Vectors[Description], MATCH(EF[Vector], Vectors[Code], 0))</f>
        <v>Heating &amp; cooling</v>
      </c>
      <c r="D56" s="555">
        <v>0</v>
      </c>
      <c r="E56" s="555">
        <v>0</v>
      </c>
      <c r="F56" s="555">
        <v>0</v>
      </c>
      <c r="G56" s="555">
        <f>SUM(EF[[#This Row],[CO2]:[N2O]])</f>
        <v>0</v>
      </c>
      <c r="H56" s="522"/>
    </row>
    <row r="57" spans="1:8" ht="15">
      <c r="A57" s="3"/>
      <c r="B57" s="522" t="s">
        <v>51</v>
      </c>
      <c r="C57" s="522" t="str">
        <f>INDEX(Vectors[Description], MATCH(EF[Vector], Vectors[Code], 0))</f>
        <v>Lighting &amp; appliances</v>
      </c>
      <c r="D57" s="555">
        <v>0</v>
      </c>
      <c r="E57" s="555">
        <v>0</v>
      </c>
      <c r="F57" s="555">
        <v>0</v>
      </c>
      <c r="G57" s="555">
        <f>SUM(EF[[#This Row],[CO2]:[N2O]])</f>
        <v>0</v>
      </c>
      <c r="H57" s="522"/>
    </row>
    <row r="58" spans="1:8" ht="15">
      <c r="A58" s="3"/>
      <c r="B58" s="522" t="s">
        <v>37</v>
      </c>
      <c r="C58" s="522" t="str">
        <f>INDEX(Vectors[Description], MATCH(EF[Vector], Vectors[Code], 0))</f>
        <v>Food consumption [UNUSED]</v>
      </c>
      <c r="D58" s="555">
        <v>0</v>
      </c>
      <c r="E58" s="555">
        <v>0</v>
      </c>
      <c r="F58" s="555">
        <v>0</v>
      </c>
      <c r="G58" s="555">
        <f>SUM(EF[[#This Row],[CO2]:[N2O]])</f>
        <v>0</v>
      </c>
      <c r="H58" s="522"/>
    </row>
    <row r="59" spans="1:8" ht="15">
      <c r="A59" s="3"/>
      <c r="B59" s="522" t="s">
        <v>7</v>
      </c>
      <c r="C59" s="522" t="str">
        <f>INDEX(Vectors[Description], MATCH(EF[Vector], Vectors[Code], 0))</f>
        <v>Nuclear fission</v>
      </c>
      <c r="D59" s="555">
        <v>0</v>
      </c>
      <c r="E59" s="555">
        <v>0</v>
      </c>
      <c r="F59" s="555">
        <v>0</v>
      </c>
      <c r="G59" s="555">
        <f>SUM(EF[[#This Row],[CO2]:[N2O]])</f>
        <v>0</v>
      </c>
      <c r="H59" s="522"/>
    </row>
    <row r="60" spans="1:8" ht="15">
      <c r="A60" s="3"/>
      <c r="B60" s="522" t="s">
        <v>30</v>
      </c>
      <c r="C60" s="522" t="str">
        <f>INDEX(Vectors[Description], MATCH(EF[Vector], Vectors[Code], 0))</f>
        <v>Solar</v>
      </c>
      <c r="D60" s="555">
        <v>0</v>
      </c>
      <c r="E60" s="555">
        <v>0</v>
      </c>
      <c r="F60" s="555">
        <v>0</v>
      </c>
      <c r="G60" s="555">
        <f>SUM(EF[[#This Row],[CO2]:[N2O]])</f>
        <v>0</v>
      </c>
      <c r="H60" s="522"/>
    </row>
    <row r="61" spans="1:8" ht="15">
      <c r="A61" s="3"/>
      <c r="B61" s="522" t="s">
        <v>8</v>
      </c>
      <c r="C61" s="522" t="str">
        <f>INDEX(Vectors[Description], MATCH(EF[Vector], Vectors[Code], 0))</f>
        <v>Wind</v>
      </c>
      <c r="D61" s="555">
        <v>0</v>
      </c>
      <c r="E61" s="555">
        <v>0</v>
      </c>
      <c r="F61" s="555">
        <v>0</v>
      </c>
      <c r="G61" s="555">
        <f>SUM(EF[[#This Row],[CO2]:[N2O]])</f>
        <v>0</v>
      </c>
      <c r="H61" s="522"/>
    </row>
    <row r="62" spans="1:8" ht="15">
      <c r="A62" s="3"/>
      <c r="B62" s="522" t="s">
        <v>9</v>
      </c>
      <c r="C62" s="522" t="str">
        <f>INDEX(Vectors[Description], MATCH(EF[Vector], Vectors[Code], 0))</f>
        <v>Tidal</v>
      </c>
      <c r="D62" s="555">
        <v>0</v>
      </c>
      <c r="E62" s="555">
        <v>0</v>
      </c>
      <c r="F62" s="555">
        <v>0</v>
      </c>
      <c r="G62" s="555">
        <f>SUM(EF[[#This Row],[CO2]:[N2O]])</f>
        <v>0</v>
      </c>
      <c r="H62" s="522"/>
    </row>
    <row r="63" spans="1:8" ht="15">
      <c r="A63" s="3"/>
      <c r="B63" s="522" t="s">
        <v>10</v>
      </c>
      <c r="C63" s="522" t="str">
        <f>INDEX(Vectors[Description], MATCH(EF[Vector], Vectors[Code], 0))</f>
        <v>Wave</v>
      </c>
      <c r="D63" s="555">
        <v>0</v>
      </c>
      <c r="E63" s="555">
        <v>0</v>
      </c>
      <c r="F63" s="555">
        <v>0</v>
      </c>
      <c r="G63" s="555">
        <f>SUM(EF[[#This Row],[CO2]:[N2O]])</f>
        <v>0</v>
      </c>
      <c r="H63" s="522"/>
    </row>
    <row r="64" spans="1:8" ht="15">
      <c r="A64" s="3"/>
      <c r="B64" s="522" t="s">
        <v>11</v>
      </c>
      <c r="C64" s="522" t="str">
        <f>INDEX(Vectors[Description], MATCH(EF[Vector], Vectors[Code], 0))</f>
        <v>Geothermal</v>
      </c>
      <c r="D64" s="555">
        <v>0</v>
      </c>
      <c r="E64" s="555">
        <v>0</v>
      </c>
      <c r="F64" s="555">
        <v>0</v>
      </c>
      <c r="G64" s="555">
        <f>SUM(EF[[#This Row],[CO2]:[N2O]])</f>
        <v>0</v>
      </c>
      <c r="H64" s="522"/>
    </row>
    <row r="65" spans="1:8" ht="15">
      <c r="A65" s="3"/>
      <c r="B65" s="522" t="s">
        <v>12</v>
      </c>
      <c r="C65" s="522" t="str">
        <f>INDEX(Vectors[Description], MATCH(EF[Vector], Vectors[Code], 0))</f>
        <v>Hydro</v>
      </c>
      <c r="D65" s="555">
        <v>0</v>
      </c>
      <c r="E65" s="555">
        <v>0</v>
      </c>
      <c r="F65" s="555">
        <v>0</v>
      </c>
      <c r="G65" s="555">
        <f>SUM(EF[[#This Row],[CO2]:[N2O]])</f>
        <v>0</v>
      </c>
      <c r="H65" s="522"/>
    </row>
    <row r="66" spans="1:8" ht="15">
      <c r="A66" s="3"/>
      <c r="B66" s="522" t="s">
        <v>98</v>
      </c>
      <c r="C66" s="522" t="str">
        <f>INDEX(Vectors[Description], MATCH(EF[Vector], Vectors[Code], 0))</f>
        <v>Environmental heat</v>
      </c>
      <c r="D66" s="555">
        <v>0</v>
      </c>
      <c r="E66" s="555">
        <v>0</v>
      </c>
      <c r="F66" s="555">
        <v>0</v>
      </c>
      <c r="G66" s="555">
        <f>SUM(EF[[#This Row],[CO2]:[N2O]])</f>
        <v>0</v>
      </c>
      <c r="H66" s="522"/>
    </row>
    <row r="67" spans="1:8" ht="15">
      <c r="A67" s="3"/>
      <c r="B67" s="522" t="s">
        <v>775</v>
      </c>
      <c r="C67" s="522" t="str">
        <f>INDEX(Vectors[Description], MATCH(EF[Vector], Vectors[Code], 0))</f>
        <v>Agriculture</v>
      </c>
      <c r="D67" s="555">
        <v>0</v>
      </c>
      <c r="E67" s="555">
        <v>0</v>
      </c>
      <c r="F67" s="555">
        <v>0</v>
      </c>
      <c r="G67" s="555">
        <f>SUM(EF[[#This Row],[CO2]:[N2O]])</f>
        <v>0</v>
      </c>
      <c r="H67" s="522"/>
    </row>
    <row r="68" spans="1:8" ht="15">
      <c r="A68" s="3"/>
      <c r="B68" s="522" t="s">
        <v>49</v>
      </c>
      <c r="C68" s="522" t="str">
        <f>INDEX(Vectors[Description], MATCH(EF[Vector], Vectors[Code], 0))</f>
        <v>Waste</v>
      </c>
      <c r="D68" s="555">
        <v>0</v>
      </c>
      <c r="E68" s="555">
        <v>0</v>
      </c>
      <c r="F68" s="555">
        <v>0</v>
      </c>
      <c r="G68" s="555">
        <f>SUM(EF[[#This Row],[CO2]:[N2O]])</f>
        <v>0</v>
      </c>
      <c r="H68" s="522"/>
    </row>
    <row r="69" spans="1:8" ht="15">
      <c r="A69" s="3"/>
      <c r="B69" s="522" t="s">
        <v>53</v>
      </c>
      <c r="C69" s="522" t="str">
        <f>INDEX(Vectors[Description], MATCH(EF[Vector], Vectors[Code], 0))</f>
        <v>Biomass oversupply (imports)</v>
      </c>
      <c r="D69" s="555">
        <v>0</v>
      </c>
      <c r="E69" s="555">
        <v>0</v>
      </c>
      <c r="F69" s="555">
        <v>0</v>
      </c>
      <c r="G69" s="555">
        <f>SUM(EF[[#This Row],[CO2]:[N2O]])</f>
        <v>0</v>
      </c>
      <c r="H69" s="522"/>
    </row>
    <row r="70" spans="1:8" ht="15">
      <c r="A70" s="3"/>
      <c r="B70" s="522" t="s">
        <v>54</v>
      </c>
      <c r="C70" s="522" t="str">
        <f>INDEX(Vectors[Description], MATCH(EF[Vector], Vectors[Code], 0))</f>
        <v>Electricity oversupply (imports)</v>
      </c>
      <c r="D70" s="555">
        <v>0</v>
      </c>
      <c r="E70" s="555">
        <v>0</v>
      </c>
      <c r="F70" s="555">
        <v>0</v>
      </c>
      <c r="G70" s="555">
        <f>SUM(EF[[#This Row],[CO2]:[N2O]])</f>
        <v>0</v>
      </c>
      <c r="H70" s="522"/>
    </row>
    <row r="71" spans="1:8" ht="15">
      <c r="A71" s="3"/>
      <c r="B71" s="522" t="s">
        <v>636</v>
      </c>
      <c r="C71" s="522" t="str">
        <f>INDEX(Vectors[Description], MATCH(EF[Vector], Vectors[Code], 0))</f>
        <v>Petroleum products oversupply</v>
      </c>
      <c r="D71" s="555">
        <v>0</v>
      </c>
      <c r="E71" s="555">
        <v>0</v>
      </c>
      <c r="F71" s="555">
        <v>0</v>
      </c>
      <c r="G71" s="555">
        <f>SUM(EF[[#This Row],[CO2]:[N2O]])</f>
        <v>0</v>
      </c>
      <c r="H71" s="522"/>
    </row>
    <row r="72" spans="1:8" ht="15">
      <c r="A72" s="3"/>
      <c r="B72" s="522" t="s">
        <v>757</v>
      </c>
      <c r="C72" s="522" t="str">
        <f>INDEX(Vectors[Description], MATCH(EF[Vector], Vectors[Code], 0))</f>
        <v>Coal oversupply (imports)</v>
      </c>
      <c r="D72" s="555">
        <v>0</v>
      </c>
      <c r="E72" s="555">
        <v>0</v>
      </c>
      <c r="F72" s="555">
        <v>0</v>
      </c>
      <c r="G72" s="555">
        <f>SUM(EF[[#This Row],[CO2]:[N2O]])</f>
        <v>0</v>
      </c>
      <c r="H72" s="522"/>
    </row>
    <row r="73" spans="1:8" ht="15">
      <c r="A73" s="3"/>
      <c r="B73" s="522" t="s">
        <v>758</v>
      </c>
      <c r="C73" s="522" t="str">
        <f>INDEX(Vectors[Description], MATCH(EF[Vector], Vectors[Code], 0))</f>
        <v>Oil and petroleum products oversupply (imports)</v>
      </c>
      <c r="D73" s="555">
        <v>0</v>
      </c>
      <c r="E73" s="555">
        <v>0</v>
      </c>
      <c r="F73" s="555">
        <v>0</v>
      </c>
      <c r="G73" s="555">
        <f>SUM(EF[[#This Row],[CO2]:[N2O]])</f>
        <v>0</v>
      </c>
      <c r="H73" s="522"/>
    </row>
    <row r="74" spans="1:8" ht="15">
      <c r="A74" s="3"/>
      <c r="B74" s="522" t="s">
        <v>759</v>
      </c>
      <c r="C74" s="522" t="str">
        <f>INDEX(Vectors[Description], MATCH(EF[Vector], Vectors[Code], 0))</f>
        <v>Gas oversupply (imports)</v>
      </c>
      <c r="D74" s="555">
        <v>0</v>
      </c>
      <c r="E74" s="555">
        <v>0</v>
      </c>
      <c r="F74" s="555">
        <v>0</v>
      </c>
      <c r="G74" s="555">
        <f>SUM(EF[[#This Row],[CO2]:[N2O]])</f>
        <v>0</v>
      </c>
      <c r="H74" s="522"/>
    </row>
    <row r="75" spans="1:8" ht="15">
      <c r="A75" s="3"/>
      <c r="B75" s="522" t="s">
        <v>761</v>
      </c>
      <c r="C75" s="522" t="str">
        <f>INDEX(Vectors[Description], MATCH(EF[Vector], Vectors[Code], 0))</f>
        <v>Coal reserves</v>
      </c>
      <c r="D75" s="241">
        <f>EF.IndustrialCoal.CO2</f>
        <v>0.30799999999999994</v>
      </c>
      <c r="E75" s="241">
        <f>EF.IndustrialCoal.CH4</f>
        <v>9.0479269613658628E-4</v>
      </c>
      <c r="F75" s="241">
        <f>EF.IndustrialCoal.N2O</f>
        <v>2.7284221385464481E-3</v>
      </c>
      <c r="G75" s="241">
        <f>SUM(EF[[#This Row],[CO2]:[N2O]])</f>
        <v>0.31163321483468298</v>
      </c>
      <c r="H75" s="522" t="s">
        <v>806</v>
      </c>
    </row>
    <row r="76" spans="1:8" ht="15">
      <c r="A76" s="3"/>
      <c r="B76" s="522" t="s">
        <v>762</v>
      </c>
      <c r="C76" s="522" t="str">
        <f>INDEX(Vectors[Description], MATCH(EF[Vector], Vectors[Code], 0))</f>
        <v>Oil reserves</v>
      </c>
      <c r="D76" s="241">
        <f>EF.Diesel.CO2</f>
        <v>0.25</v>
      </c>
      <c r="E76" s="241">
        <f>EF.Diesel.CH4</f>
        <v>3.1124901306220826E-4</v>
      </c>
      <c r="F76" s="241">
        <f>EF.Diesel.N2O</f>
        <v>4.4980122726580142E-3</v>
      </c>
      <c r="G76" s="241">
        <f>SUM(EF[[#This Row],[CO2]:[N2O]])</f>
        <v>0.25480926128572023</v>
      </c>
      <c r="H76" s="522" t="s">
        <v>807</v>
      </c>
    </row>
    <row r="77" spans="1:8" ht="15">
      <c r="A77" s="3"/>
      <c r="B77" s="522" t="s">
        <v>763</v>
      </c>
      <c r="C77" s="522" t="str">
        <f>INDEX(Vectors[Description], MATCH(EF[Vector], Vectors[Code], 0))</f>
        <v>Gas reserves</v>
      </c>
      <c r="D77" s="241">
        <f>EF.NaturalGas.CO2</f>
        <v>0.18399999999999997</v>
      </c>
      <c r="E77" s="241">
        <f>EF.NaturalGas.CH4</f>
        <v>3.6882537033173374E-4</v>
      </c>
      <c r="F77" s="241">
        <f>EF.NaturalGas.N2O</f>
        <v>3.9668961680228111E-4</v>
      </c>
      <c r="G77" s="241">
        <f>SUM(EF[[#This Row],[CO2]:[N2O]])</f>
        <v>0.18476551498713398</v>
      </c>
      <c r="H77" s="522" t="s">
        <v>808</v>
      </c>
    </row>
    <row r="78" spans="1:8" ht="15">
      <c r="A78" s="3"/>
      <c r="B78" s="522" t="s">
        <v>58</v>
      </c>
      <c r="C78" s="522" t="str">
        <f>INDEX(Vectors[Description], MATCH(EF[Vector], Vectors[Code], 0))</f>
        <v>Coal and fossil waste</v>
      </c>
      <c r="D78" s="241">
        <f>EF.IndustrialCoal.CO2</f>
        <v>0.30799999999999994</v>
      </c>
      <c r="E78" s="241">
        <f>EF.IndustrialCoal.CH4</f>
        <v>9.0479269613658628E-4</v>
      </c>
      <c r="F78" s="241">
        <f>EF.IndustrialCoal.N2O</f>
        <v>2.7284221385464481E-3</v>
      </c>
      <c r="G78" s="241">
        <f>SUM(EF[[#This Row],[CO2]:[N2O]])</f>
        <v>0.31163321483468298</v>
      </c>
      <c r="H78" s="522" t="s">
        <v>806</v>
      </c>
    </row>
    <row r="79" spans="1:8" ht="15">
      <c r="A79" s="3"/>
      <c r="B79" s="522" t="s">
        <v>59</v>
      </c>
      <c r="C79" s="522" t="str">
        <f>INDEX(Vectors[Description], MATCH(EF[Vector], Vectors[Code], 0))</f>
        <v>Oil and petroleum products</v>
      </c>
      <c r="D79" s="241">
        <f>EF.Diesel.CO2</f>
        <v>0.25</v>
      </c>
      <c r="E79" s="241">
        <f>EF.Diesel.CH4</f>
        <v>3.1124901306220826E-4</v>
      </c>
      <c r="F79" s="241">
        <f>EF.Diesel.N2O</f>
        <v>4.4980122726580142E-3</v>
      </c>
      <c r="G79" s="241">
        <f>SUM(EF[[#This Row],[CO2]:[N2O]])</f>
        <v>0.25480926128572023</v>
      </c>
      <c r="H79" s="522" t="s">
        <v>807</v>
      </c>
    </row>
    <row r="80" spans="1:8" ht="15">
      <c r="A80" s="3"/>
      <c r="B80" s="522" t="s">
        <v>60</v>
      </c>
      <c r="C80" s="522" t="str">
        <f>INDEX(Vectors[Description], MATCH(EF[Vector], Vectors[Code], 0))</f>
        <v>Natural gas</v>
      </c>
      <c r="D80" s="241">
        <f>EF.NaturalGas.CO2</f>
        <v>0.18399999999999997</v>
      </c>
      <c r="E80" s="241">
        <f>EF.NaturalGas.CH4</f>
        <v>3.6882537033173374E-4</v>
      </c>
      <c r="F80" s="241">
        <f>EF.NaturalGas.N2O</f>
        <v>3.9668961680228111E-4</v>
      </c>
      <c r="G80" s="241">
        <f>SUM(EF[[#This Row],[CO2]:[N2O]])</f>
        <v>0.18476551498713398</v>
      </c>
      <c r="H80" s="522" t="s">
        <v>808</v>
      </c>
    </row>
    <row r="81" spans="1:11" ht="15">
      <c r="A81" s="3"/>
      <c r="B81" s="522" t="s">
        <v>40</v>
      </c>
      <c r="C81" s="522" t="str">
        <f>INDEX(Vectors[Description], MATCH(EF[Vector], Vectors[Code], 0))</f>
        <v>Electricity (delivered to end user)</v>
      </c>
      <c r="D81" s="555">
        <v>0</v>
      </c>
      <c r="E81" s="555">
        <v>0</v>
      </c>
      <c r="F81" s="555">
        <v>0</v>
      </c>
      <c r="G81" s="555">
        <f>SUM(EF[[#This Row],[CO2]:[N2O]])</f>
        <v>0</v>
      </c>
      <c r="H81" s="522"/>
      <c r="K81" s="22"/>
    </row>
    <row r="82" spans="1:11" ht="15">
      <c r="A82" s="3"/>
      <c r="B82" s="522" t="s">
        <v>41</v>
      </c>
      <c r="C82" s="522" t="str">
        <f>INDEX(Vectors[Description], MATCH(EF[Vector], Vectors[Code], 0))</f>
        <v>Electricity (supplied to grid)</v>
      </c>
      <c r="D82" s="555">
        <v>0</v>
      </c>
      <c r="E82" s="555">
        <v>0</v>
      </c>
      <c r="F82" s="555">
        <v>0</v>
      </c>
      <c r="G82" s="555">
        <f>SUM(EF[[#This Row],[CO2]:[N2O]])</f>
        <v>0</v>
      </c>
      <c r="H82" s="522"/>
      <c r="K82" s="22"/>
    </row>
    <row r="83" spans="1:11" ht="15">
      <c r="A83" s="3"/>
      <c r="B83" s="522" t="s">
        <v>42</v>
      </c>
      <c r="C83" s="522" t="str">
        <f>INDEX(Vectors[Description], MATCH(EF[Vector], Vectors[Code], 0))</f>
        <v>Solid hydrocarbons</v>
      </c>
      <c r="D83" s="241">
        <f>EF.IndustrialCoal.CO2</f>
        <v>0.30799999999999994</v>
      </c>
      <c r="E83" s="241">
        <f>EF.IndustrialCoal.CH4</f>
        <v>9.0479269613658628E-4</v>
      </c>
      <c r="F83" s="241">
        <f>EF.IndustrialCoal.N2O</f>
        <v>2.7284221385464481E-3</v>
      </c>
      <c r="G83" s="241">
        <f>SUM(EF[[#This Row],[CO2]:[N2O]])</f>
        <v>0.31163321483468298</v>
      </c>
      <c r="H83" s="522" t="s">
        <v>806</v>
      </c>
    </row>
    <row r="84" spans="1:11" ht="15">
      <c r="A84" s="3"/>
      <c r="B84" s="522" t="s">
        <v>44</v>
      </c>
      <c r="C84" s="522" t="str">
        <f>INDEX(Vectors[Description], MATCH(EF[Vector], Vectors[Code], 0))</f>
        <v>Liquid hydrocarbons</v>
      </c>
      <c r="D84" s="241">
        <f>EF.Diesel.CO2</f>
        <v>0.25</v>
      </c>
      <c r="E84" s="241">
        <f>EF.Diesel.CH4</f>
        <v>3.1124901306220826E-4</v>
      </c>
      <c r="F84" s="241">
        <f>EF.Diesel.N2O</f>
        <v>4.4980122726580142E-3</v>
      </c>
      <c r="G84" s="241">
        <f>SUM(EF[[#This Row],[CO2]:[N2O]])</f>
        <v>0.25480926128572023</v>
      </c>
      <c r="H84" s="522" t="s">
        <v>807</v>
      </c>
    </row>
    <row r="85" spans="1:11" ht="15">
      <c r="A85" s="3"/>
      <c r="B85" s="522" t="s">
        <v>45</v>
      </c>
      <c r="C85" s="522" t="str">
        <f>INDEX(Vectors[Description], MATCH(EF[Vector], Vectors[Code], 0))</f>
        <v>Gaseous hydrocarbons</v>
      </c>
      <c r="D85" s="241">
        <f>EF.NaturalGas.CO2</f>
        <v>0.18399999999999997</v>
      </c>
      <c r="E85" s="241">
        <f>EF.NaturalGas.CH4</f>
        <v>3.6882537033173374E-4</v>
      </c>
      <c r="F85" s="241">
        <f>EF.NaturalGas.N2O</f>
        <v>3.9668961680228111E-4</v>
      </c>
      <c r="G85" s="241">
        <f>SUM(EF[[#This Row],[CO2]:[N2O]])</f>
        <v>0.18476551498713398</v>
      </c>
      <c r="H85" s="522" t="s">
        <v>808</v>
      </c>
    </row>
    <row r="86" spans="1:11" ht="15">
      <c r="A86" s="3"/>
      <c r="B86" s="522" t="s">
        <v>101</v>
      </c>
      <c r="C86" s="522" t="str">
        <f>INDEX(Vectors[Description], MATCH(EF[Vector], Vectors[Code], 0))</f>
        <v>Blast furnace gas</v>
      </c>
      <c r="D86" s="241">
        <f>EF.BlastFurnaceGas.CO2</f>
        <v>0.78482259931212373</v>
      </c>
      <c r="E86" s="555">
        <v>0</v>
      </c>
      <c r="F86" s="555">
        <v>0</v>
      </c>
      <c r="G86" s="555">
        <f>SUM(EF[[#This Row],[CO2]:[N2O]])</f>
        <v>0.78482259931212373</v>
      </c>
      <c r="H86" s="522"/>
    </row>
    <row r="87" spans="1:11" ht="15">
      <c r="A87" s="3"/>
      <c r="B87" s="522" t="s">
        <v>625</v>
      </c>
      <c r="C87" s="522" t="str">
        <f>INDEX(Vectors[Description], MATCH(EF[Vector], Vectors[Code], 0))</f>
        <v>Heat transport</v>
      </c>
      <c r="D87" s="555">
        <v>0</v>
      </c>
      <c r="E87" s="555">
        <v>0</v>
      </c>
      <c r="F87" s="555">
        <v>0</v>
      </c>
      <c r="G87" s="555">
        <f>SUM(EF[[#This Row],[CO2]:[N2O]])</f>
        <v>0</v>
      </c>
      <c r="H87" s="522"/>
    </row>
    <row r="88" spans="1:11" ht="15">
      <c r="A88" s="3"/>
      <c r="B88" s="522" t="s">
        <v>626</v>
      </c>
      <c r="C88" s="522" t="str">
        <f>INDEX(Vectors[Description], MATCH(EF[Vector], Vectors[Code], 0))</f>
        <v>Edible biomass</v>
      </c>
      <c r="D88" s="555">
        <v>0</v>
      </c>
      <c r="E88" s="555">
        <v>0</v>
      </c>
      <c r="F88" s="555">
        <v>0</v>
      </c>
      <c r="G88" s="555">
        <f>SUM(EF[[#This Row],[CO2]:[N2O]])</f>
        <v>0</v>
      </c>
      <c r="H88" s="522"/>
    </row>
    <row r="89" spans="1:11" ht="15">
      <c r="A89" s="3"/>
      <c r="B89" s="522" t="s">
        <v>627</v>
      </c>
      <c r="C89" s="522" t="str">
        <f>INDEX(Vectors[Description], MATCH(EF[Vector], Vectors[Code], 0))</f>
        <v>Dry biomass and waste</v>
      </c>
      <c r="D89" s="555">
        <v>0</v>
      </c>
      <c r="E89" s="555">
        <v>0</v>
      </c>
      <c r="F89" s="555">
        <v>0</v>
      </c>
      <c r="G89" s="555">
        <f>SUM(EF[[#This Row],[CO2]:[N2O]])</f>
        <v>0</v>
      </c>
      <c r="H89" s="522"/>
    </row>
    <row r="90" spans="1:11" ht="15">
      <c r="A90" s="3"/>
      <c r="B90" s="522" t="s">
        <v>721</v>
      </c>
      <c r="C90" s="522" t="str">
        <f>INDEX(Vectors[Description], MATCH(EF[Vector], Vectors[Code], 0))</f>
        <v>Wet biomass and waste</v>
      </c>
      <c r="D90" s="555">
        <v>0</v>
      </c>
      <c r="E90" s="555">
        <v>0</v>
      </c>
      <c r="F90" s="555">
        <v>0</v>
      </c>
      <c r="G90" s="555">
        <f>SUM(EF[[#This Row],[CO2]:[N2O]])</f>
        <v>0</v>
      </c>
      <c r="H90" s="522"/>
    </row>
    <row r="91" spans="1:11" ht="15">
      <c r="A91" s="3"/>
      <c r="B91" s="24" t="s">
        <v>960</v>
      </c>
      <c r="C91" s="24" t="str">
        <f>INDEX(Vectors[Description], MATCH(EF[Vector], Vectors[Code], 0))</f>
        <v>Domestic solar thermal</v>
      </c>
      <c r="D91" s="1003">
        <v>0</v>
      </c>
      <c r="E91" s="1003">
        <v>0</v>
      </c>
      <c r="F91" s="1003">
        <v>0</v>
      </c>
      <c r="G91" s="1003">
        <f>SUM(EF[[#This Row],[CO2]:[N2O]])</f>
        <v>0</v>
      </c>
      <c r="H91" s="24"/>
    </row>
  </sheetData>
  <pageMargins left="0.7" right="0.7" top="0.75" bottom="0.75" header="0.3" footer="0.3"/>
  <pageSetup paperSize="9" orientation="portrait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autoPageBreaks="0"/>
  </sheetPr>
  <dimension ref="A1:Z80"/>
  <sheetViews>
    <sheetView workbookViewId="0"/>
  </sheetViews>
  <sheetFormatPr baseColWidth="10" defaultColWidth="8.83203125" defaultRowHeight="15" x14ac:dyDescent="0"/>
  <cols>
    <col min="1" max="1" width="1" customWidth="1"/>
    <col min="2" max="2" width="8.5" customWidth="1"/>
    <col min="3" max="3" width="41.6640625" customWidth="1"/>
    <col min="4" max="4" width="5.6640625" customWidth="1"/>
    <col min="5" max="5" width="1" style="115" customWidth="1"/>
    <col min="6" max="6" width="8.5" style="115" customWidth="1"/>
    <col min="7" max="7" width="32" style="115" bestFit="1" customWidth="1"/>
    <col min="8" max="8" width="10.5" style="115" bestFit="1" customWidth="1"/>
    <col min="9" max="9" width="32" style="115" customWidth="1"/>
    <col min="10" max="10" width="43.5" style="115" customWidth="1"/>
    <col min="11" max="11" width="5.6640625" customWidth="1"/>
    <col min="12" max="12" width="1" style="3" customWidth="1"/>
    <col min="13" max="13" width="16.1640625" style="3" bestFit="1" customWidth="1"/>
    <col min="14" max="14" width="21" style="8" bestFit="1" customWidth="1"/>
    <col min="15" max="15" width="9.5" style="2" bestFit="1" customWidth="1"/>
    <col min="16" max="16" width="29.5" style="3" bestFit="1" customWidth="1"/>
    <col min="17" max="17" width="38.1640625" style="13" customWidth="1"/>
    <col min="19" max="19" width="1" customWidth="1"/>
    <col min="20" max="20" width="14.5" customWidth="1"/>
    <col min="21" max="21" width="35.6640625" bestFit="1" customWidth="1"/>
    <col min="22" max="22" width="61" bestFit="1" customWidth="1"/>
    <col min="24" max="24" width="9" customWidth="1"/>
    <col min="25" max="25" width="26.83203125" bestFit="1" customWidth="1"/>
    <col min="26" max="26" width="13.5" customWidth="1"/>
  </cols>
  <sheetData>
    <row r="1" spans="1:26" s="1581" customFormat="1">
      <c r="B1" s="1581" t="s">
        <v>1752</v>
      </c>
      <c r="L1" s="3"/>
      <c r="M1" s="3"/>
      <c r="N1" s="8"/>
      <c r="O1" s="2"/>
      <c r="P1" s="3"/>
      <c r="Q1" s="1580"/>
      <c r="S1" s="3"/>
      <c r="T1"/>
      <c r="U1"/>
      <c r="V1"/>
      <c r="W1"/>
    </row>
    <row r="2" spans="1:26" s="1581" customFormat="1">
      <c r="B2" s="1581" t="s">
        <v>1753</v>
      </c>
      <c r="L2" s="3"/>
      <c r="M2" s="3"/>
      <c r="N2" s="8"/>
      <c r="O2" s="2"/>
      <c r="P2" s="3"/>
      <c r="Q2" s="1580"/>
      <c r="S2" s="3"/>
    </row>
    <row r="3" spans="1:26" s="115" customFormat="1">
      <c r="A3" s="3"/>
      <c r="E3" s="3"/>
      <c r="L3" s="3"/>
      <c r="M3" s="3"/>
      <c r="N3" s="8"/>
      <c r="O3" s="2"/>
      <c r="P3" s="3"/>
      <c r="Q3" s="13"/>
      <c r="S3" s="3"/>
    </row>
    <row r="4" spans="1:26" ht="17">
      <c r="A4" s="3"/>
      <c r="B4" s="4" t="s">
        <v>559</v>
      </c>
      <c r="E4" s="3"/>
      <c r="F4" s="4" t="s">
        <v>618</v>
      </c>
      <c r="G4" s="4"/>
      <c r="H4" s="4"/>
      <c r="I4" s="4"/>
      <c r="L4" s="527"/>
      <c r="M4" s="4" t="s">
        <v>17</v>
      </c>
      <c r="N4" s="9"/>
      <c r="O4" s="5"/>
      <c r="P4" s="5"/>
      <c r="Q4" s="12"/>
      <c r="S4" s="536"/>
      <c r="T4" s="546" t="s">
        <v>786</v>
      </c>
      <c r="X4" s="546" t="s">
        <v>1538</v>
      </c>
      <c r="Y4" s="1266"/>
      <c r="Z4" s="1266"/>
    </row>
    <row r="5" spans="1:26">
      <c r="A5" s="3"/>
      <c r="E5" s="3"/>
      <c r="L5" s="527"/>
      <c r="M5" s="6"/>
      <c r="N5" s="9"/>
      <c r="O5" s="5"/>
      <c r="P5" s="5"/>
      <c r="Q5" s="12"/>
      <c r="S5" s="527"/>
      <c r="X5" s="1266"/>
      <c r="Y5" s="1266"/>
      <c r="Z5" s="1266"/>
    </row>
    <row r="6" spans="1:26" ht="18" thickBot="1">
      <c r="A6" s="535"/>
      <c r="B6" s="20" t="s">
        <v>77</v>
      </c>
      <c r="C6" s="20" t="s">
        <v>560</v>
      </c>
      <c r="E6" s="535"/>
      <c r="F6" s="587" t="s">
        <v>77</v>
      </c>
      <c r="G6" s="587" t="s">
        <v>620</v>
      </c>
      <c r="H6" s="587" t="s">
        <v>621</v>
      </c>
      <c r="I6" s="587" t="s">
        <v>560</v>
      </c>
      <c r="J6" s="587" t="s">
        <v>561</v>
      </c>
      <c r="L6" s="536"/>
      <c r="M6" s="10" t="s">
        <v>75</v>
      </c>
      <c r="N6" s="10" t="s">
        <v>76</v>
      </c>
      <c r="O6" s="10" t="s">
        <v>77</v>
      </c>
      <c r="P6" s="10" t="s">
        <v>73</v>
      </c>
      <c r="Q6" s="19" t="s">
        <v>74</v>
      </c>
      <c r="S6" s="527"/>
      <c r="T6" s="522" t="s">
        <v>784</v>
      </c>
      <c r="U6" s="522" t="s">
        <v>785</v>
      </c>
      <c r="V6" s="522" t="s">
        <v>74</v>
      </c>
      <c r="X6" s="1267" t="s">
        <v>77</v>
      </c>
      <c r="Y6" s="1267" t="s">
        <v>73</v>
      </c>
      <c r="Z6" s="1268" t="s">
        <v>74</v>
      </c>
    </row>
    <row r="7" spans="1:26" s="526" customFormat="1" ht="16" thickTop="1">
      <c r="A7" s="691"/>
      <c r="B7" s="526" t="s">
        <v>68</v>
      </c>
      <c r="C7" s="526" t="s">
        <v>429</v>
      </c>
      <c r="E7" s="11"/>
      <c r="F7" s="526" t="s">
        <v>619</v>
      </c>
      <c r="G7" s="522" t="s">
        <v>1506</v>
      </c>
      <c r="H7" s="542" t="str">
        <f>LEFT(Modules[Code], FIND(".", Modules[Code])-1)</f>
        <v>I</v>
      </c>
      <c r="I7" s="542" t="str">
        <f>INDEX(Workstreams[Workstream], MATCH(Modules[WS Code], Workstreams[Code], 0))</f>
        <v>Hydrocarbon fuel power generation</v>
      </c>
      <c r="J7" s="522" t="s">
        <v>1285</v>
      </c>
      <c r="L7" s="11"/>
      <c r="M7" s="16" t="s">
        <v>25</v>
      </c>
      <c r="N7" s="16" t="s">
        <v>52</v>
      </c>
      <c r="O7" s="18" t="s">
        <v>31</v>
      </c>
      <c r="P7" s="16" t="s">
        <v>20</v>
      </c>
      <c r="Q7" s="17"/>
      <c r="S7" s="527"/>
      <c r="T7" s="751" t="s">
        <v>802</v>
      </c>
      <c r="U7" s="522" t="s">
        <v>781</v>
      </c>
      <c r="V7" s="522" t="s">
        <v>977</v>
      </c>
      <c r="W7"/>
      <c r="X7" s="1320"/>
      <c r="Y7" s="1320"/>
      <c r="Z7" s="1321"/>
    </row>
    <row r="8" spans="1:26" s="526" customFormat="1">
      <c r="A8" s="691"/>
      <c r="B8" s="526" t="s">
        <v>69</v>
      </c>
      <c r="C8" s="526" t="s">
        <v>430</v>
      </c>
      <c r="E8" s="11"/>
      <c r="F8" s="526" t="s">
        <v>695</v>
      </c>
      <c r="G8" s="522" t="s">
        <v>1898</v>
      </c>
      <c r="H8" s="542" t="str">
        <f>LEFT(Modules[Code], FIND(".", Modules[Code])-1)</f>
        <v>I</v>
      </c>
      <c r="I8" s="544" t="str">
        <f>INDEX(Workstreams[Workstream], MATCH(Modules[WS Code], Workstreams[Code], 0))</f>
        <v>Hydrocarbon fuel power generation</v>
      </c>
      <c r="J8" s="522"/>
      <c r="L8" s="11"/>
      <c r="M8" s="16" t="s">
        <v>25</v>
      </c>
      <c r="N8" s="16" t="s">
        <v>52</v>
      </c>
      <c r="O8" s="18" t="s">
        <v>32</v>
      </c>
      <c r="P8" s="16" t="s">
        <v>21</v>
      </c>
      <c r="Q8" s="17"/>
      <c r="S8" s="527"/>
      <c r="T8" s="751" t="s">
        <v>801</v>
      </c>
      <c r="U8" s="522" t="s">
        <v>803</v>
      </c>
      <c r="V8" s="522"/>
      <c r="W8" s="115"/>
      <c r="X8" s="1320"/>
      <c r="Y8" s="1320"/>
      <c r="Z8" s="1321"/>
    </row>
    <row r="9" spans="1:26" s="526" customFormat="1">
      <c r="A9" s="691"/>
      <c r="B9" s="526" t="s">
        <v>70</v>
      </c>
      <c r="C9" s="526" t="s">
        <v>431</v>
      </c>
      <c r="E9" s="11"/>
      <c r="F9" s="543" t="s">
        <v>628</v>
      </c>
      <c r="G9" s="24" t="s">
        <v>1004</v>
      </c>
      <c r="H9" s="544" t="str">
        <f>LEFT(Modules[Code], FIND(".", Modules[Code])-1)</f>
        <v>II</v>
      </c>
      <c r="I9" s="544" t="str">
        <f>INDEX(Workstreams[Workstream], MATCH(Modules[WS Code], Workstreams[Code], 0))</f>
        <v>Nuclear power generation</v>
      </c>
      <c r="J9" s="24"/>
      <c r="L9" s="11"/>
      <c r="M9" s="16" t="s">
        <v>25</v>
      </c>
      <c r="N9" s="18" t="s">
        <v>28</v>
      </c>
      <c r="O9" s="18" t="s">
        <v>55</v>
      </c>
      <c r="P9" s="16" t="s">
        <v>28</v>
      </c>
      <c r="Q9" s="17"/>
      <c r="S9" s="527"/>
      <c r="T9" s="522">
        <v>2</v>
      </c>
      <c r="U9" s="522" t="s">
        <v>782</v>
      </c>
      <c r="V9" s="522"/>
      <c r="W9"/>
      <c r="X9" s="1269" t="s">
        <v>1532</v>
      </c>
      <c r="Y9" s="1270" t="s">
        <v>1533</v>
      </c>
      <c r="Z9" s="1271"/>
    </row>
    <row r="10" spans="1:26" s="526" customFormat="1">
      <c r="A10" s="691"/>
      <c r="B10" s="526" t="s">
        <v>71</v>
      </c>
      <c r="C10" s="526" t="s">
        <v>1000</v>
      </c>
      <c r="E10" s="11"/>
      <c r="F10" s="543" t="s">
        <v>1027</v>
      </c>
      <c r="G10" s="24" t="s">
        <v>696</v>
      </c>
      <c r="H10" s="544" t="str">
        <f>LEFT(Modules[Code], FIND(".", Modules[Code])-1)</f>
        <v>III</v>
      </c>
      <c r="I10" s="544" t="str">
        <f>INDEX(Workstreams[Workstream], MATCH(Modules[WS Code], Workstreams[Code], 0))</f>
        <v>National renewable power generation</v>
      </c>
      <c r="J10" s="24"/>
      <c r="L10" s="11"/>
      <c r="M10" s="14" t="s">
        <v>67</v>
      </c>
      <c r="N10" s="18" t="s">
        <v>22</v>
      </c>
      <c r="O10" s="18" t="s">
        <v>33</v>
      </c>
      <c r="P10" s="522" t="s">
        <v>772</v>
      </c>
      <c r="Q10" s="17"/>
      <c r="S10" s="527"/>
      <c r="T10" s="522">
        <v>3</v>
      </c>
      <c r="U10" s="522" t="s">
        <v>783</v>
      </c>
      <c r="V10" s="522" t="s">
        <v>880</v>
      </c>
      <c r="W10"/>
      <c r="X10" s="1269" t="s">
        <v>1779</v>
      </c>
      <c r="Y10" s="1270" t="s">
        <v>1780</v>
      </c>
      <c r="Z10" s="1271"/>
    </row>
    <row r="11" spans="1:26" s="526" customFormat="1">
      <c r="A11" s="691"/>
      <c r="B11" s="526" t="s">
        <v>562</v>
      </c>
      <c r="C11" s="526" t="s">
        <v>1211</v>
      </c>
      <c r="E11" s="11"/>
      <c r="F11" s="543" t="s">
        <v>1028</v>
      </c>
      <c r="G11" s="24" t="s">
        <v>697</v>
      </c>
      <c r="H11" s="544" t="str">
        <f>LEFT(Modules[Code], FIND(".", Modules[Code])-1)</f>
        <v>III</v>
      </c>
      <c r="I11" s="544" t="str">
        <f>INDEX(Workstreams[Workstream], MATCH(Modules[WS Code], Workstreams[Code], 0))</f>
        <v>National renewable power generation</v>
      </c>
      <c r="J11" s="24"/>
      <c r="L11" s="11"/>
      <c r="M11" s="14" t="s">
        <v>67</v>
      </c>
      <c r="N11" s="18" t="s">
        <v>22</v>
      </c>
      <c r="O11" s="18" t="s">
        <v>34</v>
      </c>
      <c r="P11" s="522" t="s">
        <v>773</v>
      </c>
      <c r="Q11" s="17"/>
      <c r="S11" s="527"/>
      <c r="T11" s="522">
        <v>4</v>
      </c>
      <c r="U11" s="522" t="s">
        <v>173</v>
      </c>
      <c r="V11" s="522" t="s">
        <v>978</v>
      </c>
      <c r="W11"/>
      <c r="X11" s="1269" t="s">
        <v>1525</v>
      </c>
      <c r="Y11" s="1270" t="s">
        <v>1526</v>
      </c>
      <c r="Z11" s="1271"/>
    </row>
    <row r="12" spans="1:26" s="526" customFormat="1">
      <c r="A12" s="691"/>
      <c r="B12" s="526" t="s">
        <v>563</v>
      </c>
      <c r="C12" s="526" t="s">
        <v>1889</v>
      </c>
      <c r="E12" s="11"/>
      <c r="F12" s="543" t="s">
        <v>638</v>
      </c>
      <c r="G12" s="24" t="s">
        <v>1498</v>
      </c>
      <c r="H12" s="544" t="str">
        <f>LEFT(Modules[Code], FIND(".", Modules[Code])-1)</f>
        <v>III</v>
      </c>
      <c r="I12" s="544" t="str">
        <f>INDEX(Workstreams[Workstream], MATCH(Modules[WS Code], Workstreams[Code], 0))</f>
        <v>National renewable power generation</v>
      </c>
      <c r="J12" s="24" t="s">
        <v>639</v>
      </c>
      <c r="L12" s="11"/>
      <c r="M12" s="14" t="s">
        <v>67</v>
      </c>
      <c r="N12" s="18" t="s">
        <v>22</v>
      </c>
      <c r="O12" s="18" t="s">
        <v>35</v>
      </c>
      <c r="P12" s="522" t="s">
        <v>737</v>
      </c>
      <c r="Q12" s="17"/>
      <c r="S12" s="527"/>
      <c r="T12" s="522">
        <v>5</v>
      </c>
      <c r="U12" s="522" t="s">
        <v>981</v>
      </c>
      <c r="V12" s="522"/>
      <c r="W12"/>
      <c r="X12" s="1269" t="s">
        <v>1534</v>
      </c>
      <c r="Y12" s="1270" t="s">
        <v>1535</v>
      </c>
      <c r="Z12" s="1271"/>
    </row>
    <row r="13" spans="1:26" s="526" customFormat="1">
      <c r="A13" s="691"/>
      <c r="B13" s="526" t="s">
        <v>564</v>
      </c>
      <c r="C13" s="526" t="s">
        <v>1890</v>
      </c>
      <c r="E13" s="11"/>
      <c r="F13" s="543" t="s">
        <v>640</v>
      </c>
      <c r="G13" s="24" t="s">
        <v>1891</v>
      </c>
      <c r="H13" s="544" t="str">
        <f>LEFT(Modules[Code], FIND(".", Modules[Code])-1)</f>
        <v>III</v>
      </c>
      <c r="I13" s="544" t="str">
        <f>INDEX(Workstreams[Workstream], MATCH(Modules[WS Code], Workstreams[Code], 0))</f>
        <v>National renewable power generation</v>
      </c>
      <c r="J13" s="24"/>
      <c r="L13" s="11"/>
      <c r="M13" s="14" t="s">
        <v>67</v>
      </c>
      <c r="N13" s="18" t="s">
        <v>22</v>
      </c>
      <c r="O13" s="18" t="s">
        <v>36</v>
      </c>
      <c r="P13" s="522" t="s">
        <v>170</v>
      </c>
      <c r="Q13" s="17"/>
      <c r="S13" s="3"/>
      <c r="T13" s="522">
        <v>6</v>
      </c>
      <c r="U13" s="522" t="s">
        <v>48</v>
      </c>
      <c r="V13" s="522"/>
      <c r="W13"/>
      <c r="X13" s="1269" t="s">
        <v>1781</v>
      </c>
      <c r="Y13" s="1270" t="s">
        <v>1785</v>
      </c>
      <c r="Z13" s="1271"/>
    </row>
    <row r="14" spans="1:26" s="526" customFormat="1">
      <c r="A14" s="691"/>
      <c r="B14" s="526" t="s">
        <v>565</v>
      </c>
      <c r="C14" s="526" t="s">
        <v>572</v>
      </c>
      <c r="E14" s="11"/>
      <c r="F14" s="543" t="s">
        <v>1287</v>
      </c>
      <c r="G14" s="24" t="s">
        <v>2</v>
      </c>
      <c r="H14" s="544" t="str">
        <f>LEFT(Modules[Code], FIND(".", Modules[Code])-1)</f>
        <v>III</v>
      </c>
      <c r="I14" s="544" t="str">
        <f>INDEX(Workstreams[Workstream], MATCH(Modules[WS Code], Workstreams[Code], 0))</f>
        <v>National renewable power generation</v>
      </c>
      <c r="J14" s="24"/>
      <c r="L14" s="11"/>
      <c r="M14" s="14" t="s">
        <v>67</v>
      </c>
      <c r="N14" s="115" t="s">
        <v>22</v>
      </c>
      <c r="O14" s="115" t="s">
        <v>746</v>
      </c>
      <c r="P14" s="522" t="s">
        <v>736</v>
      </c>
      <c r="Q14" s="17"/>
      <c r="S14" s="3"/>
      <c r="T14" s="522">
        <v>7</v>
      </c>
      <c r="U14" s="522" t="s">
        <v>114</v>
      </c>
      <c r="V14" s="522"/>
      <c r="W14"/>
      <c r="X14" s="1269" t="s">
        <v>1527</v>
      </c>
      <c r="Y14" s="1270" t="s">
        <v>1528</v>
      </c>
      <c r="Z14" s="1271"/>
    </row>
    <row r="15" spans="1:26" s="526" customFormat="1">
      <c r="A15" s="691"/>
      <c r="B15" s="526" t="s">
        <v>567</v>
      </c>
      <c r="C15" s="526" t="s">
        <v>26</v>
      </c>
      <c r="E15" s="11"/>
      <c r="F15" s="543" t="s">
        <v>1288</v>
      </c>
      <c r="G15" s="24" t="s">
        <v>1370</v>
      </c>
      <c r="H15" s="544" t="str">
        <f>LEFT(Modules[Code], FIND(".", Modules[Code])-1)</f>
        <v>III</v>
      </c>
      <c r="I15" s="544" t="str">
        <f>INDEX(Workstreams[Workstream], MATCH(Modules[WS Code], Workstreams[Code], 0))</f>
        <v>National renewable power generation</v>
      </c>
      <c r="J15" s="24"/>
      <c r="L15" s="11"/>
      <c r="M15" s="14" t="s">
        <v>67</v>
      </c>
      <c r="N15" s="115" t="s">
        <v>22</v>
      </c>
      <c r="O15" s="115" t="s">
        <v>747</v>
      </c>
      <c r="P15" s="522" t="s">
        <v>748</v>
      </c>
      <c r="Q15" s="17"/>
      <c r="S15" s="3"/>
      <c r="T15" s="513" t="s">
        <v>787</v>
      </c>
      <c r="U15" s="24" t="s">
        <v>1892</v>
      </c>
      <c r="V15" s="24" t="s">
        <v>979</v>
      </c>
      <c r="W15"/>
      <c r="X15" s="1269" t="s">
        <v>1536</v>
      </c>
      <c r="Y15" s="1270" t="s">
        <v>1537</v>
      </c>
      <c r="Z15" s="1271"/>
    </row>
    <row r="16" spans="1:26" s="526" customFormat="1">
      <c r="A16" s="691"/>
      <c r="B16" s="526" t="s">
        <v>568</v>
      </c>
      <c r="C16" s="526" t="s">
        <v>27</v>
      </c>
      <c r="E16" s="11"/>
      <c r="F16" s="543" t="s">
        <v>1289</v>
      </c>
      <c r="G16" s="24" t="s">
        <v>1371</v>
      </c>
      <c r="H16" s="544" t="str">
        <f>LEFT(Modules[Code], FIND(".", Modules[Code])-1)</f>
        <v>III</v>
      </c>
      <c r="I16" s="544" t="str">
        <f>INDEX(Workstreams[Workstream], MATCH(Modules[WS Code], Workstreams[Code], 0))</f>
        <v>National renewable power generation</v>
      </c>
      <c r="J16" s="24"/>
      <c r="L16" s="11"/>
      <c r="M16" s="14" t="s">
        <v>67</v>
      </c>
      <c r="N16" s="18" t="s">
        <v>39</v>
      </c>
      <c r="O16" s="18" t="s">
        <v>13</v>
      </c>
      <c r="P16" s="522" t="s">
        <v>39</v>
      </c>
      <c r="Q16" s="20" t="s">
        <v>1170</v>
      </c>
      <c r="S16" s="115"/>
      <c r="T16" s="513" t="s">
        <v>788</v>
      </c>
      <c r="U16" s="24" t="s">
        <v>1124</v>
      </c>
      <c r="V16" s="24" t="s">
        <v>989</v>
      </c>
      <c r="W16"/>
      <c r="X16" s="1269" t="s">
        <v>1782</v>
      </c>
      <c r="Y16" s="1270" t="s">
        <v>1783</v>
      </c>
      <c r="Z16" s="1271"/>
    </row>
    <row r="17" spans="1:26" s="526" customFormat="1" ht="26">
      <c r="A17" s="691"/>
      <c r="B17" s="526" t="s">
        <v>569</v>
      </c>
      <c r="C17" s="526" t="s">
        <v>39</v>
      </c>
      <c r="E17" s="11"/>
      <c r="F17" s="543" t="s">
        <v>641</v>
      </c>
      <c r="G17" s="24" t="s">
        <v>1355</v>
      </c>
      <c r="H17" s="544" t="str">
        <f>LEFT(Modules[Code], FIND(".", Modules[Code])-1)</f>
        <v>III</v>
      </c>
      <c r="I17" s="544" t="str">
        <f>INDEX(Workstreams[Workstream], MATCH(Modules[WS Code], Workstreams[Code], 0))</f>
        <v>National renewable power generation</v>
      </c>
      <c r="J17" s="24"/>
      <c r="L17" s="11"/>
      <c r="M17" s="14" t="s">
        <v>67</v>
      </c>
      <c r="N17" s="115" t="s">
        <v>1008</v>
      </c>
      <c r="O17" s="18" t="s">
        <v>6</v>
      </c>
      <c r="P17" s="522" t="s">
        <v>1893</v>
      </c>
      <c r="Q17" s="20" t="s">
        <v>1009</v>
      </c>
      <c r="S17"/>
      <c r="T17" s="513" t="s">
        <v>812</v>
      </c>
      <c r="U17" s="24" t="s">
        <v>1123</v>
      </c>
      <c r="V17" s="24" t="s">
        <v>1122</v>
      </c>
      <c r="W17"/>
      <c r="X17" s="1269" t="s">
        <v>1529</v>
      </c>
      <c r="Y17" s="1270" t="s">
        <v>1530</v>
      </c>
      <c r="Z17" s="1271"/>
    </row>
    <row r="18" spans="1:26" s="526" customFormat="1" ht="26">
      <c r="A18" s="691"/>
      <c r="B18" s="526" t="s">
        <v>570</v>
      </c>
      <c r="C18" s="526" t="s">
        <v>245</v>
      </c>
      <c r="E18" s="11"/>
      <c r="F18" s="543" t="s">
        <v>642</v>
      </c>
      <c r="G18" s="24" t="s">
        <v>1251</v>
      </c>
      <c r="H18" s="544" t="str">
        <f>LEFT(Modules[Code], FIND(".", Modules[Code])-1)</f>
        <v>III</v>
      </c>
      <c r="I18" s="544" t="str">
        <f>INDEX(Workstreams[Workstream], MATCH(Modules[WS Code], Workstreams[Code], 0))</f>
        <v>National renewable power generation</v>
      </c>
      <c r="J18" s="24"/>
      <c r="L18" s="11"/>
      <c r="M18" s="522" t="s">
        <v>67</v>
      </c>
      <c r="N18" s="18" t="s">
        <v>65</v>
      </c>
      <c r="O18" s="18" t="s">
        <v>51</v>
      </c>
      <c r="P18" s="16" t="s">
        <v>27</v>
      </c>
      <c r="Q18" s="20" t="s">
        <v>720</v>
      </c>
      <c r="S18"/>
      <c r="T18" s="115"/>
      <c r="U18" s="115"/>
      <c r="V18" s="115"/>
      <c r="W18" s="115"/>
    </row>
    <row r="19" spans="1:26" s="526" customFormat="1">
      <c r="A19" s="691"/>
      <c r="B19" s="526" t="s">
        <v>571</v>
      </c>
      <c r="C19" s="526" t="s">
        <v>1248</v>
      </c>
      <c r="E19" s="11"/>
      <c r="F19" s="543" t="s">
        <v>752</v>
      </c>
      <c r="G19" s="24" t="s">
        <v>62</v>
      </c>
      <c r="H19" s="544" t="str">
        <f>LEFT(Modules[Code], FIND(".", Modules[Code])-1)</f>
        <v>IV</v>
      </c>
      <c r="I19" s="544" t="str">
        <f>INDEX(Workstreams[Workstream], MATCH(Modules[WS Code], Workstreams[Code], 0))</f>
        <v>Distributed renewable power generation</v>
      </c>
      <c r="J19" s="24"/>
      <c r="L19" s="11"/>
      <c r="M19" s="14" t="s">
        <v>67</v>
      </c>
      <c r="N19" s="18" t="s">
        <v>29</v>
      </c>
      <c r="O19" s="18" t="s">
        <v>37</v>
      </c>
      <c r="P19" s="522" t="s">
        <v>1248</v>
      </c>
      <c r="Q19" s="20" t="s">
        <v>1254</v>
      </c>
      <c r="S19"/>
      <c r="T19"/>
      <c r="U19"/>
      <c r="V19"/>
      <c r="W19"/>
      <c r="X19" s="1605" t="s">
        <v>1778</v>
      </c>
    </row>
    <row r="20" spans="1:26" s="526" customFormat="1" ht="26">
      <c r="A20" s="691"/>
      <c r="B20" s="526" t="s">
        <v>566</v>
      </c>
      <c r="C20" s="526" t="s">
        <v>424</v>
      </c>
      <c r="E20" s="11"/>
      <c r="F20" s="543" t="s">
        <v>958</v>
      </c>
      <c r="G20" s="24" t="s">
        <v>1507</v>
      </c>
      <c r="H20" s="544" t="str">
        <f>LEFT(Modules[Code], FIND(".", Modules[Code])-1)</f>
        <v>IV</v>
      </c>
      <c r="I20" s="544" t="str">
        <f>INDEX(Workstreams[Workstream], MATCH(Modules[WS Code], Workstreams[Code], 0))</f>
        <v>Distributed renewable power generation</v>
      </c>
      <c r="J20" s="24"/>
      <c r="L20" s="11"/>
      <c r="M20" s="14" t="s">
        <v>622</v>
      </c>
      <c r="N20" s="16" t="s">
        <v>0</v>
      </c>
      <c r="O20" s="16" t="s">
        <v>7</v>
      </c>
      <c r="P20" s="522" t="s">
        <v>913</v>
      </c>
      <c r="Q20" s="20" t="s">
        <v>423</v>
      </c>
      <c r="S20" s="527"/>
      <c r="T20" s="546" t="s">
        <v>789</v>
      </c>
      <c r="U20"/>
      <c r="V20"/>
      <c r="W20"/>
    </row>
    <row r="21" spans="1:26">
      <c r="A21" s="3"/>
      <c r="B21" s="543" t="s">
        <v>749</v>
      </c>
      <c r="C21" s="543" t="s">
        <v>750</v>
      </c>
      <c r="E21" s="11"/>
      <c r="F21" s="543" t="s">
        <v>990</v>
      </c>
      <c r="G21" s="24" t="s">
        <v>1508</v>
      </c>
      <c r="H21" s="544" t="str">
        <f>LEFT(Modules[Code], FIND(".", Modules[Code])-1)</f>
        <v>IV</v>
      </c>
      <c r="I21" s="544" t="str">
        <f>INDEX(Workstreams[Workstream], MATCH(Modules[WS Code], Workstreams[Code], 0))</f>
        <v>Distributed renewable power generation</v>
      </c>
      <c r="J21" s="24"/>
      <c r="L21" s="11"/>
      <c r="M21" s="14" t="s">
        <v>622</v>
      </c>
      <c r="N21" s="522" t="s">
        <v>46</v>
      </c>
      <c r="O21" s="16" t="s">
        <v>30</v>
      </c>
      <c r="P21" s="16" t="s">
        <v>15</v>
      </c>
      <c r="Q21" s="17"/>
      <c r="S21" s="527"/>
      <c r="X21" s="526" t="s">
        <v>77</v>
      </c>
      <c r="Y21" s="526" t="s">
        <v>73</v>
      </c>
      <c r="Z21" s="526" t="s">
        <v>561</v>
      </c>
    </row>
    <row r="22" spans="1:26">
      <c r="B22" s="543" t="s">
        <v>766</v>
      </c>
      <c r="C22" s="543" t="s">
        <v>142</v>
      </c>
      <c r="E22" s="11"/>
      <c r="F22" s="543" t="s">
        <v>744</v>
      </c>
      <c r="G22" s="24" t="s">
        <v>1510</v>
      </c>
      <c r="H22" s="544" t="str">
        <f>LEFT(Modules[Code], FIND(".", Modules[Code])-1)</f>
        <v>V</v>
      </c>
      <c r="I22" s="544" t="str">
        <f>INDEX(Workstreams[Workstream], MATCH(Modules[WS Code], Workstreams[Code], 0))</f>
        <v>Bioenergy</v>
      </c>
      <c r="J22" s="24"/>
      <c r="L22" s="11"/>
      <c r="M22" s="14" t="s">
        <v>622</v>
      </c>
      <c r="N22" s="14" t="s">
        <v>46</v>
      </c>
      <c r="O22" s="16" t="s">
        <v>8</v>
      </c>
      <c r="P22" s="16" t="s">
        <v>1</v>
      </c>
      <c r="Q22" s="17"/>
      <c r="S22" s="527"/>
      <c r="T22" s="522" t="s">
        <v>790</v>
      </c>
      <c r="U22" s="522" t="s">
        <v>791</v>
      </c>
      <c r="V22" s="522" t="s">
        <v>74</v>
      </c>
      <c r="X22" s="526" t="s">
        <v>1756</v>
      </c>
      <c r="Y22" s="526" t="s">
        <v>1760</v>
      </c>
      <c r="Z22" s="526"/>
    </row>
    <row r="23" spans="1:26">
      <c r="B23" s="543" t="s">
        <v>965</v>
      </c>
      <c r="C23" s="543" t="s">
        <v>672</v>
      </c>
      <c r="E23" s="11"/>
      <c r="F23" s="543" t="s">
        <v>1016</v>
      </c>
      <c r="G23" s="24" t="s">
        <v>1017</v>
      </c>
      <c r="H23" s="544" t="str">
        <f>LEFT(Modules[Code], FIND(".", Modules[Code])-1)</f>
        <v>V</v>
      </c>
      <c r="I23" s="544" t="str">
        <f>INDEX(Workstreams[Workstream], MATCH(Modules[WS Code], Workstreams[Code], 0))</f>
        <v>Bioenergy</v>
      </c>
      <c r="J23" s="24"/>
      <c r="L23" s="11"/>
      <c r="M23" s="14" t="s">
        <v>622</v>
      </c>
      <c r="N23" s="14" t="s">
        <v>46</v>
      </c>
      <c r="O23" s="16" t="s">
        <v>9</v>
      </c>
      <c r="P23" s="16" t="s">
        <v>64</v>
      </c>
      <c r="Q23" s="17"/>
      <c r="S23" s="527"/>
      <c r="T23" s="522" t="s">
        <v>792</v>
      </c>
      <c r="U23" s="522" t="s">
        <v>796</v>
      </c>
      <c r="V23" s="522"/>
      <c r="X23" s="526" t="s">
        <v>1757</v>
      </c>
      <c r="Y23" s="526" t="s">
        <v>1762</v>
      </c>
      <c r="Z23" s="526"/>
    </row>
    <row r="24" spans="1:26">
      <c r="B24" s="543" t="s">
        <v>1669</v>
      </c>
      <c r="C24" s="544" t="s">
        <v>1777</v>
      </c>
      <c r="E24" s="11"/>
      <c r="F24" s="543" t="s">
        <v>717</v>
      </c>
      <c r="G24" s="24" t="s">
        <v>1212</v>
      </c>
      <c r="H24" s="544" t="str">
        <f>LEFT(Modules[Code], FIND(".", Modules[Code])-1)</f>
        <v>VI</v>
      </c>
      <c r="I24" s="544" t="str">
        <f>INDEX(Workstreams[Workstream], MATCH(Modules[WS Code], Workstreams[Code], 0))</f>
        <v>Agriculture &amp; waste</v>
      </c>
      <c r="J24" s="24"/>
      <c r="L24" s="11"/>
      <c r="M24" s="522" t="s">
        <v>622</v>
      </c>
      <c r="N24" s="522" t="s">
        <v>46</v>
      </c>
      <c r="O24" s="16" t="s">
        <v>10</v>
      </c>
      <c r="P24" s="16" t="s">
        <v>2</v>
      </c>
      <c r="Q24" s="17"/>
      <c r="S24" s="527"/>
      <c r="T24" s="522" t="s">
        <v>793</v>
      </c>
      <c r="U24" s="522" t="s">
        <v>797</v>
      </c>
      <c r="V24" s="522"/>
      <c r="X24" s="526" t="s">
        <v>1758</v>
      </c>
      <c r="Y24" s="526" t="s">
        <v>1763</v>
      </c>
      <c r="Z24" s="526"/>
    </row>
    <row r="25" spans="1:26" ht="13">
      <c r="B25" s="115"/>
      <c r="C25" s="115"/>
      <c r="E25" s="11"/>
      <c r="F25" s="543" t="s">
        <v>745</v>
      </c>
      <c r="G25" s="24" t="s">
        <v>1509</v>
      </c>
      <c r="H25" s="544" t="str">
        <f>LEFT(Modules[Code], FIND(".", Modules[Code])-1)</f>
        <v>VI</v>
      </c>
      <c r="I25" s="544" t="str">
        <f>INDEX(Workstreams[Workstream], MATCH(Modules[WS Code], Workstreams[Code], 0))</f>
        <v>Agriculture &amp; waste</v>
      </c>
      <c r="J25" s="24"/>
      <c r="L25" s="11"/>
      <c r="M25" s="522" t="s">
        <v>622</v>
      </c>
      <c r="N25" s="522" t="s">
        <v>46</v>
      </c>
      <c r="O25" s="522" t="s">
        <v>11</v>
      </c>
      <c r="P25" s="16" t="s">
        <v>3</v>
      </c>
      <c r="Q25" s="17"/>
      <c r="T25" s="522" t="s">
        <v>794</v>
      </c>
      <c r="U25" s="522" t="s">
        <v>798</v>
      </c>
      <c r="V25" s="522"/>
      <c r="X25" s="526" t="s">
        <v>1759</v>
      </c>
      <c r="Y25" s="526" t="s">
        <v>1761</v>
      </c>
    </row>
    <row r="26" spans="1:26" ht="13">
      <c r="E26" s="11"/>
      <c r="F26" s="543" t="s">
        <v>1175</v>
      </c>
      <c r="G26" s="24" t="s">
        <v>1174</v>
      </c>
      <c r="H26" s="544" t="s">
        <v>563</v>
      </c>
      <c r="I26" s="544" t="str">
        <f>INDEX(Workstreams[Workstream], MATCH(Modules[WS Code], Workstreams[Code], 0))</f>
        <v>Agriculture &amp; waste</v>
      </c>
      <c r="J26" s="24"/>
      <c r="L26" s="11"/>
      <c r="M26" s="522" t="s">
        <v>622</v>
      </c>
      <c r="N26" s="522" t="s">
        <v>46</v>
      </c>
      <c r="O26" s="522" t="s">
        <v>12</v>
      </c>
      <c r="P26" s="16" t="s">
        <v>19</v>
      </c>
      <c r="Q26" s="17"/>
      <c r="T26" s="522" t="s">
        <v>795</v>
      </c>
      <c r="U26" s="522" t="s">
        <v>799</v>
      </c>
      <c r="V26" s="522"/>
      <c r="X26" s="526"/>
      <c r="Y26" s="526"/>
    </row>
    <row r="27" spans="1:26" ht="13">
      <c r="E27" s="11"/>
      <c r="F27" s="543" t="s">
        <v>630</v>
      </c>
      <c r="G27" s="24" t="s">
        <v>50</v>
      </c>
      <c r="H27" s="544" t="str">
        <f>LEFT(Modules[Code], FIND(".", Modules[Code])-1)</f>
        <v>VII</v>
      </c>
      <c r="I27" s="544" t="str">
        <f>INDEX(Workstreams[Workstream], MATCH(Modules[WS Code], Workstreams[Code], 0))</f>
        <v>Electricity distribution, storage &amp; balancing</v>
      </c>
      <c r="J27" s="24"/>
      <c r="L27" s="11"/>
      <c r="M27" s="522" t="s">
        <v>622</v>
      </c>
      <c r="N27" s="522" t="s">
        <v>46</v>
      </c>
      <c r="O27" s="522" t="s">
        <v>98</v>
      </c>
      <c r="P27" s="522" t="s">
        <v>1176</v>
      </c>
      <c r="Q27" s="20" t="s">
        <v>420</v>
      </c>
    </row>
    <row r="28" spans="1:26" ht="13">
      <c r="E28" s="11"/>
      <c r="F28" s="543" t="s">
        <v>632</v>
      </c>
      <c r="G28" s="24" t="s">
        <v>631</v>
      </c>
      <c r="H28" s="544" t="str">
        <f>LEFT(Modules[Code], FIND(".", Modules[Code])-1)</f>
        <v>VII</v>
      </c>
      <c r="I28" s="544" t="str">
        <f>INDEX(Workstreams[Workstream], MATCH(Modules[WS Code], Workstreams[Code], 0))</f>
        <v>Electricity distribution, storage &amp; balancing</v>
      </c>
      <c r="J28" s="24"/>
      <c r="L28" s="11"/>
      <c r="M28" s="14" t="s">
        <v>622</v>
      </c>
      <c r="N28" s="14" t="s">
        <v>46</v>
      </c>
      <c r="O28" s="522" t="s">
        <v>775</v>
      </c>
      <c r="P28" s="522" t="s">
        <v>173</v>
      </c>
      <c r="Q28" s="20" t="s">
        <v>776</v>
      </c>
      <c r="T28" s="115" t="s">
        <v>883</v>
      </c>
    </row>
    <row r="29" spans="1:26" ht="13">
      <c r="E29" s="11"/>
      <c r="F29" s="543" t="s">
        <v>634</v>
      </c>
      <c r="G29" s="24" t="s">
        <v>1511</v>
      </c>
      <c r="H29" s="544" t="str">
        <f>LEFT(Modules[Code], FIND(".", Modules[Code])-1)</f>
        <v>VII</v>
      </c>
      <c r="I29" s="544" t="str">
        <f>INDEX(Workstreams[Workstream], MATCH(Modules[WS Code], Workstreams[Code], 0))</f>
        <v>Electricity distribution, storage &amp; balancing</v>
      </c>
      <c r="J29" s="24" t="s">
        <v>637</v>
      </c>
      <c r="L29" s="11"/>
      <c r="M29" s="14" t="s">
        <v>622</v>
      </c>
      <c r="N29" s="16" t="s">
        <v>48</v>
      </c>
      <c r="O29" s="16" t="s">
        <v>49</v>
      </c>
      <c r="P29" s="522" t="s">
        <v>48</v>
      </c>
      <c r="Q29" s="20" t="s">
        <v>987</v>
      </c>
    </row>
    <row r="30" spans="1:26" ht="39">
      <c r="E30" s="11"/>
      <c r="F30" s="543" t="s">
        <v>753</v>
      </c>
      <c r="G30" s="24" t="s">
        <v>1300</v>
      </c>
      <c r="H30" s="544" t="str">
        <f>LEFT(Modules[Code], FIND(".", Modules[Code])-1)</f>
        <v>VIII</v>
      </c>
      <c r="I30" s="544" t="str">
        <f>INDEX(Workstreams[Workstream], MATCH(Modules[WS Code], Workstreams[Code], 0))</f>
        <v>H2 Production</v>
      </c>
      <c r="J30" s="24"/>
      <c r="L30" s="11"/>
      <c r="M30" s="14" t="s">
        <v>622</v>
      </c>
      <c r="N30" s="115" t="s">
        <v>43</v>
      </c>
      <c r="O30" s="18" t="s">
        <v>53</v>
      </c>
      <c r="P30" s="522" t="s">
        <v>1321</v>
      </c>
      <c r="Q30" s="20" t="s">
        <v>534</v>
      </c>
      <c r="S30" s="115"/>
      <c r="T30" s="115" t="s">
        <v>884</v>
      </c>
    </row>
    <row r="31" spans="1:26" ht="13">
      <c r="E31" s="11"/>
      <c r="F31" s="543" t="s">
        <v>653</v>
      </c>
      <c r="G31" s="24" t="s">
        <v>925</v>
      </c>
      <c r="H31" s="544" t="str">
        <f>LEFT(Modules[Code], FIND(".", Modules[Code])-1)</f>
        <v>IX</v>
      </c>
      <c r="I31" s="544" t="str">
        <f>INDEX(Workstreams[Workstream], MATCH(Modules[WS Code], Workstreams[Code], 0))</f>
        <v>Heating</v>
      </c>
      <c r="J31" s="24"/>
      <c r="L31" s="11"/>
      <c r="M31" s="14" t="s">
        <v>622</v>
      </c>
      <c r="N31" s="18" t="s">
        <v>43</v>
      </c>
      <c r="O31" s="18" t="s">
        <v>54</v>
      </c>
      <c r="P31" s="522" t="s">
        <v>1322</v>
      </c>
      <c r="Q31" s="17"/>
      <c r="S31" s="115"/>
    </row>
    <row r="32" spans="1:26" ht="13">
      <c r="E32" s="11"/>
      <c r="F32" s="543" t="s">
        <v>1351</v>
      </c>
      <c r="G32" s="24" t="s">
        <v>1380</v>
      </c>
      <c r="H32" s="544" t="str">
        <f>LEFT(Modules[Code], FIND(".", Modules[Code])-1)</f>
        <v>IX</v>
      </c>
      <c r="I32" s="544" t="str">
        <f>INDEX(Workstreams[Workstream], MATCH(Modules[WS Code], Workstreams[Code], 0))</f>
        <v>Heating</v>
      </c>
      <c r="J32" s="24"/>
      <c r="L32" s="11"/>
      <c r="M32" s="14" t="s">
        <v>622</v>
      </c>
      <c r="N32" s="115" t="s">
        <v>43</v>
      </c>
      <c r="O32" s="115" t="s">
        <v>636</v>
      </c>
      <c r="P32" s="522" t="s">
        <v>1323</v>
      </c>
      <c r="Q32" s="20" t="s">
        <v>1172</v>
      </c>
      <c r="S32" s="115"/>
      <c r="T32" s="115" t="s">
        <v>888</v>
      </c>
      <c r="U32" s="115" t="s">
        <v>889</v>
      </c>
      <c r="V32" s="115" t="s">
        <v>896</v>
      </c>
      <c r="W32" s="115" t="s">
        <v>900</v>
      </c>
    </row>
    <row r="33" spans="5:23" ht="13">
      <c r="E33" s="11"/>
      <c r="F33" s="543" t="s">
        <v>1353</v>
      </c>
      <c r="G33" s="24" t="s">
        <v>1381</v>
      </c>
      <c r="H33" s="544" t="str">
        <f>LEFT(Modules[Code], FIND(".", Modules[Code])-1)</f>
        <v>IX</v>
      </c>
      <c r="I33" s="544" t="str">
        <f>INDEX(Workstreams[Workstream], MATCH(Modules[WS Code], Workstreams[Code], 0))</f>
        <v>Heating</v>
      </c>
      <c r="J33" s="24"/>
      <c r="L33" s="11"/>
      <c r="M33" s="14" t="s">
        <v>622</v>
      </c>
      <c r="N33" s="115" t="s">
        <v>43</v>
      </c>
      <c r="O33" s="115" t="s">
        <v>757</v>
      </c>
      <c r="P33" s="522" t="s">
        <v>1324</v>
      </c>
      <c r="Q33" s="17"/>
      <c r="T33" s="115" t="s">
        <v>890</v>
      </c>
      <c r="U33" s="115" t="s">
        <v>891</v>
      </c>
      <c r="V33" s="115" t="s">
        <v>897</v>
      </c>
      <c r="W33" s="115"/>
    </row>
    <row r="34" spans="5:23" ht="13">
      <c r="E34" s="11"/>
      <c r="F34" s="543" t="s">
        <v>1584</v>
      </c>
      <c r="G34" s="24" t="s">
        <v>1585</v>
      </c>
      <c r="H34" s="544" t="s">
        <v>567</v>
      </c>
      <c r="I34" s="544" t="s">
        <v>26</v>
      </c>
      <c r="J34" s="24"/>
      <c r="L34" s="11"/>
      <c r="M34" s="522" t="s">
        <v>622</v>
      </c>
      <c r="N34" s="115" t="s">
        <v>43</v>
      </c>
      <c r="O34" s="115" t="s">
        <v>758</v>
      </c>
      <c r="P34" s="522" t="s">
        <v>1325</v>
      </c>
      <c r="Q34" s="20" t="s">
        <v>1013</v>
      </c>
      <c r="T34" s="115" t="s">
        <v>892</v>
      </c>
      <c r="U34" s="115" t="s">
        <v>114</v>
      </c>
      <c r="V34" s="115" t="s">
        <v>723</v>
      </c>
      <c r="W34" s="115"/>
    </row>
    <row r="35" spans="5:23" ht="13">
      <c r="E35" s="11"/>
      <c r="F35" s="543" t="s">
        <v>698</v>
      </c>
      <c r="G35" s="24" t="s">
        <v>1252</v>
      </c>
      <c r="H35" s="544" t="str">
        <f>LEFT(Modules[Code], FIND(".", Modules[Code])-1)</f>
        <v>IX</v>
      </c>
      <c r="I35" s="544" t="str">
        <f>INDEX(Workstreams[Workstream], MATCH(Modules[WS Code], Workstreams[Code], 0))</f>
        <v>Heating</v>
      </c>
      <c r="J35" s="24"/>
      <c r="L35" s="11"/>
      <c r="M35" s="522" t="s">
        <v>622</v>
      </c>
      <c r="N35" s="115" t="s">
        <v>43</v>
      </c>
      <c r="O35" s="115" t="s">
        <v>759</v>
      </c>
      <c r="P35" s="522" t="s">
        <v>1320</v>
      </c>
      <c r="Q35" s="17"/>
      <c r="T35" s="115" t="s">
        <v>885</v>
      </c>
      <c r="U35" s="115" t="s">
        <v>187</v>
      </c>
      <c r="V35" s="115" t="s">
        <v>898</v>
      </c>
    </row>
    <row r="36" spans="5:23" ht="13">
      <c r="E36" s="11"/>
      <c r="F36" s="543" t="s">
        <v>726</v>
      </c>
      <c r="G36" s="24" t="s">
        <v>957</v>
      </c>
      <c r="H36" s="544" t="str">
        <f>LEFT(Modules[Code], FIND(".", Modules[Code])-1)</f>
        <v>IX</v>
      </c>
      <c r="I36" s="544" t="str">
        <f>INDEX(Workstreams[Workstream], MATCH(Modules[WS Code], Workstreams[Code], 0))</f>
        <v>Heating</v>
      </c>
      <c r="J36" s="24"/>
      <c r="L36" s="11"/>
      <c r="M36" s="14" t="s">
        <v>622</v>
      </c>
      <c r="N36" s="115" t="s">
        <v>760</v>
      </c>
      <c r="O36" s="115" t="s">
        <v>761</v>
      </c>
      <c r="P36" s="522" t="s">
        <v>764</v>
      </c>
      <c r="Q36" s="20"/>
      <c r="T36" s="115" t="s">
        <v>886</v>
      </c>
      <c r="U36" s="115" t="s">
        <v>887</v>
      </c>
      <c r="V36" s="115" t="s">
        <v>902</v>
      </c>
      <c r="W36" s="115" t="s">
        <v>903</v>
      </c>
    </row>
    <row r="37" spans="5:23" ht="13">
      <c r="E37" s="11"/>
      <c r="F37" s="543" t="s">
        <v>727</v>
      </c>
      <c r="G37" s="24" t="s">
        <v>1253</v>
      </c>
      <c r="H37" s="544" t="str">
        <f>LEFT(Modules[Code], FIND(".", Modules[Code])-1)</f>
        <v>IX</v>
      </c>
      <c r="I37" s="544" t="str">
        <f>INDEX(Workstreams[Workstream], MATCH(Modules[WS Code], Workstreams[Code], 0))</f>
        <v>Heating</v>
      </c>
      <c r="J37" s="24"/>
      <c r="L37" s="11"/>
      <c r="M37" s="14" t="s">
        <v>622</v>
      </c>
      <c r="N37" s="115" t="s">
        <v>760</v>
      </c>
      <c r="O37" s="115" t="s">
        <v>762</v>
      </c>
      <c r="P37" s="522" t="s">
        <v>765</v>
      </c>
      <c r="Q37" s="20"/>
      <c r="T37" s="115" t="s">
        <v>893</v>
      </c>
      <c r="U37" s="115" t="s">
        <v>895</v>
      </c>
      <c r="V37" s="115" t="s">
        <v>899</v>
      </c>
      <c r="W37" s="115" t="s">
        <v>901</v>
      </c>
    </row>
    <row r="38" spans="5:23" ht="13">
      <c r="E38" s="7"/>
      <c r="F38" s="543" t="s">
        <v>731</v>
      </c>
      <c r="G38" s="24" t="s">
        <v>733</v>
      </c>
      <c r="H38" s="544" t="str">
        <f>LEFT(Modules[Code], FIND(".", Modules[Code])-1)</f>
        <v>X</v>
      </c>
      <c r="I38" s="544" t="str">
        <f>INDEX(Workstreams[Workstream], MATCH(Modules[WS Code], Workstreams[Code], 0))</f>
        <v>Lighting &amp; appliances</v>
      </c>
      <c r="J38" s="24"/>
      <c r="L38" s="7"/>
      <c r="M38" s="14" t="s">
        <v>622</v>
      </c>
      <c r="N38" s="115" t="s">
        <v>760</v>
      </c>
      <c r="O38" s="115" t="s">
        <v>763</v>
      </c>
      <c r="P38" s="522" t="s">
        <v>774</v>
      </c>
      <c r="Q38" s="20"/>
      <c r="T38" s="115" t="s">
        <v>894</v>
      </c>
      <c r="U38" s="115" t="s">
        <v>114</v>
      </c>
      <c r="V38" s="115" t="s">
        <v>723</v>
      </c>
    </row>
    <row r="39" spans="5:23" ht="26">
      <c r="E39" s="7"/>
      <c r="F39" s="543" t="s">
        <v>732</v>
      </c>
      <c r="G39" s="24" t="s">
        <v>734</v>
      </c>
      <c r="H39" s="544" t="str">
        <f>LEFT(Modules[Code], FIND(".", Modules[Code])-1)</f>
        <v>X</v>
      </c>
      <c r="I39" s="544" t="str">
        <f>INDEX(Workstreams[Workstream], MATCH(Modules[WS Code], Workstreams[Code], 0))</f>
        <v>Lighting &amp; appliances</v>
      </c>
      <c r="J39" s="24"/>
      <c r="L39" s="7"/>
      <c r="M39" s="14" t="s">
        <v>72</v>
      </c>
      <c r="N39" s="522" t="s">
        <v>623</v>
      </c>
      <c r="O39" s="16" t="s">
        <v>58</v>
      </c>
      <c r="P39" s="522" t="s">
        <v>1173</v>
      </c>
      <c r="Q39" s="20" t="s">
        <v>1012</v>
      </c>
    </row>
    <row r="40" spans="5:23" ht="26">
      <c r="E40" s="7"/>
      <c r="F40" s="543" t="s">
        <v>699</v>
      </c>
      <c r="G40" s="24" t="s">
        <v>426</v>
      </c>
      <c r="H40" s="544" t="str">
        <f>LEFT(Modules[Code], FIND(".", Modules[Code])-1)</f>
        <v>XI</v>
      </c>
      <c r="I40" s="544" t="str">
        <f>INDEX(Workstreams[Workstream], MATCH(Modules[WS Code], Workstreams[Code], 0))</f>
        <v>Industry</v>
      </c>
      <c r="J40" s="24"/>
      <c r="L40" s="7"/>
      <c r="M40" s="522" t="s">
        <v>72</v>
      </c>
      <c r="N40" s="522" t="s">
        <v>623</v>
      </c>
      <c r="O40" s="16" t="s">
        <v>59</v>
      </c>
      <c r="P40" s="522" t="s">
        <v>980</v>
      </c>
      <c r="Q40" s="20" t="s">
        <v>1012</v>
      </c>
    </row>
    <row r="41" spans="5:23" ht="26">
      <c r="E41" s="7"/>
      <c r="F41" s="543" t="s">
        <v>702</v>
      </c>
      <c r="G41" s="24" t="s">
        <v>975</v>
      </c>
      <c r="H41" s="544" t="str">
        <f>LEFT(Modules[Code], FIND(".", Modules[Code])-1)</f>
        <v>XII</v>
      </c>
      <c r="I41" s="544" t="str">
        <f>INDEX(Workstreams[Workstream], MATCH(Modules[WS Code], Workstreams[Code], 0))</f>
        <v>Transport</v>
      </c>
      <c r="J41" s="24"/>
      <c r="L41" s="7"/>
      <c r="M41" s="522" t="s">
        <v>72</v>
      </c>
      <c r="N41" s="522" t="s">
        <v>623</v>
      </c>
      <c r="O41" s="16" t="s">
        <v>60</v>
      </c>
      <c r="P41" s="522" t="s">
        <v>260</v>
      </c>
      <c r="Q41" s="20" t="s">
        <v>1012</v>
      </c>
    </row>
    <row r="42" spans="5:23" ht="13">
      <c r="E42" s="7"/>
      <c r="F42" s="543" t="s">
        <v>714</v>
      </c>
      <c r="G42" s="24" t="s">
        <v>976</v>
      </c>
      <c r="H42" s="544" t="str">
        <f>LEFT(Modules[Code], FIND(".", Modules[Code])-1)</f>
        <v>XII</v>
      </c>
      <c r="I42" s="544" t="str">
        <f>INDEX(Workstreams[Workstream], MATCH(Modules[WS Code], Workstreams[Code], 0))</f>
        <v>Transport</v>
      </c>
      <c r="J42" s="24"/>
      <c r="L42" s="7"/>
      <c r="M42" s="522" t="s">
        <v>72</v>
      </c>
      <c r="N42" s="522" t="s">
        <v>5</v>
      </c>
      <c r="O42" s="16" t="s">
        <v>40</v>
      </c>
      <c r="P42" s="16" t="s">
        <v>61</v>
      </c>
      <c r="Q42" s="522"/>
    </row>
    <row r="43" spans="5:23" ht="13">
      <c r="E43" s="7"/>
      <c r="F43" s="543" t="s">
        <v>715</v>
      </c>
      <c r="G43" s="24" t="s">
        <v>736</v>
      </c>
      <c r="H43" s="544" t="str">
        <f>LEFT(Modules[Code], FIND(".", Modules[Code])-1)</f>
        <v>XII</v>
      </c>
      <c r="I43" s="544" t="str">
        <f>INDEX(Workstreams[Workstream], MATCH(Modules[WS Code], Workstreams[Code], 0))</f>
        <v>Transport</v>
      </c>
      <c r="J43" s="24"/>
      <c r="L43" s="7"/>
      <c r="M43" s="522" t="s">
        <v>72</v>
      </c>
      <c r="N43" s="522" t="s">
        <v>5</v>
      </c>
      <c r="O43" s="16" t="s">
        <v>41</v>
      </c>
      <c r="P43" s="522" t="s">
        <v>417</v>
      </c>
      <c r="Q43" s="17"/>
    </row>
    <row r="44" spans="5:23" ht="13">
      <c r="E44" s="7"/>
      <c r="F44" s="543" t="s">
        <v>735</v>
      </c>
      <c r="G44" s="24" t="s">
        <v>1249</v>
      </c>
      <c r="H44" s="544" t="str">
        <f>LEFT(Modules[Code], FIND(".", Modules[Code])-1)</f>
        <v>XII</v>
      </c>
      <c r="I44" s="544" t="str">
        <f>INDEX(Workstreams[Workstream], MATCH(Modules[WS Code], Workstreams[Code], 0))</f>
        <v>Transport</v>
      </c>
      <c r="J44" s="24"/>
      <c r="L44" s="7"/>
      <c r="M44" s="522" t="s">
        <v>72</v>
      </c>
      <c r="N44" s="522" t="s">
        <v>252</v>
      </c>
      <c r="O44" s="522" t="s">
        <v>42</v>
      </c>
      <c r="P44" s="16" t="s">
        <v>56</v>
      </c>
      <c r="Q44" s="20" t="s">
        <v>418</v>
      </c>
    </row>
    <row r="45" spans="5:23" ht="13">
      <c r="E45" s="7"/>
      <c r="F45" s="543" t="s">
        <v>738</v>
      </c>
      <c r="G45" s="24" t="s">
        <v>748</v>
      </c>
      <c r="H45" s="544" t="str">
        <f>LEFT(Modules[Code], FIND(".", Modules[Code])-1)</f>
        <v>XII</v>
      </c>
      <c r="I45" s="544" t="str">
        <f>INDEX(Workstreams[Workstream], MATCH(Modules[WS Code], Workstreams[Code], 0))</f>
        <v>Transport</v>
      </c>
      <c r="J45" s="24"/>
      <c r="L45" s="7"/>
      <c r="M45" s="522" t="s">
        <v>72</v>
      </c>
      <c r="N45" s="522" t="s">
        <v>252</v>
      </c>
      <c r="O45" s="522" t="s">
        <v>44</v>
      </c>
      <c r="P45" s="16" t="s">
        <v>57</v>
      </c>
      <c r="Q45" s="20" t="s">
        <v>419</v>
      </c>
    </row>
    <row r="46" spans="5:23" ht="13">
      <c r="E46" s="7"/>
      <c r="F46" s="543" t="s">
        <v>740</v>
      </c>
      <c r="G46" s="24" t="s">
        <v>1250</v>
      </c>
      <c r="H46" s="544" t="str">
        <f>LEFT(Modules[Code], FIND(".", Modules[Code])-1)</f>
        <v>XII</v>
      </c>
      <c r="I46" s="544" t="str">
        <f>INDEX(Workstreams[Workstream], MATCH(Modules[WS Code], Workstreams[Code], 0))</f>
        <v>Transport</v>
      </c>
      <c r="J46" s="24"/>
      <c r="L46" s="7"/>
      <c r="M46" s="522" t="s">
        <v>72</v>
      </c>
      <c r="N46" s="522" t="s">
        <v>252</v>
      </c>
      <c r="O46" s="522" t="s">
        <v>45</v>
      </c>
      <c r="P46" s="522" t="s">
        <v>535</v>
      </c>
      <c r="Q46" s="20" t="s">
        <v>251</v>
      </c>
    </row>
    <row r="47" spans="5:23" ht="13">
      <c r="E47" s="7"/>
      <c r="F47" s="543" t="s">
        <v>722</v>
      </c>
      <c r="G47" s="24" t="s">
        <v>1248</v>
      </c>
      <c r="H47" s="544" t="str">
        <f>LEFT(Modules[Code], FIND(".", Modules[Code])-1)</f>
        <v>XIII</v>
      </c>
      <c r="I47" s="544" t="str">
        <f>INDEX(Workstreams[Workstream], MATCH(Modules[WS Code], Workstreams[Code], 0))</f>
        <v>Food consumption [UNUSED]</v>
      </c>
      <c r="J47" s="24"/>
      <c r="L47" s="7"/>
      <c r="M47" s="522" t="s">
        <v>72</v>
      </c>
      <c r="N47" s="522" t="s">
        <v>252</v>
      </c>
      <c r="O47" s="522" t="s">
        <v>101</v>
      </c>
      <c r="P47" s="522" t="s">
        <v>253</v>
      </c>
      <c r="Q47" s="20"/>
    </row>
    <row r="48" spans="5:23" ht="26">
      <c r="E48" s="7"/>
      <c r="F48" s="543" t="s">
        <v>743</v>
      </c>
      <c r="G48" s="24" t="s">
        <v>424</v>
      </c>
      <c r="H48" s="544" t="str">
        <f>LEFT(Modules[Code], FIND(".", Modules[Code])-1)</f>
        <v>XIV</v>
      </c>
      <c r="I48" s="544" t="str">
        <f>INDEX(Workstreams[Workstream], MATCH(Modules[WS Code], Workstreams[Code], 0))</f>
        <v>Geosequestration</v>
      </c>
      <c r="J48" s="24"/>
      <c r="L48" s="7"/>
      <c r="M48" s="522" t="s">
        <v>72</v>
      </c>
      <c r="N48" s="522" t="s">
        <v>16</v>
      </c>
      <c r="O48" s="522" t="s">
        <v>625</v>
      </c>
      <c r="P48" s="522" t="s">
        <v>674</v>
      </c>
      <c r="Q48" s="20" t="s">
        <v>533</v>
      </c>
    </row>
    <row r="49" spans="5:17" ht="13">
      <c r="E49" s="7"/>
      <c r="F49" s="543" t="s">
        <v>751</v>
      </c>
      <c r="G49" s="24" t="s">
        <v>147</v>
      </c>
      <c r="H49" s="544" t="str">
        <f>LEFT(Modules[Code], FIND(".", Modules[Code])-1)</f>
        <v>XV</v>
      </c>
      <c r="I49" s="544" t="str">
        <f>INDEX(Workstreams[Workstream], MATCH(Modules[WS Code], Workstreams[Code], 0))</f>
        <v>Fossil fuel production</v>
      </c>
      <c r="J49" s="24"/>
      <c r="L49" s="7"/>
      <c r="M49" s="522" t="s">
        <v>72</v>
      </c>
      <c r="N49" s="522" t="s">
        <v>99</v>
      </c>
      <c r="O49" s="522" t="s">
        <v>626</v>
      </c>
      <c r="P49" s="522" t="s">
        <v>1317</v>
      </c>
      <c r="Q49" s="20" t="s">
        <v>718</v>
      </c>
    </row>
    <row r="50" spans="5:17" ht="39">
      <c r="E50" s="7"/>
      <c r="F50" s="543" t="s">
        <v>755</v>
      </c>
      <c r="G50" s="24" t="s">
        <v>756</v>
      </c>
      <c r="H50" s="544" t="str">
        <f>LEFT(Modules[Code], FIND(".", Modules[Code])-1)</f>
        <v>XV</v>
      </c>
      <c r="I50" s="544" t="str">
        <f>INDEX(Workstreams[Workstream], MATCH(Modules[WS Code], Workstreams[Code], 0))</f>
        <v>Fossil fuel production</v>
      </c>
      <c r="J50" s="24"/>
      <c r="L50" s="7"/>
      <c r="M50" s="522" t="s">
        <v>72</v>
      </c>
      <c r="N50" s="522" t="s">
        <v>99</v>
      </c>
      <c r="O50" s="522" t="s">
        <v>627</v>
      </c>
      <c r="P50" s="522" t="s">
        <v>1318</v>
      </c>
      <c r="Q50" s="20" t="s">
        <v>1088</v>
      </c>
    </row>
    <row r="51" spans="5:17" ht="26">
      <c r="E51" s="7"/>
      <c r="F51" s="543" t="s">
        <v>767</v>
      </c>
      <c r="G51" s="24" t="s">
        <v>769</v>
      </c>
      <c r="H51" s="544" t="str">
        <f>LEFT(Modules[Code], FIND(".", Modules[Code])-1)</f>
        <v>XVI</v>
      </c>
      <c r="I51" s="544" t="str">
        <f>INDEX(Workstreams[Workstream], MATCH(Modules[WS Code], Workstreams[Code], 0))</f>
        <v>Transfers</v>
      </c>
      <c r="J51" s="24" t="s">
        <v>904</v>
      </c>
      <c r="L51" s="7"/>
      <c r="M51" s="522" t="s">
        <v>72</v>
      </c>
      <c r="N51" s="522" t="s">
        <v>100</v>
      </c>
      <c r="O51" s="522" t="s">
        <v>721</v>
      </c>
      <c r="P51" s="522" t="s">
        <v>1319</v>
      </c>
      <c r="Q51" s="20" t="s">
        <v>719</v>
      </c>
    </row>
    <row r="52" spans="5:17" ht="13">
      <c r="E52" s="7"/>
      <c r="F52" s="543" t="s">
        <v>768</v>
      </c>
      <c r="G52" s="24" t="s">
        <v>1171</v>
      </c>
      <c r="H52" s="544" t="str">
        <f>LEFT(Modules[Code], FIND(".", Modules[Code])-1)</f>
        <v>XVI</v>
      </c>
      <c r="I52" s="544" t="str">
        <f>INDEX(Workstreams[Workstream], MATCH(Modules[WS Code], Workstreams[Code], 0))</f>
        <v>Transfers</v>
      </c>
      <c r="J52" s="24"/>
      <c r="L52" s="7"/>
      <c r="M52" s="1183" t="s">
        <v>72</v>
      </c>
      <c r="N52" s="34" t="s">
        <v>1284</v>
      </c>
      <c r="O52" s="1183" t="s">
        <v>1181</v>
      </c>
      <c r="P52" s="1184" t="s">
        <v>123</v>
      </c>
      <c r="Q52" s="1185" t="s">
        <v>1182</v>
      </c>
    </row>
    <row r="53" spans="5:17" ht="13">
      <c r="E53" s="7"/>
      <c r="F53" s="543" t="s">
        <v>967</v>
      </c>
      <c r="G53" s="24" t="s">
        <v>966</v>
      </c>
      <c r="H53" s="544" t="str">
        <f>LEFT(Modules[Code], FIND(".", Modules[Code])-1)</f>
        <v>XVII</v>
      </c>
      <c r="I53" s="544" t="str">
        <f>INDEX(Workstreams[Workstream], MATCH(Modules[WS Code], Workstreams[Code], 0))</f>
        <v>District heating</v>
      </c>
      <c r="J53" s="24" t="s">
        <v>968</v>
      </c>
      <c r="L53" s="7"/>
      <c r="M53" s="993" t="s">
        <v>72</v>
      </c>
      <c r="N53" s="1686" t="s">
        <v>1008</v>
      </c>
      <c r="O53" s="34" t="s">
        <v>960</v>
      </c>
      <c r="P53" s="24" t="s">
        <v>959</v>
      </c>
      <c r="Q53" s="994" t="s">
        <v>961</v>
      </c>
    </row>
    <row r="54" spans="5:17" ht="17">
      <c r="E54" s="7"/>
      <c r="F54" s="543" t="s">
        <v>1776</v>
      </c>
      <c r="G54" s="24" t="s">
        <v>1777</v>
      </c>
      <c r="H54" s="544" t="s">
        <v>1669</v>
      </c>
      <c r="I54" s="544" t="s">
        <v>1777</v>
      </c>
      <c r="J54" s="24"/>
      <c r="L54" s="7"/>
      <c r="M54" s="993" t="s">
        <v>72</v>
      </c>
      <c r="N54" s="522" t="s">
        <v>100</v>
      </c>
      <c r="O54" s="522" t="s">
        <v>988</v>
      </c>
      <c r="P54" s="16" t="s">
        <v>18</v>
      </c>
      <c r="Q54" s="1009"/>
    </row>
    <row r="55" spans="5:17" ht="13">
      <c r="E55" s="7"/>
      <c r="F55" s="543"/>
      <c r="G55" s="24"/>
      <c r="H55" s="544"/>
      <c r="I55" s="544"/>
      <c r="J55" s="24"/>
      <c r="L55" s="7"/>
      <c r="M55" s="993" t="s">
        <v>72</v>
      </c>
      <c r="N55" s="34" t="s">
        <v>1284</v>
      </c>
      <c r="O55" s="34" t="s">
        <v>1087</v>
      </c>
      <c r="P55" s="24" t="s">
        <v>1177</v>
      </c>
      <c r="Q55" s="994" t="s">
        <v>1179</v>
      </c>
    </row>
    <row r="56" spans="5:17" ht="13">
      <c r="E56" s="7"/>
      <c r="F56" s="543"/>
      <c r="G56" s="24"/>
      <c r="H56" s="544"/>
      <c r="I56" s="544"/>
      <c r="J56" s="24"/>
      <c r="L56" s="7"/>
      <c r="M56" s="1183" t="s">
        <v>72</v>
      </c>
      <c r="N56" s="34" t="s">
        <v>1284</v>
      </c>
      <c r="O56" s="1183" t="s">
        <v>1178</v>
      </c>
      <c r="P56" s="24" t="s">
        <v>1183</v>
      </c>
      <c r="Q56" s="994" t="s">
        <v>1180</v>
      </c>
    </row>
    <row r="57" spans="5:17" ht="13">
      <c r="E57" s="7"/>
      <c r="L57" s="11"/>
      <c r="M57" s="1222" t="s">
        <v>1291</v>
      </c>
      <c r="N57" s="34" t="s">
        <v>1372</v>
      </c>
      <c r="O57" s="1222" t="s">
        <v>1293</v>
      </c>
      <c r="P57" s="24" t="s">
        <v>1373</v>
      </c>
      <c r="Q57" s="1224"/>
    </row>
    <row r="58" spans="5:17" ht="13">
      <c r="E58" s="7"/>
      <c r="L58" s="11"/>
      <c r="M58" s="1222" t="s">
        <v>1291</v>
      </c>
      <c r="N58" s="34" t="s">
        <v>1372</v>
      </c>
      <c r="O58" s="1240" t="s">
        <v>1307</v>
      </c>
      <c r="P58" s="1241" t="s">
        <v>1374</v>
      </c>
      <c r="Q58" s="1242"/>
    </row>
    <row r="59" spans="5:17" ht="13">
      <c r="L59" s="11"/>
      <c r="M59" s="1240" t="s">
        <v>1291</v>
      </c>
      <c r="N59" s="1240" t="s">
        <v>1372</v>
      </c>
      <c r="O59" s="1240" t="s">
        <v>1375</v>
      </c>
      <c r="P59" s="1241" t="s">
        <v>1376</v>
      </c>
      <c r="Q59" s="1242"/>
    </row>
    <row r="60" spans="5:17" ht="13">
      <c r="L60" s="11"/>
      <c r="M60" s="1240" t="s">
        <v>1291</v>
      </c>
      <c r="N60" s="34" t="s">
        <v>1378</v>
      </c>
      <c r="O60" s="34" t="s">
        <v>1377</v>
      </c>
      <c r="P60" s="24" t="s">
        <v>1379</v>
      </c>
      <c r="Q60" s="1009"/>
    </row>
    <row r="61" spans="5:17" ht="13">
      <c r="L61" s="11"/>
      <c r="M61" s="1222" t="s">
        <v>1291</v>
      </c>
      <c r="N61" s="1222" t="s">
        <v>1294</v>
      </c>
      <c r="O61" s="1222" t="s">
        <v>1298</v>
      </c>
      <c r="P61" s="1223" t="s">
        <v>1297</v>
      </c>
      <c r="Q61" s="1224"/>
    </row>
    <row r="62" spans="5:17" ht="13">
      <c r="L62" s="11"/>
      <c r="M62" s="34" t="s">
        <v>1291</v>
      </c>
      <c r="N62" s="34" t="s">
        <v>1294</v>
      </c>
      <c r="O62" s="34" t="s">
        <v>1605</v>
      </c>
      <c r="P62" s="24" t="s">
        <v>629</v>
      </c>
      <c r="Q62" s="1009"/>
    </row>
    <row r="63" spans="5:17" ht="13">
      <c r="L63" s="11"/>
      <c r="M63" s="1222" t="s">
        <v>1291</v>
      </c>
      <c r="N63" s="34" t="s">
        <v>1294</v>
      </c>
      <c r="O63" s="1222" t="s">
        <v>1299</v>
      </c>
      <c r="P63" s="1223" t="s">
        <v>1295</v>
      </c>
      <c r="Q63" s="1224"/>
    </row>
    <row r="64" spans="5:17" ht="13">
      <c r="L64" s="11"/>
      <c r="M64" s="1544" t="s">
        <v>1291</v>
      </c>
      <c r="N64" s="1544" t="s">
        <v>25</v>
      </c>
      <c r="O64" s="1544" t="s">
        <v>1707</v>
      </c>
      <c r="P64" s="1545" t="s">
        <v>1708</v>
      </c>
      <c r="Q64" s="1546" t="s">
        <v>1709</v>
      </c>
    </row>
    <row r="65" spans="12:17" ht="13">
      <c r="L65" s="11"/>
      <c r="M65" s="34" t="s">
        <v>1291</v>
      </c>
      <c r="N65" s="34" t="s">
        <v>25</v>
      </c>
      <c r="O65" s="34" t="s">
        <v>1606</v>
      </c>
      <c r="P65" s="24" t="s">
        <v>1607</v>
      </c>
      <c r="Q65" s="994" t="s">
        <v>1625</v>
      </c>
    </row>
    <row r="66" spans="12:17" ht="13">
      <c r="L66" s="11"/>
      <c r="M66" s="34" t="s">
        <v>1291</v>
      </c>
      <c r="N66" s="34" t="s">
        <v>25</v>
      </c>
      <c r="O66" s="34" t="s">
        <v>1623</v>
      </c>
      <c r="P66" s="24" t="s">
        <v>1624</v>
      </c>
      <c r="Q66" s="994" t="s">
        <v>1625</v>
      </c>
    </row>
    <row r="67" spans="12:17" ht="13">
      <c r="L67" s="11"/>
      <c r="M67" s="34" t="s">
        <v>1291</v>
      </c>
      <c r="N67" s="34" t="s">
        <v>25</v>
      </c>
      <c r="O67" s="34" t="s">
        <v>1626</v>
      </c>
      <c r="P67" s="24" t="s">
        <v>1627</v>
      </c>
      <c r="Q67" s="994" t="s">
        <v>1625</v>
      </c>
    </row>
    <row r="68" spans="12:17" ht="13">
      <c r="L68" s="11"/>
      <c r="M68" s="34" t="s">
        <v>1291</v>
      </c>
      <c r="N68" s="34" t="s">
        <v>25</v>
      </c>
      <c r="O68" s="34" t="s">
        <v>1639</v>
      </c>
      <c r="P68" s="24" t="s">
        <v>1640</v>
      </c>
      <c r="Q68" s="994" t="s">
        <v>1625</v>
      </c>
    </row>
    <row r="69" spans="12:17" ht="13">
      <c r="L69" s="11"/>
      <c r="M69" s="2"/>
      <c r="P69" s="2"/>
      <c r="Q69" s="12"/>
    </row>
    <row r="70" spans="12:17" ht="13">
      <c r="L70" s="11"/>
      <c r="M70" s="2"/>
      <c r="P70" s="2"/>
      <c r="Q70" s="12"/>
    </row>
    <row r="71" spans="12:17" ht="13">
      <c r="L71" s="2"/>
      <c r="M71" s="2"/>
      <c r="P71" s="2"/>
      <c r="Q71" s="12"/>
    </row>
    <row r="72" spans="12:17" ht="13">
      <c r="L72" s="2"/>
      <c r="M72" s="2"/>
      <c r="P72" s="2"/>
      <c r="Q72" s="12"/>
    </row>
    <row r="73" spans="12:17" ht="13">
      <c r="L73" s="2"/>
      <c r="M73" s="2"/>
      <c r="P73" s="2"/>
      <c r="Q73" s="12"/>
    </row>
    <row r="74" spans="12:17" ht="13">
      <c r="L74" s="2"/>
      <c r="M74" s="2"/>
      <c r="P74" s="2"/>
      <c r="Q74" s="12"/>
    </row>
    <row r="75" spans="12:17" ht="13">
      <c r="L75" s="2"/>
      <c r="M75" s="2"/>
      <c r="P75" s="2"/>
      <c r="Q75" s="12"/>
    </row>
    <row r="76" spans="12:17" ht="13">
      <c r="L76" s="2"/>
      <c r="M76" s="2"/>
      <c r="P76" s="2"/>
      <c r="Q76" s="12"/>
    </row>
    <row r="77" spans="12:17" ht="13">
      <c r="L77" s="2"/>
      <c r="M77" s="2"/>
      <c r="P77" s="2"/>
      <c r="Q77" s="12"/>
    </row>
    <row r="78" spans="12:17" ht="13">
      <c r="L78" s="2"/>
      <c r="M78" s="2"/>
      <c r="P78" s="2"/>
      <c r="Q78" s="12"/>
    </row>
    <row r="79" spans="12:17" ht="13">
      <c r="L79" s="2"/>
      <c r="M79" s="2"/>
      <c r="P79" s="2"/>
      <c r="Q79" s="12"/>
    </row>
    <row r="80" spans="12:17" ht="13">
      <c r="L80" s="2"/>
      <c r="M80" s="2"/>
      <c r="P80" s="2"/>
      <c r="Q80" s="12"/>
    </row>
  </sheetData>
  <pageMargins left="0.7" right="0.7" top="0.75" bottom="0.75" header="0.3" footer="0.3"/>
  <pageSetup paperSize="9" orientation="landscape" horizontalDpi="300" verticalDpi="300"/>
  <tableParts count="7">
    <tablePart r:id="rId1"/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theme="9"/>
    <outlinePr summaryBelow="0"/>
    <pageSetUpPr autoPageBreaks="0"/>
  </sheetPr>
  <dimension ref="A1:BN1263"/>
  <sheetViews>
    <sheetView topLeftCell="A752" workbookViewId="0">
      <selection activeCell="H765" sqref="H765"/>
    </sheetView>
  </sheetViews>
  <sheetFormatPr baseColWidth="10" defaultColWidth="8.83203125" defaultRowHeight="13" x14ac:dyDescent="0"/>
  <cols>
    <col min="1" max="1" width="7.6640625" style="18" customWidth="1"/>
    <col min="2" max="2" width="5.83203125" style="18" customWidth="1"/>
    <col min="3" max="3" width="20.5" style="18" customWidth="1"/>
    <col min="4" max="4" width="30.6640625" style="18" customWidth="1"/>
    <col min="5" max="5" width="20.6640625" style="18" customWidth="1"/>
    <col min="6" max="15" width="17.6640625" style="18" customWidth="1"/>
    <col min="16" max="16" width="10.6640625" style="18" customWidth="1"/>
    <col min="17" max="17" width="10.83203125" style="18" customWidth="1"/>
    <col min="18" max="18" width="20.33203125" style="18" customWidth="1"/>
    <col min="19" max="19" width="10.1640625" style="18" customWidth="1"/>
    <col min="20" max="20" width="10.1640625" style="18" hidden="1" customWidth="1"/>
    <col min="21" max="21" width="11" style="18" hidden="1" customWidth="1"/>
    <col min="22" max="23" width="9.6640625" style="18" hidden="1" customWidth="1"/>
    <col min="24" max="24" width="9.6640625" style="18" customWidth="1"/>
    <col min="25" max="32" width="8.83203125" style="18"/>
    <col min="33" max="33" width="57.5" style="18" customWidth="1"/>
    <col min="34" max="34" width="12.5" style="18" customWidth="1"/>
    <col min="35" max="35" width="19.33203125" style="18" customWidth="1"/>
    <col min="36" max="37" width="10" style="18" bestFit="1" customWidth="1"/>
    <col min="38" max="38" width="26.6640625" style="18" customWidth="1"/>
    <col min="39" max="39" width="18.33203125" style="18" customWidth="1"/>
    <col min="40" max="46" width="10" style="18" bestFit="1" customWidth="1"/>
    <col min="47" max="16384" width="8.83203125" style="18"/>
  </cols>
  <sheetData>
    <row r="1" spans="1:16" ht="20">
      <c r="A1" s="1328" t="s">
        <v>567</v>
      </c>
      <c r="B1" s="1328" t="str">
        <f>INDEX(Workstreams[Workstream], MATCH($A1, Workstreams[Code], 0))</f>
        <v>Heating</v>
      </c>
      <c r="C1" s="1328"/>
    </row>
    <row r="2" spans="1:16" s="16" customFormat="1" ht="19.5" customHeight="1">
      <c r="A2" s="527" t="s">
        <v>653</v>
      </c>
      <c r="B2" s="527" t="str">
        <f>INDEX(Modules[Module], MATCH($A2, Modules[Code], 0))</f>
        <v>Domestic space heating and hot water</v>
      </c>
      <c r="C2" s="527"/>
      <c r="E2" s="1281" t="s">
        <v>1859</v>
      </c>
    </row>
    <row r="4" spans="1:16" ht="22" collapsed="1">
      <c r="A4" s="1296"/>
      <c r="B4" s="1329" t="s">
        <v>971</v>
      </c>
      <c r="C4" s="1330"/>
      <c r="D4" s="1330"/>
      <c r="E4" s="1330"/>
      <c r="F4" s="1330"/>
      <c r="G4" s="1330"/>
      <c r="H4" s="1330"/>
      <c r="I4" s="1330"/>
      <c r="J4" s="1330"/>
      <c r="K4" s="1330"/>
      <c r="L4" s="1330"/>
      <c r="M4" s="1330"/>
      <c r="N4" s="1330"/>
      <c r="O4" s="1330"/>
      <c r="P4" s="1331"/>
    </row>
    <row r="5" spans="1:16">
      <c r="B5" s="1332"/>
      <c r="C5" s="768"/>
      <c r="D5" s="768"/>
      <c r="E5" s="768"/>
      <c r="F5" s="768"/>
      <c r="G5" s="768"/>
      <c r="H5" s="768"/>
      <c r="I5" s="768"/>
      <c r="J5" s="768"/>
      <c r="K5" s="768"/>
      <c r="L5" s="768"/>
      <c r="M5" s="768"/>
      <c r="N5" s="768"/>
      <c r="O5" s="768"/>
      <c r="P5" s="1333"/>
    </row>
    <row r="6" spans="1:16" ht="5.25" customHeight="1">
      <c r="B6" s="1332"/>
      <c r="C6" s="768"/>
      <c r="D6" s="768"/>
      <c r="E6" s="1334"/>
      <c r="F6" s="768"/>
      <c r="G6" s="768"/>
      <c r="H6" s="768"/>
      <c r="I6" s="768"/>
      <c r="J6" s="768"/>
      <c r="K6" s="768"/>
      <c r="L6" s="768"/>
      <c r="M6" s="768"/>
      <c r="N6" s="768"/>
      <c r="O6" s="768"/>
      <c r="P6" s="1333"/>
    </row>
    <row r="7" spans="1:16" ht="15">
      <c r="B7" s="771"/>
      <c r="C7" s="768"/>
      <c r="D7" s="588" t="s">
        <v>654</v>
      </c>
      <c r="E7" s="588" t="s">
        <v>970</v>
      </c>
      <c r="F7" s="768"/>
      <c r="G7" s="768"/>
      <c r="H7" s="768"/>
      <c r="I7" s="768"/>
      <c r="J7" s="768"/>
      <c r="K7" s="768"/>
      <c r="L7" s="768"/>
      <c r="M7" s="768"/>
      <c r="N7" s="768"/>
      <c r="O7" s="768"/>
      <c r="P7" s="1333"/>
    </row>
    <row r="8" spans="1:16" ht="15">
      <c r="B8" s="771"/>
      <c r="C8" s="768"/>
      <c r="D8" s="600" t="s">
        <v>1108</v>
      </c>
      <c r="E8" s="600">
        <f>IX.a.Scenario.ServiceDemand</f>
        <v>4</v>
      </c>
      <c r="F8" s="768"/>
      <c r="G8" s="768"/>
      <c r="H8" s="768"/>
      <c r="I8" s="768"/>
      <c r="J8" s="768"/>
      <c r="K8" s="768"/>
      <c r="L8" s="768"/>
      <c r="M8" s="768"/>
      <c r="N8" s="768"/>
      <c r="O8" s="768"/>
      <c r="P8" s="1333"/>
    </row>
    <row r="9" spans="1:16" ht="15">
      <c r="B9" s="776"/>
      <c r="C9" s="600"/>
      <c r="D9" s="600" t="s">
        <v>922</v>
      </c>
      <c r="E9" s="600">
        <f>IX.a.Scenario.Insulation</f>
        <v>3</v>
      </c>
      <c r="F9" s="600"/>
      <c r="G9" s="600"/>
      <c r="H9" s="600"/>
      <c r="I9" s="600"/>
      <c r="J9" s="600"/>
      <c r="K9" s="600"/>
      <c r="L9" s="600"/>
      <c r="M9" s="600"/>
      <c r="N9" s="600"/>
      <c r="O9" s="600"/>
      <c r="P9" s="1335"/>
    </row>
    <row r="10" spans="1:16" ht="15">
      <c r="B10" s="776"/>
      <c r="C10" s="600"/>
      <c r="D10" s="600" t="s">
        <v>1121</v>
      </c>
      <c r="E10" s="600">
        <f>IX.a.Scenario.Electrification</f>
        <v>3</v>
      </c>
      <c r="F10" s="600"/>
      <c r="G10" s="600"/>
      <c r="H10" s="600"/>
      <c r="I10" s="600"/>
      <c r="J10" s="600"/>
      <c r="K10" s="600"/>
      <c r="L10" s="600"/>
      <c r="M10" s="600"/>
      <c r="N10" s="600"/>
      <c r="O10" s="600"/>
      <c r="P10" s="1335"/>
    </row>
    <row r="11" spans="1:16" ht="15">
      <c r="B11" s="776"/>
      <c r="C11" s="600"/>
      <c r="D11" s="1336" t="s">
        <v>1119</v>
      </c>
      <c r="E11" s="1336">
        <f>IX.a.Scenario.Fuel</f>
        <v>3</v>
      </c>
      <c r="F11" s="601"/>
      <c r="G11" s="600"/>
      <c r="H11" s="600"/>
      <c r="I11" s="600"/>
      <c r="J11" s="600"/>
      <c r="K11" s="600"/>
      <c r="L11" s="600"/>
      <c r="M11" s="600"/>
      <c r="N11" s="600"/>
      <c r="O11" s="600"/>
      <c r="P11" s="1335"/>
    </row>
    <row r="12" spans="1:16" ht="15">
      <c r="B12" s="776"/>
      <c r="C12" s="600"/>
      <c r="D12" s="600"/>
      <c r="E12" s="600"/>
      <c r="F12" s="601"/>
      <c r="G12" s="600"/>
      <c r="H12" s="600"/>
      <c r="I12" s="600"/>
      <c r="J12" s="600"/>
      <c r="K12" s="600"/>
      <c r="L12" s="600"/>
      <c r="M12" s="600"/>
      <c r="N12" s="600"/>
      <c r="O12" s="600"/>
      <c r="P12" s="1335"/>
    </row>
    <row r="13" spans="1:16" ht="15">
      <c r="B13" s="776"/>
      <c r="C13" s="1023" t="s">
        <v>1189</v>
      </c>
      <c r="D13" s="600"/>
      <c r="E13" s="600"/>
      <c r="F13" s="601"/>
      <c r="G13" s="600"/>
      <c r="H13" s="600"/>
      <c r="I13" s="600"/>
      <c r="J13" s="600"/>
      <c r="K13" s="600"/>
      <c r="L13" s="600"/>
      <c r="M13" s="600"/>
      <c r="N13" s="600"/>
      <c r="O13" s="600"/>
      <c r="P13" s="1335"/>
    </row>
    <row r="14" spans="1:16" ht="5.25" customHeight="1">
      <c r="B14" s="776"/>
      <c r="C14" s="600"/>
      <c r="D14" s="600"/>
      <c r="E14" s="600"/>
      <c r="F14" s="601"/>
      <c r="G14" s="600"/>
      <c r="H14" s="600"/>
      <c r="I14" s="600"/>
      <c r="J14" s="600"/>
      <c r="K14" s="600"/>
      <c r="L14" s="600"/>
      <c r="M14" s="600"/>
      <c r="N14" s="600"/>
      <c r="O14" s="600"/>
      <c r="P14" s="1335"/>
    </row>
    <row r="15" spans="1:16" ht="15">
      <c r="B15" s="776"/>
      <c r="C15" s="1337"/>
      <c r="D15" s="1337"/>
      <c r="E15" s="1338" t="s">
        <v>1120</v>
      </c>
      <c r="F15" s="1142"/>
      <c r="G15" s="1338"/>
      <c r="H15" s="1338"/>
      <c r="I15" s="600"/>
      <c r="J15" s="600"/>
      <c r="K15" s="600"/>
      <c r="L15" s="600"/>
      <c r="M15" s="600"/>
      <c r="N15" s="600"/>
      <c r="O15" s="600"/>
      <c r="P15" s="1335"/>
    </row>
    <row r="16" spans="1:16" ht="15">
      <c r="B16" s="776"/>
      <c r="C16" s="600"/>
      <c r="D16" s="600"/>
      <c r="E16" s="1143">
        <v>1</v>
      </c>
      <c r="F16" s="1143">
        <v>2</v>
      </c>
      <c r="G16" s="1143">
        <v>3</v>
      </c>
      <c r="H16" s="1143">
        <v>4</v>
      </c>
      <c r="I16" s="600"/>
      <c r="J16" s="600"/>
      <c r="K16" s="600"/>
      <c r="L16" s="600"/>
      <c r="M16" s="600"/>
      <c r="N16" s="600"/>
      <c r="O16" s="600"/>
      <c r="P16" s="1335"/>
    </row>
    <row r="17" spans="1:20" ht="15">
      <c r="B17" s="776"/>
      <c r="C17" s="1339" t="s">
        <v>1121</v>
      </c>
      <c r="D17" s="1339"/>
      <c r="E17" s="1340" t="s">
        <v>14</v>
      </c>
      <c r="F17" s="1144" t="s">
        <v>986</v>
      </c>
      <c r="G17" s="1340" t="s">
        <v>1104</v>
      </c>
      <c r="H17" s="1340" t="s">
        <v>1115</v>
      </c>
      <c r="I17" s="600"/>
      <c r="J17" s="600"/>
      <c r="K17" s="600"/>
      <c r="L17" s="600"/>
      <c r="M17" s="600"/>
      <c r="N17" s="600"/>
      <c r="O17" s="600"/>
      <c r="P17" s="1335"/>
    </row>
    <row r="18" spans="1:20" ht="15">
      <c r="B18" s="776"/>
      <c r="C18" s="600">
        <v>1</v>
      </c>
      <c r="D18" s="600" t="s">
        <v>1196</v>
      </c>
      <c r="E18" s="1341">
        <v>9</v>
      </c>
      <c r="F18" s="1341">
        <v>6</v>
      </c>
      <c r="G18" s="1341">
        <v>15</v>
      </c>
      <c r="H18" s="1341">
        <v>7</v>
      </c>
      <c r="I18" s="600"/>
      <c r="J18" s="600"/>
      <c r="K18" s="600"/>
      <c r="L18" s="600"/>
      <c r="M18" s="600"/>
      <c r="N18" s="600"/>
      <c r="O18" s="600"/>
      <c r="P18" s="1335"/>
    </row>
    <row r="19" spans="1:20" ht="15">
      <c r="B19" s="776"/>
      <c r="C19" s="600">
        <v>2</v>
      </c>
      <c r="D19" s="600" t="s">
        <v>1105</v>
      </c>
      <c r="E19" s="1341">
        <v>11</v>
      </c>
      <c r="F19" s="1341">
        <v>5</v>
      </c>
      <c r="G19" s="1341">
        <v>14</v>
      </c>
      <c r="H19" s="1341">
        <v>12</v>
      </c>
      <c r="I19" s="600"/>
      <c r="J19" s="600"/>
      <c r="K19" s="600"/>
      <c r="L19" s="600"/>
      <c r="M19" s="600"/>
      <c r="N19" s="600"/>
      <c r="O19" s="600"/>
      <c r="P19" s="1335"/>
    </row>
    <row r="20" spans="1:20" ht="15">
      <c r="B20" s="776"/>
      <c r="C20" s="600">
        <v>3</v>
      </c>
      <c r="D20" s="600" t="s">
        <v>1106</v>
      </c>
      <c r="E20" s="1341">
        <v>10</v>
      </c>
      <c r="F20" s="1341">
        <v>8</v>
      </c>
      <c r="G20" s="1341">
        <v>13</v>
      </c>
      <c r="H20" s="1341">
        <v>16</v>
      </c>
      <c r="I20" s="600"/>
      <c r="J20" s="600"/>
      <c r="K20" s="600"/>
      <c r="L20" s="600"/>
      <c r="M20" s="600"/>
      <c r="N20" s="600"/>
      <c r="O20" s="600"/>
      <c r="P20" s="1335"/>
    </row>
    <row r="21" spans="1:20" ht="15">
      <c r="B21" s="776"/>
      <c r="C21" s="1210">
        <v>4</v>
      </c>
      <c r="D21" s="1210" t="s">
        <v>1107</v>
      </c>
      <c r="E21" s="1342">
        <v>3</v>
      </c>
      <c r="F21" s="1342">
        <v>2</v>
      </c>
      <c r="G21" s="1342">
        <v>4</v>
      </c>
      <c r="H21" s="1342">
        <v>1</v>
      </c>
      <c r="I21" s="600"/>
      <c r="J21" s="600"/>
      <c r="K21" s="600"/>
      <c r="L21" s="600"/>
      <c r="M21" s="600"/>
      <c r="N21" s="600"/>
      <c r="O21" s="600"/>
      <c r="P21" s="1335"/>
    </row>
    <row r="22" spans="1:20" ht="15">
      <c r="B22" s="776"/>
      <c r="C22" s="600"/>
      <c r="D22" s="600"/>
      <c r="E22" s="600"/>
      <c r="F22" s="601"/>
      <c r="G22" s="600"/>
      <c r="H22" s="600"/>
      <c r="I22" s="600"/>
      <c r="J22" s="600"/>
      <c r="K22" s="600"/>
      <c r="L22" s="600"/>
      <c r="M22" s="600"/>
      <c r="N22" s="600"/>
      <c r="O22" s="600"/>
      <c r="P22" s="1335"/>
    </row>
    <row r="23" spans="1:20" ht="15">
      <c r="B23" s="776"/>
      <c r="C23" s="600"/>
      <c r="D23" s="600" t="s">
        <v>1190</v>
      </c>
      <c r="E23" s="600">
        <f>INDEX($E$18:$H$21, MATCH($E$10, $C$18:$C$21, 0), MATCH($E$11, $E$16:$H$16, 0))</f>
        <v>13</v>
      </c>
      <c r="F23" s="601"/>
      <c r="G23" s="600"/>
      <c r="H23" s="600"/>
      <c r="I23" s="600"/>
      <c r="J23" s="600"/>
      <c r="K23" s="600"/>
      <c r="L23" s="600"/>
      <c r="M23" s="600"/>
      <c r="N23" s="600"/>
      <c r="O23" s="600"/>
      <c r="P23" s="1335"/>
    </row>
    <row r="24" spans="1:20" ht="15">
      <c r="B24" s="776"/>
      <c r="C24" s="600"/>
      <c r="D24" s="600"/>
      <c r="E24" s="600"/>
      <c r="F24" s="601"/>
      <c r="G24" s="600"/>
      <c r="H24" s="600"/>
      <c r="I24" s="600"/>
      <c r="J24" s="600"/>
      <c r="K24" s="600"/>
      <c r="L24" s="600"/>
      <c r="M24" s="600"/>
      <c r="N24" s="600"/>
      <c r="O24" s="600"/>
      <c r="P24" s="1335"/>
    </row>
    <row r="26" spans="1:20" ht="22" collapsed="1">
      <c r="A26" s="1296"/>
      <c r="B26" s="1329" t="s">
        <v>573</v>
      </c>
      <c r="C26" s="1330"/>
      <c r="D26" s="1330"/>
      <c r="E26" s="1330"/>
      <c r="F26" s="1330"/>
      <c r="G26" s="1330"/>
      <c r="H26" s="1330"/>
      <c r="I26" s="1330"/>
      <c r="J26" s="1330"/>
      <c r="K26" s="1330"/>
      <c r="L26" s="1330"/>
      <c r="M26" s="1330"/>
      <c r="N26" s="1330"/>
      <c r="O26" s="1330"/>
      <c r="P26" s="1331"/>
    </row>
    <row r="27" spans="1:20">
      <c r="B27" s="1332"/>
      <c r="C27" s="768"/>
      <c r="D27" s="768"/>
      <c r="E27" s="768"/>
      <c r="F27" s="768"/>
      <c r="G27" s="768"/>
      <c r="H27" s="768"/>
      <c r="I27" s="768"/>
      <c r="J27" s="768"/>
      <c r="K27" s="768"/>
      <c r="L27" s="768"/>
      <c r="M27" s="768"/>
      <c r="N27" s="768"/>
      <c r="O27" s="768"/>
      <c r="P27" s="1333"/>
    </row>
    <row r="28" spans="1:20">
      <c r="B28" s="768"/>
      <c r="C28" s="775" t="s">
        <v>958</v>
      </c>
      <c r="D28" s="768" t="str">
        <f>INDEX(Modules[Module], MATCH(C28, Modules[Code], 0))</f>
        <v>Solar thermal</v>
      </c>
      <c r="E28" s="1334"/>
      <c r="F28" s="768"/>
      <c r="G28" s="768"/>
      <c r="H28" s="768"/>
      <c r="I28" s="768"/>
      <c r="J28" s="768"/>
      <c r="K28" s="768"/>
      <c r="L28" s="768"/>
      <c r="M28" s="768"/>
      <c r="N28" s="768"/>
      <c r="O28" s="1334" t="str">
        <f>Preferences.EnergyUnits</f>
        <v>TWh</v>
      </c>
      <c r="P28" s="768"/>
    </row>
    <row r="29" spans="1:20" ht="5.25" customHeight="1">
      <c r="B29" s="768"/>
      <c r="C29" s="768"/>
      <c r="D29" s="768"/>
      <c r="E29" s="1334"/>
      <c r="F29" s="768"/>
      <c r="G29" s="768"/>
      <c r="H29" s="768"/>
      <c r="I29" s="768"/>
      <c r="J29" s="768"/>
      <c r="K29" s="768"/>
      <c r="L29" s="768"/>
      <c r="M29" s="768"/>
      <c r="N29" s="768"/>
      <c r="O29" s="768"/>
      <c r="P29" s="768"/>
    </row>
    <row r="30" spans="1:20" ht="15">
      <c r="B30" s="1002"/>
      <c r="C30" s="588" t="s">
        <v>72</v>
      </c>
      <c r="D30" s="588" t="s">
        <v>400</v>
      </c>
      <c r="E30" s="588" t="s">
        <v>422</v>
      </c>
      <c r="F30" s="1343">
        <v>2007</v>
      </c>
      <c r="G30" s="1343">
        <v>2010</v>
      </c>
      <c r="H30" s="1343">
        <v>2015</v>
      </c>
      <c r="I30" s="1343">
        <v>2020</v>
      </c>
      <c r="J30" s="1343">
        <v>2025</v>
      </c>
      <c r="K30" s="1343">
        <v>2030</v>
      </c>
      <c r="L30" s="1343">
        <v>2035</v>
      </c>
      <c r="M30" s="1343">
        <v>2040</v>
      </c>
      <c r="N30" s="1343">
        <v>2045</v>
      </c>
      <c r="O30" s="1343">
        <v>2050</v>
      </c>
      <c r="P30" s="768"/>
    </row>
    <row r="31" spans="1:20" ht="15">
      <c r="B31" s="1002"/>
      <c r="C31" s="1336" t="s">
        <v>960</v>
      </c>
      <c r="D31" s="1336" t="str">
        <f>INDEX(Vectors[Description], MATCH($C31, Vectors[Code], 0))</f>
        <v>Domestic solar thermal</v>
      </c>
      <c r="E31" s="1336"/>
      <c r="F31" s="990">
        <f ca="1">INDEX(INDIRECT("'"&amp;F$30&amp;"'!Year.Matrix"), MATCH($C$28, INDIRECT("'"&amp;F30&amp;"'!Year.Modules"), 0), MATCH($C$31, INDIRECT("'"&amp;F30&amp;"'!Year.Vectors"), 0))</f>
        <v>0</v>
      </c>
      <c r="G31" s="990" t="e">
        <f t="shared" ref="G31:O31" ca="1" si="0">INDEX(INDIRECT("'"&amp;G$30&amp;"'!Year.Matrix"), MATCH($C$28, INDIRECT("'"&amp;G30&amp;"'!Year.Modules"), 0), MATCH($C$31, INDIRECT("'"&amp;G30&amp;"'!Year.Vectors"), 0))</f>
        <v>#REF!</v>
      </c>
      <c r="H31" s="990" t="e">
        <f t="shared" ca="1" si="0"/>
        <v>#REF!</v>
      </c>
      <c r="I31" s="990" t="e">
        <f t="shared" ca="1" si="0"/>
        <v>#REF!</v>
      </c>
      <c r="J31" s="990" t="e">
        <f t="shared" ca="1" si="0"/>
        <v>#REF!</v>
      </c>
      <c r="K31" s="990" t="e">
        <f t="shared" ca="1" si="0"/>
        <v>#REF!</v>
      </c>
      <c r="L31" s="990" t="e">
        <f t="shared" ca="1" si="0"/>
        <v>#REF!</v>
      </c>
      <c r="M31" s="990" t="e">
        <f t="shared" ca="1" si="0"/>
        <v>#REF!</v>
      </c>
      <c r="N31" s="990" t="e">
        <f t="shared" ca="1" si="0"/>
        <v>#REF!</v>
      </c>
      <c r="O31" s="990" t="e">
        <f t="shared" ca="1" si="0"/>
        <v>#REF!</v>
      </c>
      <c r="P31" s="768"/>
      <c r="Q31" s="1036"/>
      <c r="R31" s="1036"/>
      <c r="S31" s="1036"/>
      <c r="T31" s="1036"/>
    </row>
    <row r="32" spans="1:20">
      <c r="B32" s="768"/>
      <c r="C32" s="768"/>
      <c r="D32" s="768"/>
      <c r="E32" s="768"/>
      <c r="F32" s="768"/>
      <c r="G32" s="768"/>
      <c r="H32" s="768"/>
      <c r="I32" s="768"/>
      <c r="J32" s="768"/>
      <c r="K32" s="768"/>
      <c r="L32" s="768"/>
      <c r="M32" s="768"/>
      <c r="N32" s="768"/>
      <c r="O32" s="768"/>
      <c r="P32" s="768"/>
      <c r="Q32" s="1036"/>
      <c r="R32" s="1036"/>
      <c r="S32" s="1036"/>
      <c r="T32" s="1036"/>
    </row>
    <row r="33" spans="1:21">
      <c r="B33" s="768"/>
      <c r="C33" s="768"/>
      <c r="D33" s="768"/>
      <c r="E33" s="768"/>
      <c r="F33" s="768"/>
      <c r="G33" s="768"/>
      <c r="H33" s="768"/>
      <c r="I33" s="768"/>
      <c r="J33" s="768"/>
      <c r="K33" s="768"/>
      <c r="L33" s="768"/>
      <c r="M33" s="768"/>
      <c r="N33" s="768"/>
      <c r="O33" s="768"/>
      <c r="P33" s="768"/>
      <c r="Q33" s="1036"/>
      <c r="R33" s="1036"/>
      <c r="S33" s="1036"/>
      <c r="T33" s="1036"/>
    </row>
    <row r="34" spans="1:21">
      <c r="Q34" s="1036"/>
      <c r="R34" s="986"/>
      <c r="S34" s="1036"/>
      <c r="T34" s="986"/>
    </row>
    <row r="35" spans="1:21" s="16" customFormat="1" ht="22">
      <c r="A35" s="765"/>
      <c r="B35" s="1344" t="s">
        <v>972</v>
      </c>
      <c r="C35" s="1345"/>
      <c r="D35" s="1345"/>
      <c r="E35" s="1345"/>
      <c r="F35" s="1345"/>
      <c r="G35" s="1345"/>
      <c r="H35" s="1345"/>
      <c r="I35" s="1345"/>
      <c r="J35" s="1345"/>
      <c r="K35" s="1345"/>
      <c r="L35" s="1345"/>
      <c r="M35" s="1345"/>
      <c r="N35" s="1345"/>
      <c r="O35" s="1345"/>
      <c r="P35" s="1345"/>
      <c r="Q35" s="1345"/>
      <c r="R35" s="1614"/>
      <c r="S35" s="1345"/>
      <c r="T35" s="1614"/>
      <c r="U35" s="1346"/>
    </row>
    <row r="36" spans="1:21">
      <c r="B36" s="764"/>
      <c r="C36" s="968"/>
      <c r="D36" s="968"/>
      <c r="E36" s="968"/>
      <c r="F36" s="968"/>
      <c r="G36" s="968"/>
      <c r="H36" s="968"/>
      <c r="I36" s="968"/>
      <c r="J36" s="968"/>
      <c r="K36" s="968"/>
      <c r="L36" s="968"/>
      <c r="M36" s="968"/>
      <c r="N36" s="968"/>
      <c r="O36" s="968"/>
      <c r="P36" s="968"/>
      <c r="Q36" s="968"/>
      <c r="R36" s="968"/>
      <c r="S36" s="1280"/>
      <c r="T36" s="968"/>
      <c r="U36" s="1038"/>
    </row>
    <row r="37" spans="1:21">
      <c r="B37" s="764"/>
      <c r="C37" s="1293" t="s">
        <v>1676</v>
      </c>
      <c r="D37" s="968"/>
      <c r="E37" s="784"/>
      <c r="F37" s="968"/>
      <c r="G37" s="968"/>
      <c r="H37" s="968"/>
      <c r="I37" s="968"/>
      <c r="J37" s="968"/>
      <c r="K37" s="968"/>
      <c r="L37" s="968"/>
      <c r="M37" s="968"/>
      <c r="N37" s="968"/>
      <c r="O37" s="784" t="s">
        <v>661</v>
      </c>
      <c r="P37" s="968"/>
      <c r="Q37" s="968"/>
      <c r="R37" s="968"/>
      <c r="S37" s="1280"/>
      <c r="T37" s="968"/>
      <c r="U37" s="1038"/>
    </row>
    <row r="38" spans="1:21" ht="5.25" customHeight="1">
      <c r="B38" s="764"/>
      <c r="C38" s="968"/>
      <c r="D38" s="968"/>
      <c r="E38" s="968"/>
      <c r="F38" s="968"/>
      <c r="G38" s="968"/>
      <c r="H38" s="968"/>
      <c r="I38" s="968"/>
      <c r="J38" s="968"/>
      <c r="K38" s="968"/>
      <c r="L38" s="968"/>
      <c r="M38" s="968"/>
      <c r="N38" s="968"/>
      <c r="O38" s="968"/>
      <c r="P38" s="968"/>
      <c r="Q38" s="968"/>
      <c r="R38" s="968"/>
      <c r="S38" s="968"/>
      <c r="T38" s="968"/>
      <c r="U38" s="1038"/>
    </row>
    <row r="39" spans="1:21">
      <c r="B39" s="764"/>
      <c r="C39" s="1347" t="s">
        <v>970</v>
      </c>
      <c r="D39" s="1347" t="s">
        <v>74</v>
      </c>
      <c r="E39" s="1347" t="s">
        <v>422</v>
      </c>
      <c r="F39" s="1348">
        <v>2007</v>
      </c>
      <c r="G39" s="1349">
        <v>2010</v>
      </c>
      <c r="H39" s="1348">
        <v>2015</v>
      </c>
      <c r="I39" s="1348">
        <v>2020</v>
      </c>
      <c r="J39" s="1348">
        <v>2025</v>
      </c>
      <c r="K39" s="1348">
        <v>2030</v>
      </c>
      <c r="L39" s="1348">
        <v>2035</v>
      </c>
      <c r="M39" s="1348">
        <v>2040</v>
      </c>
      <c r="N39" s="1348">
        <v>2045</v>
      </c>
      <c r="O39" s="1348">
        <v>2050</v>
      </c>
      <c r="P39" s="968"/>
      <c r="Q39" s="1350"/>
      <c r="R39" s="1350"/>
      <c r="S39" s="1350"/>
      <c r="T39" s="1350"/>
      <c r="U39" s="1038"/>
    </row>
    <row r="40" spans="1:21" ht="15">
      <c r="B40" s="763"/>
      <c r="C40" s="789">
        <v>1</v>
      </c>
      <c r="D40" s="717"/>
      <c r="E40" s="717"/>
      <c r="F40" s="558">
        <v>17.5</v>
      </c>
      <c r="G40" s="564">
        <v>17.807469766942091</v>
      </c>
      <c r="H40" s="558">
        <v>18.33197096332718</v>
      </c>
      <c r="I40" s="558">
        <v>18.871920817416584</v>
      </c>
      <c r="J40" s="558">
        <v>19.427774353958601</v>
      </c>
      <c r="K40" s="558">
        <v>19.999999999999993</v>
      </c>
      <c r="L40" s="558">
        <v>20</v>
      </c>
      <c r="M40" s="558">
        <v>20</v>
      </c>
      <c r="N40" s="558">
        <v>20</v>
      </c>
      <c r="O40" s="558">
        <v>20</v>
      </c>
      <c r="P40" s="968"/>
      <c r="Q40" s="558"/>
      <c r="R40" s="558"/>
      <c r="S40" s="558"/>
      <c r="T40" s="558"/>
      <c r="U40" s="1038"/>
    </row>
    <row r="41" spans="1:21" ht="15">
      <c r="B41" s="763"/>
      <c r="C41" s="789">
        <v>2</v>
      </c>
      <c r="D41" s="717"/>
      <c r="E41" s="717"/>
      <c r="F41" s="558">
        <v>17.5</v>
      </c>
      <c r="G41" s="565">
        <v>17.534428497340517</v>
      </c>
      <c r="H41" s="721">
        <v>17.591959909041584</v>
      </c>
      <c r="I41" s="721">
        <v>17.649680084427359</v>
      </c>
      <c r="J41" s="721">
        <v>17.707589642841736</v>
      </c>
      <c r="K41" s="721">
        <v>17.765689205660706</v>
      </c>
      <c r="L41" s="721">
        <v>17.823979396299034</v>
      </c>
      <c r="M41" s="721">
        <v>17.882460840216947</v>
      </c>
      <c r="N41" s="721">
        <v>17.94113416492684</v>
      </c>
      <c r="O41" s="721">
        <v>18</v>
      </c>
      <c r="P41" s="968"/>
      <c r="Q41" s="721"/>
      <c r="R41" s="721"/>
      <c r="S41" s="721"/>
      <c r="T41" s="721"/>
      <c r="U41" s="1038"/>
    </row>
    <row r="42" spans="1:21" ht="15">
      <c r="B42" s="763"/>
      <c r="C42" s="789">
        <v>3</v>
      </c>
      <c r="D42" s="717"/>
      <c r="E42" s="717"/>
      <c r="F42" s="558">
        <v>17.5</v>
      </c>
      <c r="G42" s="565">
        <v>17.464644003655888</v>
      </c>
      <c r="H42" s="721">
        <v>17.405876007864059</v>
      </c>
      <c r="I42" s="721">
        <v>17.347305764590327</v>
      </c>
      <c r="J42" s="721">
        <v>17.288932608403481</v>
      </c>
      <c r="K42" s="721">
        <v>17.230755876111473</v>
      </c>
      <c r="L42" s="721">
        <v>17.172774906753872</v>
      </c>
      <c r="M42" s="721">
        <v>17.11498904159436</v>
      </c>
      <c r="N42" s="721">
        <v>17.057397624113239</v>
      </c>
      <c r="O42" s="721">
        <v>16.999999999999996</v>
      </c>
      <c r="P42" s="968"/>
      <c r="Q42" s="721"/>
      <c r="R42" s="721"/>
      <c r="S42" s="721"/>
      <c r="T42" s="721"/>
      <c r="U42" s="1038"/>
    </row>
    <row r="43" spans="1:21" ht="15">
      <c r="B43" s="763"/>
      <c r="C43" s="715">
        <v>4</v>
      </c>
      <c r="D43" s="716"/>
      <c r="E43" s="716"/>
      <c r="F43" s="540">
        <v>17.5</v>
      </c>
      <c r="G43" s="566">
        <v>17.390931111470518</v>
      </c>
      <c r="H43" s="567">
        <v>17.210658143332378</v>
      </c>
      <c r="I43" s="567">
        <v>17.032253870023343</v>
      </c>
      <c r="J43" s="567">
        <v>16.855698920805796</v>
      </c>
      <c r="K43" s="567">
        <v>16.680974125737613</v>
      </c>
      <c r="L43" s="567">
        <v>16.50806051359071</v>
      </c>
      <c r="M43" s="567">
        <v>16.336939309791209</v>
      </c>
      <c r="N43" s="567">
        <v>16.167591934380912</v>
      </c>
      <c r="O43" s="567">
        <v>15.999999999999964</v>
      </c>
      <c r="P43" s="968"/>
      <c r="Q43" s="721"/>
      <c r="R43" s="721"/>
      <c r="S43" s="721"/>
      <c r="T43" s="721"/>
      <c r="U43" s="1038"/>
    </row>
    <row r="44" spans="1:21" ht="15">
      <c r="B44" s="763"/>
      <c r="C44" s="1351" t="s">
        <v>936</v>
      </c>
      <c r="D44" s="1352"/>
      <c r="E44" s="1352"/>
      <c r="F44" s="1313">
        <f>(INDEX(F$40:F$43,ROUNDDOWN($E$8,0))*(1-MOD($E$8,1)))+(INDEX(F$40:F$43,ROUNDUP($E$8,0))*MOD($E$8,1))</f>
        <v>17.5</v>
      </c>
      <c r="G44" s="1314">
        <f t="shared" ref="G44:O44" si="1">(INDEX(G$40:G$43,ROUNDDOWN($E$8,0))*(1-MOD($E$8,1)))+(INDEX(G$40:G$43,ROUNDUP($E$8,0))*MOD($E$8,1))</f>
        <v>17.390931111470518</v>
      </c>
      <c r="H44" s="1313">
        <f t="shared" si="1"/>
        <v>17.210658143332378</v>
      </c>
      <c r="I44" s="1313">
        <f t="shared" si="1"/>
        <v>17.032253870023343</v>
      </c>
      <c r="J44" s="1313">
        <f t="shared" si="1"/>
        <v>16.855698920805796</v>
      </c>
      <c r="K44" s="1313">
        <f t="shared" si="1"/>
        <v>16.680974125737613</v>
      </c>
      <c r="L44" s="1313">
        <f t="shared" si="1"/>
        <v>16.50806051359071</v>
      </c>
      <c r="M44" s="1313">
        <f t="shared" si="1"/>
        <v>16.336939309791209</v>
      </c>
      <c r="N44" s="1313">
        <f t="shared" si="1"/>
        <v>16.167591934380912</v>
      </c>
      <c r="O44" s="1313">
        <f t="shared" si="1"/>
        <v>15.999999999999964</v>
      </c>
      <c r="P44" s="968"/>
      <c r="Q44" s="721"/>
      <c r="R44" s="721"/>
      <c r="S44" s="721"/>
      <c r="T44" s="721"/>
      <c r="U44" s="1038"/>
    </row>
    <row r="45" spans="1:21" ht="15">
      <c r="B45" s="763"/>
      <c r="C45" s="789"/>
      <c r="D45" s="717"/>
      <c r="E45" s="717"/>
      <c r="F45" s="558"/>
      <c r="G45" s="1175"/>
      <c r="H45" s="1175"/>
      <c r="I45" s="1175"/>
      <c r="J45" s="1175"/>
      <c r="K45" s="1175"/>
      <c r="L45" s="1175"/>
      <c r="M45" s="1175"/>
      <c r="N45" s="1175"/>
      <c r="O45" s="1175"/>
      <c r="P45" s="968"/>
      <c r="Q45" s="721"/>
      <c r="R45" s="721"/>
      <c r="S45" s="721"/>
      <c r="T45" s="721"/>
      <c r="U45" s="1038"/>
    </row>
    <row r="46" spans="1:21" ht="15">
      <c r="B46" s="763"/>
      <c r="C46" s="1293" t="s">
        <v>1677</v>
      </c>
      <c r="D46" s="968"/>
      <c r="E46" s="784"/>
      <c r="F46" s="968"/>
      <c r="G46" s="968"/>
      <c r="H46" s="968"/>
      <c r="I46" s="968"/>
      <c r="J46" s="968"/>
      <c r="K46" s="968"/>
      <c r="L46" s="968"/>
      <c r="M46" s="968"/>
      <c r="N46" s="968"/>
      <c r="O46" s="784" t="str">
        <f>Preferences.EnergyUnits &amp; " (thermal energy removed)"</f>
        <v>TWh (thermal energy removed)</v>
      </c>
      <c r="P46" s="968"/>
      <c r="Q46" s="721"/>
      <c r="R46" s="721"/>
      <c r="S46" s="721"/>
      <c r="T46" s="721"/>
      <c r="U46" s="1038"/>
    </row>
    <row r="47" spans="1:21" ht="5.25" customHeight="1">
      <c r="B47" s="763"/>
      <c r="C47" s="968"/>
      <c r="D47" s="968"/>
      <c r="E47" s="968"/>
      <c r="F47" s="968"/>
      <c r="G47" s="968"/>
      <c r="H47" s="968"/>
      <c r="I47" s="968"/>
      <c r="J47" s="968"/>
      <c r="K47" s="968"/>
      <c r="L47" s="968"/>
      <c r="M47" s="968"/>
      <c r="N47" s="968"/>
      <c r="O47" s="968"/>
      <c r="P47" s="968"/>
      <c r="Q47" s="968"/>
      <c r="R47" s="968"/>
      <c r="S47" s="968"/>
      <c r="T47" s="968"/>
      <c r="U47" s="1038"/>
    </row>
    <row r="48" spans="1:21" ht="15">
      <c r="B48" s="763"/>
      <c r="C48" s="1347" t="s">
        <v>970</v>
      </c>
      <c r="D48" s="1347" t="s">
        <v>74</v>
      </c>
      <c r="E48" s="1347" t="s">
        <v>422</v>
      </c>
      <c r="F48" s="1348">
        <f>2007</f>
        <v>2007</v>
      </c>
      <c r="G48" s="1348">
        <v>2010</v>
      </c>
      <c r="H48" s="1348">
        <v>2015</v>
      </c>
      <c r="I48" s="1348">
        <v>2020</v>
      </c>
      <c r="J48" s="1348">
        <v>2025</v>
      </c>
      <c r="K48" s="1348">
        <v>2030</v>
      </c>
      <c r="L48" s="1348">
        <v>2035</v>
      </c>
      <c r="M48" s="1348">
        <v>2040</v>
      </c>
      <c r="N48" s="1348">
        <v>2045</v>
      </c>
      <c r="O48" s="1348">
        <v>2050</v>
      </c>
      <c r="P48" s="968"/>
      <c r="Q48" s="1350"/>
      <c r="R48" s="1350"/>
      <c r="S48" s="1350"/>
      <c r="T48" s="1350"/>
      <c r="U48" s="1038"/>
    </row>
    <row r="49" spans="2:27" ht="15">
      <c r="B49" s="763"/>
      <c r="C49" s="789">
        <v>1</v>
      </c>
      <c r="D49" s="717"/>
      <c r="E49" s="717"/>
      <c r="F49" s="558">
        <f>(Unit.TWh)*0</f>
        <v>0</v>
      </c>
      <c r="G49" s="564">
        <f>(Unit.TWh)*1.08</f>
        <v>1.08</v>
      </c>
      <c r="H49" s="558">
        <f>(Unit.TWh)*3.37</f>
        <v>3.37</v>
      </c>
      <c r="I49" s="558">
        <f>(Unit.TWh)*6.4</f>
        <v>6.4</v>
      </c>
      <c r="J49" s="558">
        <f>(Unit.TWh)*10.25</f>
        <v>10.25</v>
      </c>
      <c r="K49" s="558">
        <f>(Unit.TWh)*15.05</f>
        <v>15.05</v>
      </c>
      <c r="L49" s="558">
        <f>(Unit.TWh)*21.13</f>
        <v>21.13</v>
      </c>
      <c r="M49" s="558">
        <f>(Unit.TWh)*28.7</f>
        <v>28.7</v>
      </c>
      <c r="N49" s="558">
        <f>(Unit.TWh)*38.02</f>
        <v>38.020000000000003</v>
      </c>
      <c r="O49" s="558">
        <f>(Unit.TWh)*49.73</f>
        <v>49.73</v>
      </c>
      <c r="P49" s="968"/>
      <c r="Q49" s="558"/>
      <c r="R49" s="558"/>
      <c r="S49" s="558"/>
      <c r="T49" s="558"/>
      <c r="U49" s="1038"/>
    </row>
    <row r="50" spans="2:27" ht="15">
      <c r="B50" s="763"/>
      <c r="C50" s="789">
        <v>2</v>
      </c>
      <c r="D50" s="717"/>
      <c r="E50" s="717"/>
      <c r="F50" s="558">
        <f>(Unit.TWh)*0</f>
        <v>0</v>
      </c>
      <c r="G50" s="565">
        <f>(Unit.TWh)*0.71</f>
        <v>0.71</v>
      </c>
      <c r="H50" s="721">
        <f>(Unit.TWh)*2.23</f>
        <v>2.23</v>
      </c>
      <c r="I50" s="721">
        <f>(Unit.TWh)*4.25</f>
        <v>4.25</v>
      </c>
      <c r="J50" s="721">
        <f>(Unit.TWh)*6.75</f>
        <v>6.75</v>
      </c>
      <c r="K50" s="721">
        <f>(Unit.TWh)*9.78</f>
        <v>9.7799999999999994</v>
      </c>
      <c r="L50" s="721">
        <f>(Unit.TWh)*13.58</f>
        <v>13.58</v>
      </c>
      <c r="M50" s="721">
        <f>(Unit.TWh)*18.24</f>
        <v>18.239999999999998</v>
      </c>
      <c r="N50" s="721">
        <f>(Unit.TWh)*23.88</f>
        <v>23.88</v>
      </c>
      <c r="O50" s="721">
        <f>(Unit.TWh)*30.64</f>
        <v>30.64</v>
      </c>
      <c r="P50" s="968"/>
      <c r="Q50" s="721"/>
      <c r="R50" s="721"/>
      <c r="S50" s="721"/>
      <c r="T50" s="721"/>
      <c r="U50" s="1038"/>
    </row>
    <row r="51" spans="2:27" ht="15">
      <c r="B51" s="763"/>
      <c r="C51" s="789">
        <v>3</v>
      </c>
      <c r="D51" s="717"/>
      <c r="E51" s="717"/>
      <c r="F51" s="558">
        <f>(Unit.TWh)*0</f>
        <v>0</v>
      </c>
      <c r="G51" s="565">
        <f>(Unit.TWh)*0.34</f>
        <v>0.34</v>
      </c>
      <c r="H51" s="721">
        <f>(Unit.TWh)*1.08</f>
        <v>1.08</v>
      </c>
      <c r="I51" s="721">
        <f>(Unit.TWh)*2.02</f>
        <v>2.02</v>
      </c>
      <c r="J51" s="721">
        <f>(Unit.TWh)*3.17</f>
        <v>3.17</v>
      </c>
      <c r="K51" s="721">
        <f>(Unit.TWh)*4.56</f>
        <v>4.5599999999999996</v>
      </c>
      <c r="L51" s="721">
        <f>(Unit.TWh)*6.3</f>
        <v>6.3</v>
      </c>
      <c r="M51" s="721">
        <f>(Unit.TWh)*8.41</f>
        <v>8.41</v>
      </c>
      <c r="N51" s="721">
        <f>(Unit.TWh)*10.76</f>
        <v>10.76</v>
      </c>
      <c r="O51" s="721">
        <f>(Unit.TWh)*13.51</f>
        <v>13.51</v>
      </c>
      <c r="P51" s="968"/>
      <c r="Q51" s="721"/>
      <c r="R51" s="721"/>
      <c r="S51" s="721"/>
      <c r="T51" s="721"/>
      <c r="U51" s="1038"/>
    </row>
    <row r="52" spans="2:27" ht="15">
      <c r="B52" s="763"/>
      <c r="C52" s="715">
        <v>4</v>
      </c>
      <c r="D52" s="716"/>
      <c r="E52" s="716"/>
      <c r="F52" s="540">
        <f>(Unit.TWh)*0</f>
        <v>0</v>
      </c>
      <c r="G52" s="566">
        <f t="shared" ref="G52:O52" si="2">(Unit.TWh)*0</f>
        <v>0</v>
      </c>
      <c r="H52" s="567">
        <f t="shared" si="2"/>
        <v>0</v>
      </c>
      <c r="I52" s="567">
        <f t="shared" si="2"/>
        <v>0</v>
      </c>
      <c r="J52" s="567">
        <f t="shared" si="2"/>
        <v>0</v>
      </c>
      <c r="K52" s="567">
        <f t="shared" si="2"/>
        <v>0</v>
      </c>
      <c r="L52" s="567">
        <f t="shared" si="2"/>
        <v>0</v>
      </c>
      <c r="M52" s="567">
        <f t="shared" si="2"/>
        <v>0</v>
      </c>
      <c r="N52" s="567">
        <f t="shared" si="2"/>
        <v>0</v>
      </c>
      <c r="O52" s="567">
        <f t="shared" si="2"/>
        <v>0</v>
      </c>
      <c r="P52" s="968"/>
      <c r="Q52" s="721"/>
      <c r="R52" s="721"/>
      <c r="S52" s="721"/>
      <c r="T52" s="721"/>
      <c r="U52" s="1038"/>
    </row>
    <row r="53" spans="2:27" ht="15">
      <c r="B53" s="763"/>
      <c r="C53" s="1351" t="s">
        <v>936</v>
      </c>
      <c r="D53" s="1352"/>
      <c r="E53" s="1352"/>
      <c r="F53" s="1313">
        <f>(INDEX(F$49:F$52,ROUNDDOWN($E$8,0))*(1-MOD($E$8,1)))+(INDEX(F$49:F$52,ROUNDUP($E$8,0))*MOD($E$8,1))</f>
        <v>0</v>
      </c>
      <c r="G53" s="1314">
        <f t="shared" ref="G53:O53" si="3">(INDEX(G$49:G$52,ROUNDDOWN($E$8,0))*(1-MOD($E$8,1)))+(INDEX(G$49:G$52,ROUNDUP($E$8,0))*MOD($E$8,1))</f>
        <v>0</v>
      </c>
      <c r="H53" s="1313">
        <f t="shared" si="3"/>
        <v>0</v>
      </c>
      <c r="I53" s="1313">
        <f t="shared" si="3"/>
        <v>0</v>
      </c>
      <c r="J53" s="1313">
        <f t="shared" si="3"/>
        <v>0</v>
      </c>
      <c r="K53" s="1313">
        <f t="shared" si="3"/>
        <v>0</v>
      </c>
      <c r="L53" s="1313">
        <f t="shared" si="3"/>
        <v>0</v>
      </c>
      <c r="M53" s="1313">
        <f t="shared" si="3"/>
        <v>0</v>
      </c>
      <c r="N53" s="1313">
        <f t="shared" si="3"/>
        <v>0</v>
      </c>
      <c r="O53" s="1313">
        <f t="shared" si="3"/>
        <v>0</v>
      </c>
      <c r="P53" s="968"/>
      <c r="Q53" s="721"/>
      <c r="R53" s="721"/>
      <c r="S53" s="721"/>
      <c r="T53" s="721"/>
      <c r="U53" s="1038"/>
    </row>
    <row r="54" spans="2:27" ht="15">
      <c r="B54" s="763"/>
      <c r="C54" s="789"/>
      <c r="D54" s="717"/>
      <c r="E54" s="717"/>
      <c r="F54" s="558"/>
      <c r="G54" s="721"/>
      <c r="H54" s="721"/>
      <c r="I54" s="721"/>
      <c r="J54" s="721"/>
      <c r="K54" s="721"/>
      <c r="L54" s="721"/>
      <c r="M54" s="721"/>
      <c r="N54" s="721"/>
      <c r="O54" s="721"/>
      <c r="P54" s="968"/>
      <c r="Q54" s="721"/>
      <c r="R54" s="721"/>
      <c r="S54" s="721"/>
      <c r="T54" s="721"/>
      <c r="U54" s="1038"/>
    </row>
    <row r="55" spans="2:27" ht="15">
      <c r="B55" s="763"/>
      <c r="C55" s="1293" t="s">
        <v>1678</v>
      </c>
      <c r="D55" s="968"/>
      <c r="E55" s="784"/>
      <c r="F55" s="968"/>
      <c r="G55" s="968"/>
      <c r="H55" s="968"/>
      <c r="I55" s="968"/>
      <c r="J55" s="968"/>
      <c r="K55" s="968"/>
      <c r="L55" s="968"/>
      <c r="M55" s="968"/>
      <c r="N55" s="968"/>
      <c r="O55" s="784" t="str">
        <f>Preferences.EnergyUnits&amp;"/household"</f>
        <v>TWh/household</v>
      </c>
      <c r="P55" s="968"/>
      <c r="Q55" s="968"/>
      <c r="R55" s="968"/>
      <c r="S55" s="968"/>
      <c r="T55" s="968"/>
      <c r="U55" s="1038"/>
    </row>
    <row r="56" spans="2:27" ht="4.5" customHeight="1">
      <c r="B56" s="763"/>
      <c r="C56" s="968"/>
      <c r="D56" s="968"/>
      <c r="E56" s="968"/>
      <c r="F56" s="968"/>
      <c r="G56" s="968"/>
      <c r="H56" s="968"/>
      <c r="I56" s="968"/>
      <c r="J56" s="968"/>
      <c r="K56" s="968"/>
      <c r="L56" s="968"/>
      <c r="M56" s="968"/>
      <c r="N56" s="968"/>
      <c r="O56" s="968"/>
      <c r="P56" s="968"/>
      <c r="Q56" s="968"/>
      <c r="R56" s="968"/>
      <c r="S56" s="968"/>
      <c r="T56" s="968"/>
      <c r="U56" s="1038"/>
    </row>
    <row r="57" spans="2:27" ht="15">
      <c r="B57" s="763"/>
      <c r="C57" s="1347" t="s">
        <v>970</v>
      </c>
      <c r="D57" s="1353" t="s">
        <v>924</v>
      </c>
      <c r="E57" s="1347"/>
      <c r="F57" s="1348">
        <v>2007</v>
      </c>
      <c r="G57" s="1349">
        <v>2010</v>
      </c>
      <c r="H57" s="1348">
        <v>2015</v>
      </c>
      <c r="I57" s="1348">
        <v>2020</v>
      </c>
      <c r="J57" s="1348">
        <v>2025</v>
      </c>
      <c r="K57" s="1348">
        <v>2030</v>
      </c>
      <c r="L57" s="1348">
        <v>2035</v>
      </c>
      <c r="M57" s="1348">
        <v>2040</v>
      </c>
      <c r="N57" s="1348">
        <v>2045</v>
      </c>
      <c r="O57" s="1348">
        <v>2050</v>
      </c>
      <c r="P57" s="968"/>
      <c r="Q57" s="1350"/>
      <c r="R57" s="1350"/>
      <c r="S57" s="1350"/>
      <c r="T57" s="1350"/>
      <c r="U57" s="1038"/>
    </row>
    <row r="58" spans="2:27" ht="15">
      <c r="B58" s="763"/>
      <c r="C58" s="789">
        <v>1</v>
      </c>
      <c r="D58" s="938">
        <v>9.4999999999999998E-3</v>
      </c>
      <c r="E58" s="1354"/>
      <c r="F58" s="594">
        <f>(Unit.TWh)*0.00000404</f>
        <v>4.0400000000000003E-6</v>
      </c>
      <c r="G58" s="589">
        <f t="shared" ref="G58:O58" si="4">F58*(1+$D58)^(G$57-F$57)</f>
        <v>4.1562372937950012E-6</v>
      </c>
      <c r="H58" s="594">
        <f t="shared" si="4"/>
        <v>4.3574453735330769E-6</v>
      </c>
      <c r="I58" s="594">
        <f t="shared" si="4"/>
        <v>4.5683941606682795E-6</v>
      </c>
      <c r="J58" s="594">
        <f t="shared" si="4"/>
        <v>4.789555213702236E-6</v>
      </c>
      <c r="K58" s="594">
        <f t="shared" si="4"/>
        <v>5.0214229198092126E-6</v>
      </c>
      <c r="L58" s="594">
        <f t="shared" si="4"/>
        <v>5.2645155999976037E-6</v>
      </c>
      <c r="M58" s="594">
        <f t="shared" si="4"/>
        <v>5.5193766677735158E-6</v>
      </c>
      <c r="N58" s="594">
        <f t="shared" si="4"/>
        <v>5.7865758438965483E-6</v>
      </c>
      <c r="O58" s="959">
        <f t="shared" si="4"/>
        <v>6.0667104299432579E-6</v>
      </c>
      <c r="P58" s="968"/>
      <c r="Q58" s="594"/>
      <c r="R58" s="594"/>
      <c r="S58" s="594"/>
      <c r="T58" s="594"/>
      <c r="U58" s="968"/>
    </row>
    <row r="59" spans="2:27" ht="15">
      <c r="B59" s="763"/>
      <c r="C59" s="789">
        <v>2</v>
      </c>
      <c r="D59" s="938">
        <v>0</v>
      </c>
      <c r="E59" s="1355"/>
      <c r="F59" s="594">
        <f>(Unit.TWh)*0.00000404</f>
        <v>4.0400000000000003E-6</v>
      </c>
      <c r="G59" s="590">
        <f t="shared" ref="G59:O59" si="5">F59*(1+$D59)^(G$57-F$57)</f>
        <v>4.0400000000000003E-6</v>
      </c>
      <c r="H59" s="595">
        <f t="shared" si="5"/>
        <v>4.0400000000000003E-6</v>
      </c>
      <c r="I59" s="595">
        <f t="shared" si="5"/>
        <v>4.0400000000000003E-6</v>
      </c>
      <c r="J59" s="595">
        <f t="shared" si="5"/>
        <v>4.0400000000000003E-6</v>
      </c>
      <c r="K59" s="595">
        <f t="shared" si="5"/>
        <v>4.0400000000000003E-6</v>
      </c>
      <c r="L59" s="595">
        <f t="shared" si="5"/>
        <v>4.0400000000000003E-6</v>
      </c>
      <c r="M59" s="595">
        <f t="shared" si="5"/>
        <v>4.0400000000000003E-6</v>
      </c>
      <c r="N59" s="595">
        <f t="shared" si="5"/>
        <v>4.0400000000000003E-6</v>
      </c>
      <c r="O59" s="960">
        <f t="shared" si="5"/>
        <v>4.0400000000000003E-6</v>
      </c>
      <c r="P59" s="968"/>
      <c r="Q59" s="595"/>
      <c r="R59" s="595"/>
      <c r="S59" s="595"/>
      <c r="T59" s="595"/>
      <c r="U59" s="968"/>
    </row>
    <row r="60" spans="2:27" ht="15">
      <c r="B60" s="763"/>
      <c r="C60" s="789">
        <v>3</v>
      </c>
      <c r="D60" s="938">
        <v>-6.7000000000000002E-3</v>
      </c>
      <c r="E60" s="1354"/>
      <c r="F60" s="594">
        <f>(Unit.TWh)*0.00000404</f>
        <v>4.0400000000000003E-6</v>
      </c>
      <c r="G60" s="590">
        <f t="shared" ref="G60:O60" si="6">F60*(1+$D60)^(G$57-F$57)</f>
        <v>3.9593388517174792E-6</v>
      </c>
      <c r="H60" s="595">
        <f t="shared" si="6"/>
        <v>3.8284664790082703E-6</v>
      </c>
      <c r="I60" s="595">
        <f t="shared" si="6"/>
        <v>3.7019199744755394E-6</v>
      </c>
      <c r="J60" s="595">
        <f t="shared" si="6"/>
        <v>3.5795563504505155E-6</v>
      </c>
      <c r="K60" s="595">
        <f t="shared" si="6"/>
        <v>3.4612373455927814E-6</v>
      </c>
      <c r="L60" s="595">
        <f t="shared" si="6"/>
        <v>3.3468292686657566E-6</v>
      </c>
      <c r="M60" s="595">
        <f t="shared" si="6"/>
        <v>3.2362028474760383E-6</v>
      </c>
      <c r="N60" s="595">
        <f t="shared" si="6"/>
        <v>3.1292330828059171E-6</v>
      </c>
      <c r="O60" s="960">
        <f t="shared" si="6"/>
        <v>3.0257991071740218E-6</v>
      </c>
      <c r="P60" s="968"/>
      <c r="Q60" s="595"/>
      <c r="R60" s="595"/>
      <c r="S60" s="595"/>
      <c r="T60" s="595"/>
      <c r="U60" s="968"/>
    </row>
    <row r="61" spans="2:27" ht="15">
      <c r="B61" s="763"/>
      <c r="C61" s="715">
        <v>4</v>
      </c>
      <c r="D61" s="939">
        <v>-1.6E-2</v>
      </c>
      <c r="E61" s="716"/>
      <c r="F61" s="591">
        <f>(Unit.TWh)*0.00000404</f>
        <v>4.0400000000000003E-6</v>
      </c>
      <c r="G61" s="592">
        <f t="shared" ref="G61:O61" si="7">F61*(1+$D61)^(G$57-F$57)</f>
        <v>3.8491661721600003E-6</v>
      </c>
      <c r="H61" s="593">
        <f t="shared" si="7"/>
        <v>3.5509303392001461E-6</v>
      </c>
      <c r="I61" s="593">
        <f t="shared" si="7"/>
        <v>3.2758020074712263E-6</v>
      </c>
      <c r="J61" s="593">
        <f t="shared" si="7"/>
        <v>3.0219907931423028E-6</v>
      </c>
      <c r="K61" s="593">
        <f t="shared" si="7"/>
        <v>2.7878450324556318E-6</v>
      </c>
      <c r="L61" s="593">
        <f t="shared" si="7"/>
        <v>2.5718410336075312E-6</v>
      </c>
      <c r="M61" s="593">
        <f t="shared" si="7"/>
        <v>2.3725731614003263E-6</v>
      </c>
      <c r="N61" s="593">
        <f t="shared" si="7"/>
        <v>2.1887446901417442E-6</v>
      </c>
      <c r="O61" s="1182">
        <f t="shared" si="7"/>
        <v>2.019159365267454E-6</v>
      </c>
      <c r="P61" s="968"/>
      <c r="Q61" s="595"/>
      <c r="R61" s="595"/>
      <c r="S61" s="595"/>
      <c r="T61" s="595"/>
      <c r="U61" s="968"/>
    </row>
    <row r="62" spans="2:27" ht="15">
      <c r="B62" s="763"/>
      <c r="C62" s="1351" t="s">
        <v>936</v>
      </c>
      <c r="D62" s="1352"/>
      <c r="E62" s="1352"/>
      <c r="F62" s="1313">
        <f t="shared" ref="F62:O62" si="8">(INDEX(F$58:F$61,ROUNDDOWN($E$8,0))*(1-MOD($E$8,1)))+(INDEX(F$58:F$61,ROUNDUP($E$8,0))*MOD($E$8,1))</f>
        <v>4.0400000000000003E-6</v>
      </c>
      <c r="G62" s="1314">
        <f t="shared" si="8"/>
        <v>3.8491661721600003E-6</v>
      </c>
      <c r="H62" s="1313">
        <f t="shared" si="8"/>
        <v>3.5509303392001461E-6</v>
      </c>
      <c r="I62" s="1313">
        <f t="shared" si="8"/>
        <v>3.2758020074712263E-6</v>
      </c>
      <c r="J62" s="1313">
        <f t="shared" si="8"/>
        <v>3.0219907931423028E-6</v>
      </c>
      <c r="K62" s="1313">
        <f t="shared" si="8"/>
        <v>2.7878450324556318E-6</v>
      </c>
      <c r="L62" s="1313">
        <f t="shared" si="8"/>
        <v>2.5718410336075312E-6</v>
      </c>
      <c r="M62" s="1313">
        <f t="shared" si="8"/>
        <v>2.3725731614003263E-6</v>
      </c>
      <c r="N62" s="1313">
        <f t="shared" si="8"/>
        <v>2.1887446901417442E-6</v>
      </c>
      <c r="O62" s="1313">
        <f t="shared" si="8"/>
        <v>2.019159365267454E-6</v>
      </c>
      <c r="P62" s="968"/>
      <c r="Q62" s="721"/>
      <c r="R62" s="721"/>
      <c r="S62" s="721"/>
      <c r="T62" s="721"/>
      <c r="U62" s="968"/>
    </row>
    <row r="63" spans="2:27" ht="15">
      <c r="B63" s="763"/>
      <c r="C63" s="789"/>
      <c r="D63" s="717"/>
      <c r="E63" s="717"/>
      <c r="F63" s="558"/>
      <c r="G63" s="1175"/>
      <c r="H63" s="1175"/>
      <c r="I63" s="1175"/>
      <c r="J63" s="1175"/>
      <c r="K63" s="1175"/>
      <c r="L63" s="1175"/>
      <c r="M63" s="1175"/>
      <c r="N63" s="1175"/>
      <c r="O63" s="1175"/>
      <c r="P63" s="968"/>
      <c r="Q63" s="1324"/>
      <c r="R63" s="1324"/>
      <c r="S63" s="1324"/>
      <c r="T63" s="1324"/>
      <c r="U63" s="1324"/>
      <c r="AA63" s="1261"/>
    </row>
    <row r="64" spans="2:27" ht="15">
      <c r="B64" s="763"/>
      <c r="C64" s="1293" t="s">
        <v>923</v>
      </c>
      <c r="D64" s="968"/>
      <c r="E64" s="784"/>
      <c r="F64" s="968"/>
      <c r="G64" s="968"/>
      <c r="H64" s="968"/>
      <c r="I64" s="968"/>
      <c r="J64" s="968"/>
      <c r="K64" s="968"/>
      <c r="L64" s="968"/>
      <c r="M64" s="968"/>
      <c r="N64" s="968"/>
      <c r="O64" s="784" t="s">
        <v>667</v>
      </c>
      <c r="P64" s="968"/>
      <c r="Q64" s="968"/>
      <c r="R64" s="968"/>
      <c r="S64" s="968"/>
      <c r="T64" s="968"/>
      <c r="U64" s="1038"/>
    </row>
    <row r="65" spans="2:27" ht="5.25" customHeight="1">
      <c r="B65" s="763"/>
      <c r="C65" s="968"/>
      <c r="D65" s="968"/>
      <c r="E65" s="968"/>
      <c r="F65" s="968"/>
      <c r="G65" s="968"/>
      <c r="H65" s="968"/>
      <c r="I65" s="968"/>
      <c r="J65" s="968"/>
      <c r="K65" s="968"/>
      <c r="L65" s="968"/>
      <c r="M65" s="968"/>
      <c r="N65" s="968"/>
      <c r="O65" s="968"/>
      <c r="P65" s="968"/>
      <c r="Q65" s="968"/>
      <c r="R65" s="968"/>
      <c r="S65" s="968"/>
      <c r="T65" s="968"/>
      <c r="U65" s="1038"/>
    </row>
    <row r="66" spans="2:27" ht="15">
      <c r="B66" s="763"/>
      <c r="C66" s="1347" t="s">
        <v>970</v>
      </c>
      <c r="D66" s="1347" t="s">
        <v>74</v>
      </c>
      <c r="E66" s="1347" t="s">
        <v>422</v>
      </c>
      <c r="F66" s="1348">
        <v>2007</v>
      </c>
      <c r="G66" s="1349">
        <v>2010</v>
      </c>
      <c r="H66" s="1348">
        <v>2015</v>
      </c>
      <c r="I66" s="1348">
        <v>2020</v>
      </c>
      <c r="J66" s="1348">
        <v>2025</v>
      </c>
      <c r="K66" s="1348">
        <v>2030</v>
      </c>
      <c r="L66" s="1348">
        <v>2035</v>
      </c>
      <c r="M66" s="1348">
        <v>2040</v>
      </c>
      <c r="N66" s="1348">
        <v>2045</v>
      </c>
      <c r="O66" s="1348">
        <v>2050</v>
      </c>
      <c r="P66" s="968"/>
      <c r="Q66" s="1350"/>
      <c r="R66" s="1350"/>
      <c r="S66" s="1350"/>
      <c r="T66" s="1350"/>
      <c r="U66" s="1038"/>
    </row>
    <row r="67" spans="2:27" ht="15">
      <c r="B67" s="763"/>
      <c r="C67" s="789">
        <v>1</v>
      </c>
      <c r="D67" s="717"/>
      <c r="E67" s="717"/>
      <c r="F67" s="582">
        <v>246.8</v>
      </c>
      <c r="G67" s="1013">
        <v>232.91946452443261</v>
      </c>
      <c r="H67" s="1011">
        <v>223.18858047872828</v>
      </c>
      <c r="I67" s="1011">
        <v>217.20268600363826</v>
      </c>
      <c r="J67" s="1011">
        <v>211.40533175966439</v>
      </c>
      <c r="K67" s="1011">
        <v>205.80903538981411</v>
      </c>
      <c r="L67" s="1011">
        <v>200.42416184370828</v>
      </c>
      <c r="M67" s="1011">
        <v>195.25890542752038</v>
      </c>
      <c r="N67" s="1011">
        <v>190.48069350357281</v>
      </c>
      <c r="O67" s="1011">
        <v>186.1280254822766</v>
      </c>
      <c r="P67" s="968"/>
      <c r="Q67" s="558"/>
      <c r="R67" s="558"/>
      <c r="S67" s="558"/>
      <c r="T67" s="558"/>
      <c r="U67" s="1038"/>
      <c r="X67" s="1036"/>
      <c r="Y67" s="1036"/>
      <c r="Z67" s="1036"/>
      <c r="AA67" s="1036"/>
    </row>
    <row r="68" spans="2:27" ht="15">
      <c r="B68" s="763"/>
      <c r="C68" s="789">
        <v>2</v>
      </c>
      <c r="D68" s="717"/>
      <c r="E68" s="717"/>
      <c r="F68" s="582">
        <v>246.8</v>
      </c>
      <c r="G68" s="579">
        <v>230.09213145937301</v>
      </c>
      <c r="H68" s="582">
        <v>213.62430671629201</v>
      </c>
      <c r="I68" s="582">
        <v>200.9602593887422</v>
      </c>
      <c r="J68" s="582">
        <v>192.10780984991348</v>
      </c>
      <c r="K68" s="582">
        <v>185.30666308234677</v>
      </c>
      <c r="L68" s="582">
        <v>179.81072389865994</v>
      </c>
      <c r="M68" s="582">
        <v>174.54184826508376</v>
      </c>
      <c r="N68" s="582">
        <v>169.50627521999087</v>
      </c>
      <c r="O68" s="582">
        <v>164.72540602597195</v>
      </c>
      <c r="P68" s="968"/>
      <c r="Q68" s="558"/>
      <c r="R68" s="558"/>
      <c r="S68" s="558"/>
      <c r="T68" s="558"/>
      <c r="U68" s="1038"/>
      <c r="X68" s="1036"/>
      <c r="Y68" s="1036"/>
      <c r="Z68" s="1036"/>
      <c r="AA68" s="1036"/>
    </row>
    <row r="69" spans="2:27" ht="15">
      <c r="B69" s="763"/>
      <c r="C69" s="789">
        <v>3</v>
      </c>
      <c r="D69" s="717"/>
      <c r="E69" s="717"/>
      <c r="F69" s="582">
        <v>246.8</v>
      </c>
      <c r="G69" s="579">
        <v>228.30283819197385</v>
      </c>
      <c r="H69" s="582">
        <v>203.47018693933961</v>
      </c>
      <c r="I69" s="582">
        <v>187.83847322273348</v>
      </c>
      <c r="J69" s="582">
        <v>178.01681076620719</v>
      </c>
      <c r="K69" s="582">
        <v>168.82477209324509</v>
      </c>
      <c r="L69" s="582">
        <v>160.25849106562734</v>
      </c>
      <c r="M69" s="582">
        <v>152.30950876279709</v>
      </c>
      <c r="N69" s="582">
        <v>147.14544840036086</v>
      </c>
      <c r="O69" s="582">
        <v>143.04746726044874</v>
      </c>
      <c r="P69" s="968"/>
      <c r="Q69" s="558"/>
      <c r="R69" s="558"/>
      <c r="S69" s="558"/>
      <c r="T69" s="558"/>
      <c r="U69" s="1038"/>
      <c r="X69" s="1036"/>
      <c r="Y69" s="1036"/>
      <c r="Z69" s="1036"/>
      <c r="AA69" s="1036"/>
    </row>
    <row r="70" spans="2:27" ht="15">
      <c r="B70" s="763"/>
      <c r="C70" s="715">
        <v>4</v>
      </c>
      <c r="D70" s="716"/>
      <c r="E70" s="716"/>
      <c r="F70" s="1010">
        <v>246.8</v>
      </c>
      <c r="G70" s="1014">
        <v>225.19898830907448</v>
      </c>
      <c r="H70" s="1012">
        <v>194.19813453916186</v>
      </c>
      <c r="I70" s="1012">
        <v>170.50265383586662</v>
      </c>
      <c r="J70" s="1012">
        <v>158.40812277626478</v>
      </c>
      <c r="K70" s="1012">
        <v>147.17216068306979</v>
      </c>
      <c r="L70" s="1012">
        <v>136.78445042817398</v>
      </c>
      <c r="M70" s="1012">
        <v>127.45070592362013</v>
      </c>
      <c r="N70" s="1012">
        <v>122.78230401508345</v>
      </c>
      <c r="O70" s="1012">
        <v>118.5127476367219</v>
      </c>
      <c r="P70" s="968"/>
      <c r="Q70" s="558"/>
      <c r="R70" s="558"/>
      <c r="S70" s="558"/>
      <c r="T70" s="558"/>
      <c r="U70" s="1038"/>
      <c r="X70" s="1036"/>
      <c r="Y70" s="1036"/>
      <c r="Z70" s="1036"/>
      <c r="AA70" s="1036"/>
    </row>
    <row r="71" spans="2:27" ht="15">
      <c r="B71" s="763"/>
      <c r="C71" s="1351" t="s">
        <v>936</v>
      </c>
      <c r="D71" s="1352"/>
      <c r="E71" s="1352"/>
      <c r="F71" s="1326">
        <f>(INDEX(F$67:F$70,ROUNDDOWN($E$9,0))*(1-MOD($E$9,1)))+(INDEX(F$67:F$70,ROUNDUP($E$9,0))*MOD($E$9,1))</f>
        <v>246.8</v>
      </c>
      <c r="G71" s="1327">
        <f t="shared" ref="G71:O71" si="9">(INDEX(G$67:G$70,ROUNDDOWN($E$9,0))*(1-MOD($E$9,1)))+(INDEX(G$67:G$70,ROUNDUP($E$9,0))*MOD($E$9,1))</f>
        <v>228.30283819197385</v>
      </c>
      <c r="H71" s="1326">
        <f t="shared" si="9"/>
        <v>203.47018693933961</v>
      </c>
      <c r="I71" s="1326">
        <f t="shared" si="9"/>
        <v>187.83847322273348</v>
      </c>
      <c r="J71" s="1326">
        <f t="shared" si="9"/>
        <v>178.01681076620719</v>
      </c>
      <c r="K71" s="1326">
        <f t="shared" si="9"/>
        <v>168.82477209324509</v>
      </c>
      <c r="L71" s="1326">
        <f t="shared" si="9"/>
        <v>160.25849106562734</v>
      </c>
      <c r="M71" s="1326">
        <f t="shared" si="9"/>
        <v>152.30950876279709</v>
      </c>
      <c r="N71" s="1326">
        <f t="shared" si="9"/>
        <v>147.14544840036086</v>
      </c>
      <c r="O71" s="1326">
        <f t="shared" si="9"/>
        <v>143.04746726044874</v>
      </c>
      <c r="P71" s="968"/>
      <c r="Q71" s="721"/>
      <c r="R71" s="721"/>
      <c r="S71" s="721"/>
      <c r="T71" s="721"/>
      <c r="U71" s="1038"/>
      <c r="X71" s="1036"/>
      <c r="Y71" s="1036"/>
      <c r="Z71" s="1036"/>
      <c r="AA71" s="1036"/>
    </row>
    <row r="72" spans="2:27" ht="15">
      <c r="B72" s="763"/>
      <c r="C72" s="789"/>
      <c r="D72" s="717"/>
      <c r="E72" s="717"/>
      <c r="F72" s="558"/>
      <c r="G72" s="1175"/>
      <c r="H72" s="1175"/>
      <c r="I72" s="1175"/>
      <c r="J72" s="1175"/>
      <c r="K72" s="1175"/>
      <c r="L72" s="1175"/>
      <c r="M72" s="1175"/>
      <c r="N72" s="1175"/>
      <c r="O72" s="1175"/>
      <c r="P72" s="968"/>
      <c r="Q72" s="1175"/>
      <c r="R72" s="1175"/>
      <c r="S72" s="1175"/>
      <c r="T72" s="1175"/>
      <c r="U72" s="1038"/>
      <c r="X72" s="986"/>
      <c r="Y72" s="986"/>
      <c r="Z72" s="1036"/>
      <c r="AA72" s="1036"/>
    </row>
    <row r="73" spans="2:27" ht="15">
      <c r="B73" s="763"/>
      <c r="C73" s="571" t="s">
        <v>1679</v>
      </c>
      <c r="D73" s="717"/>
      <c r="E73" s="1017"/>
      <c r="F73" s="558"/>
      <c r="G73" s="1175"/>
      <c r="H73" s="1175"/>
      <c r="I73" s="1175"/>
      <c r="J73" s="1175"/>
      <c r="K73" s="1175"/>
      <c r="L73" s="1175"/>
      <c r="M73" s="1175"/>
      <c r="N73" s="1175"/>
      <c r="O73" s="1017"/>
      <c r="P73" s="1017"/>
      <c r="Q73" s="1017"/>
      <c r="R73" s="1017"/>
      <c r="S73" s="1017"/>
      <c r="T73" s="1017" t="s">
        <v>668</v>
      </c>
      <c r="U73" s="1356"/>
      <c r="X73" s="1036"/>
      <c r="Y73" s="1036"/>
      <c r="Z73" s="1036"/>
      <c r="AA73" s="1036"/>
    </row>
    <row r="74" spans="2:27" ht="5.25" customHeight="1">
      <c r="B74" s="763"/>
      <c r="C74" s="789"/>
      <c r="D74" s="717"/>
      <c r="E74" s="717"/>
      <c r="F74" s="558"/>
      <c r="G74" s="1175"/>
      <c r="H74" s="1175"/>
      <c r="I74" s="1175"/>
      <c r="J74" s="1175"/>
      <c r="K74" s="1175"/>
      <c r="L74" s="1175"/>
      <c r="M74" s="1175"/>
      <c r="N74" s="1175"/>
      <c r="O74" s="1175"/>
      <c r="P74" s="1175"/>
      <c r="Q74" s="1175"/>
      <c r="R74" s="1175"/>
      <c r="S74" s="1175"/>
      <c r="T74" s="1175"/>
      <c r="U74" s="1357"/>
      <c r="X74" s="1036"/>
      <c r="Y74" s="1036"/>
      <c r="Z74" s="1036"/>
      <c r="AA74" s="1036"/>
    </row>
    <row r="75" spans="2:27" ht="15">
      <c r="B75" s="763"/>
      <c r="C75" s="1347" t="s">
        <v>77</v>
      </c>
      <c r="D75" s="1347" t="s">
        <v>655</v>
      </c>
      <c r="E75" s="1347">
        <v>9</v>
      </c>
      <c r="F75" s="1348">
        <v>1</v>
      </c>
      <c r="G75" s="1348">
        <v>3</v>
      </c>
      <c r="H75" s="1348">
        <v>11</v>
      </c>
      <c r="I75" s="1348">
        <v>2</v>
      </c>
      <c r="J75" s="1348">
        <v>5</v>
      </c>
      <c r="K75" s="1348">
        <v>4</v>
      </c>
      <c r="L75" s="1348">
        <v>13</v>
      </c>
      <c r="M75" s="1348">
        <v>10</v>
      </c>
      <c r="N75" s="1348">
        <v>8</v>
      </c>
      <c r="O75" s="1348">
        <v>16</v>
      </c>
      <c r="P75" s="1348">
        <v>7</v>
      </c>
      <c r="Q75" s="1348">
        <v>15</v>
      </c>
      <c r="R75" s="1348">
        <v>6</v>
      </c>
      <c r="S75" s="1348">
        <v>14</v>
      </c>
      <c r="T75" s="1348">
        <v>12</v>
      </c>
      <c r="U75" s="1358"/>
      <c r="X75" s="1036"/>
      <c r="Y75" s="1036"/>
      <c r="Z75" s="1036"/>
      <c r="AA75" s="1036"/>
    </row>
    <row r="76" spans="2:27" ht="15">
      <c r="B76" s="763"/>
      <c r="C76" s="789">
        <v>1</v>
      </c>
      <c r="D76" s="717" t="s">
        <v>926</v>
      </c>
      <c r="E76" s="570"/>
      <c r="F76" s="785"/>
      <c r="G76" s="785"/>
      <c r="H76" s="785"/>
      <c r="I76" s="785"/>
      <c r="J76" s="785"/>
      <c r="K76" s="785"/>
      <c r="L76" s="785"/>
      <c r="M76" s="785"/>
      <c r="N76" s="785"/>
      <c r="O76" s="785"/>
      <c r="P76" s="785"/>
      <c r="Q76" s="785"/>
      <c r="R76" s="785"/>
      <c r="S76" s="785"/>
      <c r="T76" s="785"/>
      <c r="U76" s="1145"/>
      <c r="X76" s="1036"/>
      <c r="Y76" s="1036"/>
      <c r="Z76" s="1036"/>
      <c r="AA76" s="1036"/>
    </row>
    <row r="77" spans="2:27" ht="15">
      <c r="B77" s="763"/>
      <c r="C77" s="789">
        <v>2</v>
      </c>
      <c r="D77" s="717" t="s">
        <v>927</v>
      </c>
      <c r="E77" s="570">
        <v>0.9</v>
      </c>
      <c r="F77" s="785"/>
      <c r="G77" s="785">
        <v>0.2</v>
      </c>
      <c r="H77" s="785"/>
      <c r="I77" s="785"/>
      <c r="J77" s="785"/>
      <c r="K77" s="785"/>
      <c r="L77" s="785"/>
      <c r="M77" s="785"/>
      <c r="N77" s="785"/>
      <c r="O77" s="785"/>
      <c r="P77" s="785"/>
      <c r="Q77" s="785"/>
      <c r="R77" s="785"/>
      <c r="S77" s="785"/>
      <c r="T77" s="785"/>
      <c r="U77" s="1145"/>
      <c r="X77" s="1036"/>
      <c r="Y77" s="1036"/>
      <c r="Z77" s="1036"/>
      <c r="AA77" s="1036"/>
    </row>
    <row r="78" spans="2:27" ht="15">
      <c r="B78" s="763"/>
      <c r="C78" s="789">
        <v>3</v>
      </c>
      <c r="D78" s="1291" t="s">
        <v>1883</v>
      </c>
      <c r="E78" s="570">
        <v>0.1</v>
      </c>
      <c r="F78" s="785">
        <v>0.1</v>
      </c>
      <c r="G78" s="785"/>
      <c r="H78" s="785">
        <v>0.1</v>
      </c>
      <c r="I78" s="785"/>
      <c r="J78" s="785"/>
      <c r="K78" s="785">
        <v>7.0000000000000007E-2</v>
      </c>
      <c r="L78" s="785"/>
      <c r="M78" s="785"/>
      <c r="N78" s="785"/>
      <c r="O78" s="785"/>
      <c r="P78" s="785"/>
      <c r="Q78" s="785"/>
      <c r="R78" s="785"/>
      <c r="S78" s="785"/>
      <c r="T78" s="785"/>
      <c r="U78" s="1145"/>
      <c r="X78" s="1036"/>
      <c r="Y78" s="1036"/>
      <c r="Z78" s="1036"/>
      <c r="AA78" s="1036"/>
    </row>
    <row r="79" spans="2:27" ht="15">
      <c r="B79" s="763"/>
      <c r="C79" s="789">
        <v>4</v>
      </c>
      <c r="D79" s="717" t="s">
        <v>671</v>
      </c>
      <c r="E79" s="570"/>
      <c r="F79" s="785"/>
      <c r="G79" s="785"/>
      <c r="H79" s="785"/>
      <c r="I79" s="785"/>
      <c r="J79" s="785"/>
      <c r="K79" s="785"/>
      <c r="L79" s="785"/>
      <c r="M79" s="785"/>
      <c r="N79" s="785"/>
      <c r="O79" s="785"/>
      <c r="P79" s="785"/>
      <c r="Q79" s="785"/>
      <c r="R79" s="785"/>
      <c r="S79" s="785"/>
      <c r="T79" s="785"/>
      <c r="U79" s="1145"/>
    </row>
    <row r="80" spans="2:27" ht="15">
      <c r="B80" s="763"/>
      <c r="C80" s="789">
        <v>5</v>
      </c>
      <c r="D80" s="717" t="s">
        <v>670</v>
      </c>
      <c r="E80" s="570"/>
      <c r="F80" s="785"/>
      <c r="G80" s="785"/>
      <c r="H80" s="785"/>
      <c r="I80" s="785"/>
      <c r="J80" s="785">
        <v>0.1</v>
      </c>
      <c r="K80" s="785"/>
      <c r="L80" s="785"/>
      <c r="M80" s="785"/>
      <c r="N80" s="785"/>
      <c r="O80" s="785">
        <v>0.1</v>
      </c>
      <c r="P80" s="785">
        <v>0.1</v>
      </c>
      <c r="Q80" s="785">
        <v>0.1</v>
      </c>
      <c r="R80" s="785">
        <v>0.05</v>
      </c>
      <c r="S80" s="785">
        <v>0.15</v>
      </c>
      <c r="T80" s="785">
        <v>0.05</v>
      </c>
      <c r="U80" s="1145"/>
    </row>
    <row r="81" spans="2:21" ht="15">
      <c r="B81" s="763"/>
      <c r="C81" s="789">
        <v>6</v>
      </c>
      <c r="D81" s="1291" t="s">
        <v>1884</v>
      </c>
      <c r="E81" s="570"/>
      <c r="F81" s="785"/>
      <c r="G81" s="718"/>
      <c r="H81" s="718"/>
      <c r="I81" s="718"/>
      <c r="J81" s="718"/>
      <c r="K81" s="718"/>
      <c r="L81" s="718"/>
      <c r="M81" s="718">
        <v>0.1</v>
      </c>
      <c r="N81" s="718"/>
      <c r="O81" s="718"/>
      <c r="P81" s="718">
        <v>0.19</v>
      </c>
      <c r="Q81" s="718">
        <v>0.19</v>
      </c>
      <c r="R81" s="718">
        <v>0.24</v>
      </c>
      <c r="S81" s="718"/>
      <c r="T81" s="718"/>
      <c r="U81" s="1146"/>
    </row>
    <row r="82" spans="2:21" ht="15">
      <c r="B82" s="763"/>
      <c r="C82" s="789">
        <v>7</v>
      </c>
      <c r="D82" s="1291" t="s">
        <v>1885</v>
      </c>
      <c r="E82" s="570"/>
      <c r="F82" s="785"/>
      <c r="G82" s="718"/>
      <c r="H82" s="718">
        <v>0.9</v>
      </c>
      <c r="I82" s="718"/>
      <c r="J82" s="718"/>
      <c r="K82" s="718"/>
      <c r="L82" s="718"/>
      <c r="M82" s="718">
        <v>0.2</v>
      </c>
      <c r="N82" s="718"/>
      <c r="O82" s="718"/>
      <c r="P82" s="718"/>
      <c r="Q82" s="718"/>
      <c r="R82" s="718"/>
      <c r="S82" s="718"/>
      <c r="T82" s="718">
        <v>0.16</v>
      </c>
      <c r="U82" s="1146"/>
    </row>
    <row r="83" spans="2:21" ht="15">
      <c r="B83" s="763"/>
      <c r="C83" s="789">
        <v>8</v>
      </c>
      <c r="D83" s="717" t="s">
        <v>930</v>
      </c>
      <c r="E83" s="570"/>
      <c r="F83" s="785">
        <v>0.6</v>
      </c>
      <c r="G83" s="718">
        <v>0.6</v>
      </c>
      <c r="H83" s="718"/>
      <c r="I83" s="718">
        <v>0.5</v>
      </c>
      <c r="J83" s="718"/>
      <c r="K83" s="718">
        <v>0.6</v>
      </c>
      <c r="L83" s="718">
        <v>0.57999999999999996</v>
      </c>
      <c r="M83" s="718"/>
      <c r="N83" s="718">
        <v>0.18</v>
      </c>
      <c r="O83" s="718">
        <v>0.25</v>
      </c>
      <c r="P83" s="718"/>
      <c r="Q83" s="718"/>
      <c r="R83" s="718"/>
      <c r="S83" s="718">
        <v>0.14000000000000001</v>
      </c>
      <c r="T83" s="718"/>
      <c r="U83" s="1146"/>
    </row>
    <row r="84" spans="2:21" ht="15">
      <c r="B84" s="763"/>
      <c r="C84" s="789">
        <v>9</v>
      </c>
      <c r="D84" s="717" t="s">
        <v>931</v>
      </c>
      <c r="E84" s="570"/>
      <c r="F84" s="785">
        <v>0.3</v>
      </c>
      <c r="G84" s="718">
        <v>0.2</v>
      </c>
      <c r="H84" s="718">
        <v>0</v>
      </c>
      <c r="I84" s="718">
        <v>0.3</v>
      </c>
      <c r="J84" s="718">
        <v>0.2</v>
      </c>
      <c r="K84" s="718">
        <v>0.3</v>
      </c>
      <c r="L84" s="718">
        <v>0.3</v>
      </c>
      <c r="M84" s="718">
        <v>0.3</v>
      </c>
      <c r="N84" s="718">
        <v>0.3</v>
      </c>
      <c r="O84" s="718">
        <v>0.25</v>
      </c>
      <c r="P84" s="718"/>
      <c r="Q84" s="718"/>
      <c r="R84" s="718"/>
      <c r="S84" s="718">
        <v>0.2</v>
      </c>
      <c r="T84" s="718">
        <v>0.25</v>
      </c>
      <c r="U84" s="1146"/>
    </row>
    <row r="85" spans="2:21" ht="15">
      <c r="B85" s="763"/>
      <c r="C85" s="789">
        <v>10</v>
      </c>
      <c r="D85" s="1291" t="s">
        <v>1355</v>
      </c>
      <c r="E85" s="570"/>
      <c r="F85" s="785"/>
      <c r="G85" s="718"/>
      <c r="H85" s="718"/>
      <c r="I85" s="938"/>
      <c r="J85" s="718"/>
      <c r="K85" s="718"/>
      <c r="L85" s="718">
        <v>0.01</v>
      </c>
      <c r="M85" s="718"/>
      <c r="N85" s="718"/>
      <c r="O85" s="718"/>
      <c r="P85" s="718">
        <v>0.01</v>
      </c>
      <c r="Q85" s="718">
        <v>0.01</v>
      </c>
      <c r="R85" s="718">
        <v>0.01</v>
      </c>
      <c r="S85" s="718"/>
      <c r="T85" s="718">
        <v>0.01</v>
      </c>
      <c r="U85" s="1146"/>
    </row>
    <row r="86" spans="2:21" ht="15">
      <c r="B86" s="763"/>
      <c r="C86" s="789">
        <v>11</v>
      </c>
      <c r="D86" s="1291" t="s">
        <v>1886</v>
      </c>
      <c r="E86" s="570"/>
      <c r="F86" s="785"/>
      <c r="G86" s="718"/>
      <c r="H86" s="718"/>
      <c r="I86" s="718"/>
      <c r="J86" s="718"/>
      <c r="K86" s="718"/>
      <c r="L86" s="718"/>
      <c r="M86" s="718">
        <v>0.33</v>
      </c>
      <c r="N86" s="718"/>
      <c r="O86" s="718">
        <v>0.13</v>
      </c>
      <c r="P86" s="718">
        <v>0.3</v>
      </c>
      <c r="Q86" s="718">
        <v>0.24</v>
      </c>
      <c r="R86" s="718"/>
      <c r="S86" s="718">
        <v>0.15</v>
      </c>
      <c r="T86" s="718">
        <v>0.23</v>
      </c>
      <c r="U86" s="1146"/>
    </row>
    <row r="87" spans="2:21" ht="15">
      <c r="B87" s="763"/>
      <c r="C87" s="789">
        <v>12</v>
      </c>
      <c r="D87" s="1291" t="s">
        <v>1887</v>
      </c>
      <c r="E87" s="570"/>
      <c r="F87" s="785"/>
      <c r="G87" s="718"/>
      <c r="H87" s="718"/>
      <c r="I87" s="718">
        <v>0.2</v>
      </c>
      <c r="J87" s="718">
        <v>0.7</v>
      </c>
      <c r="K87" s="718"/>
      <c r="L87" s="718"/>
      <c r="M87" s="718"/>
      <c r="N87" s="718">
        <v>0.45</v>
      </c>
      <c r="O87" s="718">
        <v>0.2</v>
      </c>
      <c r="P87" s="718">
        <v>0.33</v>
      </c>
      <c r="Q87" s="718">
        <v>0.35</v>
      </c>
      <c r="R87" s="718">
        <v>0.63</v>
      </c>
      <c r="S87" s="718">
        <v>0.25</v>
      </c>
      <c r="T87" s="718">
        <v>0.23</v>
      </c>
      <c r="U87" s="1146"/>
    </row>
    <row r="88" spans="2:21" ht="15">
      <c r="B88" s="763"/>
      <c r="C88" s="715">
        <v>13</v>
      </c>
      <c r="D88" s="537" t="s">
        <v>1888</v>
      </c>
      <c r="E88" s="539"/>
      <c r="F88" s="557"/>
      <c r="G88" s="578"/>
      <c r="H88" s="578"/>
      <c r="I88" s="578"/>
      <c r="J88" s="578"/>
      <c r="K88" s="578">
        <v>0.03</v>
      </c>
      <c r="L88" s="578">
        <v>0.11</v>
      </c>
      <c r="M88" s="578">
        <v>7.0000000000000007E-2</v>
      </c>
      <c r="N88" s="578">
        <v>7.0000000000000007E-2</v>
      </c>
      <c r="O88" s="578">
        <v>7.0000000000000007E-2</v>
      </c>
      <c r="P88" s="578">
        <v>7.0000000000000007E-2</v>
      </c>
      <c r="Q88" s="578">
        <v>0.11</v>
      </c>
      <c r="R88" s="578">
        <v>7.0000000000000007E-2</v>
      </c>
      <c r="S88" s="578">
        <v>0.11</v>
      </c>
      <c r="T88" s="578">
        <v>7.0000000000000007E-2</v>
      </c>
      <c r="U88" s="1146"/>
    </row>
    <row r="89" spans="2:21" ht="15">
      <c r="B89" s="763"/>
      <c r="C89" s="1359"/>
      <c r="D89" s="1352" t="s">
        <v>133</v>
      </c>
      <c r="E89" s="1289">
        <f t="shared" ref="E89:T89" si="10">SUM(E76:E88)</f>
        <v>1</v>
      </c>
      <c r="F89" s="1289">
        <f t="shared" si="10"/>
        <v>1</v>
      </c>
      <c r="G89" s="1289">
        <f t="shared" si="10"/>
        <v>1</v>
      </c>
      <c r="H89" s="1289">
        <f t="shared" si="10"/>
        <v>1</v>
      </c>
      <c r="I89" s="1289">
        <f t="shared" si="10"/>
        <v>1</v>
      </c>
      <c r="J89" s="1289">
        <f t="shared" si="10"/>
        <v>1</v>
      </c>
      <c r="K89" s="1289">
        <f t="shared" si="10"/>
        <v>1</v>
      </c>
      <c r="L89" s="1289">
        <f t="shared" si="10"/>
        <v>0.99999999999999989</v>
      </c>
      <c r="M89" s="1289">
        <f t="shared" si="10"/>
        <v>1.0000000000000002</v>
      </c>
      <c r="N89" s="1289">
        <f t="shared" si="10"/>
        <v>1</v>
      </c>
      <c r="O89" s="1289">
        <f t="shared" si="10"/>
        <v>1</v>
      </c>
      <c r="P89" s="1289">
        <f t="shared" si="10"/>
        <v>1.0000000000000002</v>
      </c>
      <c r="Q89" s="1289">
        <f t="shared" si="10"/>
        <v>1</v>
      </c>
      <c r="R89" s="1289">
        <f t="shared" si="10"/>
        <v>1</v>
      </c>
      <c r="S89" s="1289">
        <f t="shared" si="10"/>
        <v>1</v>
      </c>
      <c r="T89" s="1289">
        <f t="shared" si="10"/>
        <v>1</v>
      </c>
      <c r="U89" s="1180"/>
    </row>
    <row r="90" spans="2:21" ht="15">
      <c r="B90" s="763"/>
      <c r="C90" s="789"/>
      <c r="D90" s="717"/>
      <c r="E90" s="717"/>
      <c r="F90" s="570"/>
      <c r="G90" s="570"/>
      <c r="H90" s="570"/>
      <c r="I90" s="570"/>
      <c r="J90" s="570"/>
      <c r="K90" s="570"/>
      <c r="L90" s="570"/>
      <c r="M90" s="570"/>
      <c r="N90" s="570"/>
      <c r="O90" s="570"/>
      <c r="P90" s="570"/>
      <c r="Q90" s="570"/>
      <c r="R90" s="570"/>
      <c r="S90" s="570"/>
      <c r="T90" s="570"/>
      <c r="U90" s="1180"/>
    </row>
    <row r="91" spans="2:21" ht="15">
      <c r="B91" s="763"/>
      <c r="C91" s="571" t="s">
        <v>1109</v>
      </c>
      <c r="D91" s="717"/>
      <c r="E91" s="717"/>
      <c r="F91" s="570"/>
      <c r="G91" s="570"/>
      <c r="H91" s="570"/>
      <c r="I91" s="570"/>
      <c r="J91" s="570"/>
      <c r="K91" s="570"/>
      <c r="L91" s="570"/>
      <c r="M91" s="570"/>
      <c r="N91" s="570"/>
      <c r="O91" s="570"/>
      <c r="P91" s="968"/>
      <c r="Q91" s="968"/>
      <c r="R91" s="968"/>
      <c r="S91" s="968"/>
      <c r="T91" s="783" t="s">
        <v>668</v>
      </c>
      <c r="U91" s="1038"/>
    </row>
    <row r="92" spans="2:21" ht="5.25" customHeight="1">
      <c r="B92" s="763"/>
      <c r="C92" s="789"/>
      <c r="D92" s="717"/>
      <c r="E92" s="717"/>
      <c r="F92" s="570"/>
      <c r="G92" s="570"/>
      <c r="H92" s="570"/>
      <c r="I92" s="570"/>
      <c r="J92" s="570"/>
      <c r="K92" s="570"/>
      <c r="L92" s="570"/>
      <c r="M92" s="570"/>
      <c r="N92" s="570"/>
      <c r="O92" s="570"/>
      <c r="P92" s="968"/>
      <c r="Q92" s="968"/>
      <c r="R92" s="968"/>
      <c r="S92" s="968"/>
      <c r="T92" s="968"/>
      <c r="U92" s="1038"/>
    </row>
    <row r="93" spans="2:21" ht="15">
      <c r="B93" s="763"/>
      <c r="C93" s="1347" t="s">
        <v>77</v>
      </c>
      <c r="D93" s="1347" t="s">
        <v>655</v>
      </c>
      <c r="E93" s="1347">
        <v>9</v>
      </c>
      <c r="F93" s="1348">
        <v>1</v>
      </c>
      <c r="G93" s="1348">
        <v>3</v>
      </c>
      <c r="H93" s="1348">
        <v>11</v>
      </c>
      <c r="I93" s="1348">
        <v>2</v>
      </c>
      <c r="J93" s="1348">
        <v>5</v>
      </c>
      <c r="K93" s="1348">
        <v>4</v>
      </c>
      <c r="L93" s="1348">
        <v>13</v>
      </c>
      <c r="M93" s="1348">
        <v>10</v>
      </c>
      <c r="N93" s="1348">
        <v>8</v>
      </c>
      <c r="O93" s="1348">
        <v>16</v>
      </c>
      <c r="P93" s="1348">
        <v>7</v>
      </c>
      <c r="Q93" s="1348">
        <v>15</v>
      </c>
      <c r="R93" s="1348">
        <v>6</v>
      </c>
      <c r="S93" s="1348">
        <v>14</v>
      </c>
      <c r="T93" s="1348">
        <v>12</v>
      </c>
      <c r="U93" s="1038"/>
    </row>
    <row r="94" spans="2:21" ht="15">
      <c r="B94" s="763"/>
      <c r="C94" s="789">
        <v>1</v>
      </c>
      <c r="D94" s="717" t="s">
        <v>1193</v>
      </c>
      <c r="E94" s="570"/>
      <c r="F94" s="785"/>
      <c r="G94" s="785"/>
      <c r="H94" s="785"/>
      <c r="I94" s="785"/>
      <c r="J94" s="785"/>
      <c r="K94" s="785"/>
      <c r="L94" s="785"/>
      <c r="M94" s="785"/>
      <c r="N94" s="785"/>
      <c r="O94" s="785"/>
      <c r="P94" s="785"/>
      <c r="Q94" s="785"/>
      <c r="R94" s="785"/>
      <c r="S94" s="785"/>
      <c r="T94" s="785"/>
      <c r="U94" s="1038"/>
    </row>
    <row r="95" spans="2:21" ht="15">
      <c r="B95" s="763"/>
      <c r="C95" s="789">
        <v>2</v>
      </c>
      <c r="D95" s="717" t="s">
        <v>1194</v>
      </c>
      <c r="E95" s="570">
        <v>1</v>
      </c>
      <c r="F95" s="785">
        <v>1</v>
      </c>
      <c r="G95" s="785">
        <v>1</v>
      </c>
      <c r="H95" s="785">
        <v>1</v>
      </c>
      <c r="I95" s="785">
        <v>1</v>
      </c>
      <c r="J95" s="785">
        <v>1</v>
      </c>
      <c r="K95" s="785">
        <v>0.97</v>
      </c>
      <c r="L95" s="785">
        <v>0.88</v>
      </c>
      <c r="M95" s="785">
        <v>0.93</v>
      </c>
      <c r="N95" s="785">
        <v>0.93</v>
      </c>
      <c r="O95" s="785">
        <v>0.93</v>
      </c>
      <c r="P95" s="785">
        <v>0.92</v>
      </c>
      <c r="Q95" s="785">
        <v>0.88</v>
      </c>
      <c r="R95" s="785">
        <v>0.92</v>
      </c>
      <c r="S95" s="785">
        <v>0.89</v>
      </c>
      <c r="T95" s="785">
        <v>0.92</v>
      </c>
      <c r="U95" s="1038"/>
    </row>
    <row r="96" spans="2:21" ht="15">
      <c r="B96" s="763"/>
      <c r="C96" s="789">
        <v>3</v>
      </c>
      <c r="D96" s="717" t="s">
        <v>1110</v>
      </c>
      <c r="E96" s="570"/>
      <c r="F96" s="785"/>
      <c r="G96" s="785"/>
      <c r="H96" s="570"/>
      <c r="I96" s="785"/>
      <c r="J96" s="570"/>
      <c r="K96" s="785">
        <v>0.03</v>
      </c>
      <c r="L96" s="785">
        <v>0.12</v>
      </c>
      <c r="M96" s="570">
        <v>7.0000000000000007E-2</v>
      </c>
      <c r="N96" s="570">
        <v>7.0000000000000007E-2</v>
      </c>
      <c r="O96" s="785">
        <v>7.0000000000000007E-2</v>
      </c>
      <c r="P96" s="785">
        <v>0.08</v>
      </c>
      <c r="Q96" s="785">
        <v>0.12</v>
      </c>
      <c r="R96" s="785">
        <v>0.08</v>
      </c>
      <c r="S96" s="785">
        <v>0.11</v>
      </c>
      <c r="T96" s="785">
        <v>0.08</v>
      </c>
      <c r="U96" s="1038"/>
    </row>
    <row r="97" spans="1:21" ht="15">
      <c r="B97" s="763"/>
      <c r="C97" s="1360"/>
      <c r="D97" s="1361" t="s">
        <v>133</v>
      </c>
      <c r="E97" s="1362">
        <f t="shared" ref="E97:T97" si="11">SUM(E$94:E$96)</f>
        <v>1</v>
      </c>
      <c r="F97" s="1362">
        <f t="shared" si="11"/>
        <v>1</v>
      </c>
      <c r="G97" s="1362">
        <f t="shared" si="11"/>
        <v>1</v>
      </c>
      <c r="H97" s="1362">
        <f t="shared" si="11"/>
        <v>1</v>
      </c>
      <c r="I97" s="1362">
        <f t="shared" si="11"/>
        <v>1</v>
      </c>
      <c r="J97" s="1362">
        <f t="shared" si="11"/>
        <v>1</v>
      </c>
      <c r="K97" s="1362">
        <f t="shared" si="11"/>
        <v>1</v>
      </c>
      <c r="L97" s="1362">
        <f t="shared" si="11"/>
        <v>1</v>
      </c>
      <c r="M97" s="1362">
        <f t="shared" si="11"/>
        <v>1</v>
      </c>
      <c r="N97" s="1362">
        <f t="shared" si="11"/>
        <v>1</v>
      </c>
      <c r="O97" s="1362">
        <f t="shared" si="11"/>
        <v>1</v>
      </c>
      <c r="P97" s="1362">
        <f t="shared" si="11"/>
        <v>1</v>
      </c>
      <c r="Q97" s="1362">
        <f t="shared" si="11"/>
        <v>1</v>
      </c>
      <c r="R97" s="1362">
        <f t="shared" si="11"/>
        <v>1</v>
      </c>
      <c r="S97" s="1362">
        <f t="shared" si="11"/>
        <v>1</v>
      </c>
      <c r="T97" s="1362">
        <f t="shared" si="11"/>
        <v>1</v>
      </c>
      <c r="U97" s="1038"/>
    </row>
    <row r="98" spans="1:21">
      <c r="B98" s="764"/>
      <c r="C98" s="789"/>
      <c r="D98" s="717"/>
      <c r="E98" s="717"/>
      <c r="F98" s="570"/>
      <c r="G98" s="570"/>
      <c r="H98" s="570"/>
      <c r="I98" s="570"/>
      <c r="J98" s="570"/>
      <c r="K98" s="570"/>
      <c r="L98" s="570"/>
      <c r="M98" s="570"/>
      <c r="N98" s="570"/>
      <c r="O98" s="570"/>
      <c r="P98" s="968"/>
      <c r="Q98" s="968"/>
      <c r="R98" s="968"/>
      <c r="S98" s="968"/>
      <c r="T98" s="968"/>
      <c r="U98" s="1038"/>
    </row>
    <row r="99" spans="1:21">
      <c r="B99" s="764"/>
      <c r="C99" s="1290" t="s">
        <v>603</v>
      </c>
      <c r="D99" s="1291"/>
      <c r="E99" s="717"/>
      <c r="F99" s="570"/>
      <c r="G99" s="570"/>
      <c r="H99" s="570"/>
      <c r="I99" s="570"/>
      <c r="J99" s="570"/>
      <c r="K99" s="570"/>
      <c r="L99" s="570"/>
      <c r="M99" s="570"/>
      <c r="N99" s="570"/>
      <c r="O99" s="570"/>
      <c r="P99" s="968"/>
      <c r="Q99" s="968"/>
      <c r="R99" s="968"/>
      <c r="S99" s="968"/>
      <c r="T99" s="968"/>
      <c r="U99" s="1038"/>
    </row>
    <row r="100" spans="1:21">
      <c r="B100" s="764"/>
      <c r="C100" s="598" t="s">
        <v>102</v>
      </c>
      <c r="D100" s="1291" t="s">
        <v>1847</v>
      </c>
      <c r="E100" s="717"/>
      <c r="F100" s="570"/>
      <c r="G100" s="570"/>
      <c r="H100" s="570"/>
      <c r="I100" s="570"/>
      <c r="J100" s="570"/>
      <c r="K100" s="570"/>
      <c r="L100" s="570"/>
      <c r="M100" s="570"/>
      <c r="N100" s="570"/>
      <c r="O100" s="570"/>
      <c r="P100" s="968"/>
      <c r="Q100" s="968"/>
      <c r="R100" s="968"/>
      <c r="S100" s="968"/>
      <c r="T100" s="968"/>
      <c r="U100" s="1038"/>
    </row>
    <row r="101" spans="1:21">
      <c r="B101" s="764"/>
      <c r="C101" s="1290"/>
      <c r="D101" s="1291" t="s">
        <v>1848</v>
      </c>
      <c r="E101" s="717"/>
      <c r="F101" s="570"/>
      <c r="G101" s="570"/>
      <c r="H101" s="570"/>
      <c r="I101" s="570"/>
      <c r="J101" s="570"/>
      <c r="K101" s="570"/>
      <c r="L101" s="570"/>
      <c r="M101" s="570"/>
      <c r="N101" s="570"/>
      <c r="O101" s="570"/>
      <c r="P101" s="968"/>
      <c r="Q101" s="968"/>
      <c r="R101" s="968"/>
      <c r="S101" s="968"/>
      <c r="T101" s="968"/>
      <c r="U101" s="1038"/>
    </row>
    <row r="102" spans="1:21">
      <c r="B102" s="781"/>
      <c r="C102" s="1363"/>
      <c r="D102" s="1364"/>
      <c r="E102" s="1364"/>
      <c r="F102" s="778"/>
      <c r="G102" s="1365"/>
      <c r="H102" s="1365"/>
      <c r="I102" s="1365"/>
      <c r="J102" s="1365"/>
      <c r="K102" s="1365"/>
      <c r="L102" s="1365"/>
      <c r="M102" s="1365"/>
      <c r="N102" s="1365"/>
      <c r="O102" s="1365"/>
      <c r="P102" s="1039"/>
      <c r="Q102" s="1039"/>
      <c r="R102" s="1039"/>
      <c r="S102" s="1039"/>
      <c r="T102" s="1039"/>
      <c r="U102" s="1038"/>
    </row>
    <row r="104" spans="1:21" s="16" customFormat="1" ht="22" collapsed="1">
      <c r="A104" s="765"/>
      <c r="B104" s="1344" t="s">
        <v>633</v>
      </c>
      <c r="C104" s="1345"/>
      <c r="D104" s="1345"/>
      <c r="E104" s="1345"/>
      <c r="F104" s="1345"/>
      <c r="G104" s="1345"/>
      <c r="H104" s="1345"/>
      <c r="I104" s="1345"/>
      <c r="J104" s="1345"/>
      <c r="K104" s="1345"/>
      <c r="L104" s="1345"/>
      <c r="M104" s="1345"/>
      <c r="N104" s="1345"/>
      <c r="O104" s="1345"/>
      <c r="P104" s="1345"/>
      <c r="Q104" s="1346"/>
    </row>
    <row r="105" spans="1:21">
      <c r="B105" s="764"/>
      <c r="C105" s="968"/>
      <c r="D105" s="968"/>
      <c r="E105" s="968"/>
      <c r="F105" s="968"/>
      <c r="G105" s="968"/>
      <c r="H105" s="968"/>
      <c r="I105" s="968"/>
      <c r="J105" s="968"/>
      <c r="K105" s="968"/>
      <c r="L105" s="968"/>
      <c r="M105" s="968"/>
      <c r="N105" s="968"/>
      <c r="O105" s="968"/>
      <c r="P105" s="968"/>
      <c r="Q105" s="1038"/>
    </row>
    <row r="106" spans="1:21">
      <c r="B106" s="764"/>
      <c r="C106" s="1293" t="s">
        <v>700</v>
      </c>
      <c r="D106" s="968"/>
      <c r="E106" s="784"/>
      <c r="F106" s="968"/>
      <c r="G106" s="783"/>
      <c r="H106" s="968"/>
      <c r="I106" s="968"/>
      <c r="J106" s="968"/>
      <c r="K106" s="968"/>
      <c r="L106" s="968"/>
      <c r="M106" s="968"/>
      <c r="N106" s="968"/>
      <c r="O106" s="784" t="s">
        <v>661</v>
      </c>
      <c r="P106" s="784"/>
      <c r="Q106" s="1038"/>
    </row>
    <row r="107" spans="1:21" ht="5.25" customHeight="1">
      <c r="B107" s="764"/>
      <c r="C107" s="968"/>
      <c r="D107" s="968"/>
      <c r="E107" s="968"/>
      <c r="F107" s="968"/>
      <c r="G107" s="968"/>
      <c r="H107" s="968"/>
      <c r="I107" s="968"/>
      <c r="J107" s="968"/>
      <c r="K107" s="968"/>
      <c r="L107" s="968"/>
      <c r="M107" s="968"/>
      <c r="N107" s="968"/>
      <c r="O107" s="968"/>
      <c r="P107" s="968"/>
      <c r="Q107" s="1038"/>
    </row>
    <row r="108" spans="1:21" ht="15">
      <c r="B108" s="763"/>
      <c r="C108" s="1366"/>
      <c r="D108" s="1366" t="s">
        <v>73</v>
      </c>
      <c r="E108" s="1366" t="s">
        <v>422</v>
      </c>
      <c r="F108" s="1367">
        <v>2007</v>
      </c>
      <c r="G108" s="1368">
        <v>2010</v>
      </c>
      <c r="H108" s="1367">
        <v>2015</v>
      </c>
      <c r="I108" s="1367">
        <v>2020</v>
      </c>
      <c r="J108" s="1367">
        <v>2025</v>
      </c>
      <c r="K108" s="1367">
        <v>2030</v>
      </c>
      <c r="L108" s="1367">
        <v>2035</v>
      </c>
      <c r="M108" s="1367">
        <v>2040</v>
      </c>
      <c r="N108" s="1367">
        <v>2045</v>
      </c>
      <c r="O108" s="1367">
        <v>2050</v>
      </c>
      <c r="P108" s="1350"/>
      <c r="Q108" s="1038"/>
    </row>
    <row r="109" spans="1:21" ht="15">
      <c r="B109" s="763"/>
      <c r="C109" s="1369"/>
      <c r="D109" s="1369" t="s">
        <v>675</v>
      </c>
      <c r="E109" s="1369" t="s">
        <v>102</v>
      </c>
      <c r="F109" s="1370">
        <v>5.6</v>
      </c>
      <c r="G109" s="1371">
        <v>3.9364164904862582</v>
      </c>
      <c r="H109" s="1371">
        <v>4.1922304439746298</v>
      </c>
      <c r="I109" s="1371">
        <v>4.4480443974630006</v>
      </c>
      <c r="J109" s="1371">
        <v>4.7038583509513714</v>
      </c>
      <c r="K109" s="1371">
        <v>4.9596723044397422</v>
      </c>
      <c r="L109" s="1371">
        <v>5.2154862579281129</v>
      </c>
      <c r="M109" s="1371">
        <v>5.4713002114164837</v>
      </c>
      <c r="N109" s="1371">
        <v>5.7271141649048545</v>
      </c>
      <c r="O109" s="1371">
        <v>5.9829281183932252</v>
      </c>
      <c r="P109" s="721"/>
      <c r="Q109" s="1038"/>
    </row>
    <row r="110" spans="1:21" ht="15">
      <c r="B110" s="763"/>
      <c r="C110" s="717"/>
      <c r="D110" s="717" t="s">
        <v>676</v>
      </c>
      <c r="E110" s="1294"/>
      <c r="F110" s="1004">
        <v>9.1</v>
      </c>
      <c r="G110" s="721">
        <v>8.1811111111111092</v>
      </c>
      <c r="H110" s="721">
        <v>8.3162962962962919</v>
      </c>
      <c r="I110" s="721">
        <v>8.4514814814814745</v>
      </c>
      <c r="J110" s="721">
        <v>8.5866666666666571</v>
      </c>
      <c r="K110" s="721">
        <v>8.7218518518518398</v>
      </c>
      <c r="L110" s="721">
        <v>8.8570370370370224</v>
      </c>
      <c r="M110" s="721">
        <v>8.992222222222205</v>
      </c>
      <c r="N110" s="721">
        <v>9.1274074074073877</v>
      </c>
      <c r="O110" s="721">
        <v>9.2625925925925703</v>
      </c>
      <c r="P110" s="721"/>
      <c r="Q110" s="1038"/>
    </row>
    <row r="111" spans="1:21" ht="15">
      <c r="B111" s="763"/>
      <c r="C111" s="717"/>
      <c r="D111" s="717" t="s">
        <v>677</v>
      </c>
      <c r="E111" s="1294"/>
      <c r="F111" s="1004">
        <v>14.1</v>
      </c>
      <c r="G111" s="721">
        <v>14.253488372093022</v>
      </c>
      <c r="H111" s="721">
        <v>14.509302325581393</v>
      </c>
      <c r="I111" s="721">
        <v>14.765116279069764</v>
      </c>
      <c r="J111" s="721">
        <v>15.020930232558134</v>
      </c>
      <c r="K111" s="721">
        <v>15.276744186046505</v>
      </c>
      <c r="L111" s="721">
        <v>15.532558139534876</v>
      </c>
      <c r="M111" s="721">
        <v>15.788372093023247</v>
      </c>
      <c r="N111" s="721">
        <v>16.044186046511619</v>
      </c>
      <c r="O111" s="721">
        <v>16.29999999999999</v>
      </c>
      <c r="P111" s="721"/>
      <c r="Q111" s="1038"/>
    </row>
    <row r="112" spans="1:21" ht="15">
      <c r="B112" s="763"/>
      <c r="C112" s="720"/>
      <c r="D112" s="720" t="s">
        <v>678</v>
      </c>
      <c r="E112" s="1372"/>
      <c r="F112" s="1373">
        <v>9.9</v>
      </c>
      <c r="G112" s="1213">
        <v>9.9988372093023248</v>
      </c>
      <c r="H112" s="1213">
        <v>10.163565891472865</v>
      </c>
      <c r="I112" s="1213">
        <v>10.328294573643406</v>
      </c>
      <c r="J112" s="1213">
        <v>10.493023255813947</v>
      </c>
      <c r="K112" s="1213">
        <v>10.657751937984488</v>
      </c>
      <c r="L112" s="1213">
        <v>10.822480620155028</v>
      </c>
      <c r="M112" s="1213">
        <v>10.987209302325569</v>
      </c>
      <c r="N112" s="1213">
        <v>11.15193798449611</v>
      </c>
      <c r="O112" s="1213">
        <v>11.31666666666665</v>
      </c>
      <c r="P112" s="721"/>
      <c r="Q112" s="1038"/>
    </row>
    <row r="113" spans="2:17" ht="15">
      <c r="B113" s="763"/>
      <c r="C113" s="1361"/>
      <c r="D113" s="1361" t="s">
        <v>1636</v>
      </c>
      <c r="E113" s="1374"/>
      <c r="F113" s="1375">
        <f>((F109*$F$796)+(F110*$F$801)+(F111*$F$806)+(F112*$F$811))/($F$796+$F$801+$F$806+$F$811)</f>
        <v>9.6939082819986311</v>
      </c>
      <c r="G113" s="1213">
        <v>9.9988372093023248</v>
      </c>
      <c r="H113" s="1375">
        <f t="shared" ref="H113:O113" si="12">((H109*$F$796)+(H110*$F$801)+(H111*$F$806)+(H112*$F$811))/($F$796+$F$801+$F$806+$F$811)</f>
        <v>9.3174219490910009</v>
      </c>
      <c r="I113" s="1375">
        <f t="shared" si="12"/>
        <v>9.5201582670589993</v>
      </c>
      <c r="J113" s="1375">
        <f t="shared" si="12"/>
        <v>9.7228945850269977</v>
      </c>
      <c r="K113" s="1375">
        <f t="shared" si="12"/>
        <v>9.9256309029949978</v>
      </c>
      <c r="L113" s="1375">
        <f t="shared" si="12"/>
        <v>10.128367220962996</v>
      </c>
      <c r="M113" s="1375">
        <f t="shared" si="12"/>
        <v>10.331103538930995</v>
      </c>
      <c r="N113" s="1375">
        <f t="shared" si="12"/>
        <v>10.533839856898993</v>
      </c>
      <c r="O113" s="1375">
        <f t="shared" si="12"/>
        <v>10.736576174866995</v>
      </c>
      <c r="P113" s="721"/>
      <c r="Q113" s="1038"/>
    </row>
    <row r="114" spans="2:17">
      <c r="B114" s="764"/>
      <c r="C114" s="968"/>
      <c r="D114" s="968"/>
      <c r="E114" s="968"/>
      <c r="F114" s="968"/>
      <c r="G114" s="968"/>
      <c r="H114" s="968"/>
      <c r="I114" s="968"/>
      <c r="J114" s="968"/>
      <c r="K114" s="968"/>
      <c r="L114" s="968"/>
      <c r="M114" s="968"/>
      <c r="N114" s="968"/>
      <c r="O114" s="968"/>
      <c r="P114" s="968"/>
      <c r="Q114" s="1038"/>
    </row>
    <row r="115" spans="2:17">
      <c r="B115" s="764"/>
      <c r="C115" s="1293" t="s">
        <v>950</v>
      </c>
      <c r="D115" s="968"/>
      <c r="E115" s="783"/>
      <c r="F115" s="783" t="s">
        <v>78</v>
      </c>
      <c r="G115" s="968"/>
      <c r="H115" s="968"/>
      <c r="I115" s="968"/>
      <c r="J115" s="968"/>
      <c r="K115" s="968"/>
      <c r="L115" s="968"/>
      <c r="M115" s="968"/>
      <c r="N115" s="968"/>
      <c r="O115" s="783"/>
      <c r="P115" s="783"/>
      <c r="Q115" s="1038"/>
    </row>
    <row r="116" spans="2:17" ht="5.25" customHeight="1">
      <c r="B116" s="764"/>
      <c r="C116" s="968"/>
      <c r="D116" s="968"/>
      <c r="E116" s="968"/>
      <c r="F116" s="968"/>
      <c r="G116" s="968"/>
      <c r="H116" s="968"/>
      <c r="I116" s="968"/>
      <c r="J116" s="968"/>
      <c r="K116" s="968"/>
      <c r="L116" s="968"/>
      <c r="M116" s="968"/>
      <c r="N116" s="968"/>
      <c r="O116" s="968"/>
      <c r="P116" s="968"/>
      <c r="Q116" s="1038"/>
    </row>
    <row r="117" spans="2:17" ht="15">
      <c r="B117" s="763"/>
      <c r="C117" s="1366"/>
      <c r="D117" s="1366" t="s">
        <v>73</v>
      </c>
      <c r="E117" s="1366" t="s">
        <v>422</v>
      </c>
      <c r="F117" s="1367">
        <v>2007</v>
      </c>
      <c r="G117" s="1350"/>
      <c r="H117" s="1350"/>
      <c r="I117" s="1350"/>
      <c r="J117" s="1350"/>
      <c r="K117" s="1350"/>
      <c r="L117" s="1350"/>
      <c r="M117" s="1350"/>
      <c r="N117" s="1350"/>
      <c r="O117" s="1350"/>
      <c r="P117" s="1350"/>
      <c r="Q117" s="1038"/>
    </row>
    <row r="118" spans="2:17" ht="15">
      <c r="B118" s="763"/>
      <c r="C118" s="1369"/>
      <c r="D118" s="1369" t="s">
        <v>15</v>
      </c>
      <c r="E118" s="1369" t="s">
        <v>421</v>
      </c>
      <c r="F118" s="1376">
        <f>353.8*(836.3/1245.1)*10^15/25751000</f>
        <v>9228297640.4315128</v>
      </c>
      <c r="G118" s="721"/>
      <c r="H118" s="721"/>
      <c r="I118" s="721"/>
      <c r="J118" s="721"/>
      <c r="K118" s="721"/>
      <c r="L118" s="721"/>
      <c r="M118" s="721"/>
      <c r="N118" s="721"/>
      <c r="O118" s="721"/>
      <c r="P118" s="721"/>
      <c r="Q118" s="1038"/>
    </row>
    <row r="119" spans="2:17" ht="15">
      <c r="B119" s="763"/>
      <c r="C119" s="717"/>
      <c r="D119" s="717" t="s">
        <v>951</v>
      </c>
      <c r="E119" s="1294"/>
      <c r="F119" s="595">
        <f>110*(836.3/1245.1)*10^15/25751000</f>
        <v>2869171114.8882608</v>
      </c>
      <c r="G119" s="595"/>
      <c r="H119" s="595"/>
      <c r="I119" s="595"/>
      <c r="J119" s="595"/>
      <c r="K119" s="595"/>
      <c r="L119" s="595"/>
      <c r="M119" s="595"/>
      <c r="N119" s="595"/>
      <c r="O119" s="595"/>
      <c r="P119" s="595"/>
      <c r="Q119" s="1038"/>
    </row>
    <row r="120" spans="2:17" ht="15">
      <c r="B120" s="763"/>
      <c r="C120" s="717"/>
      <c r="D120" s="717" t="s">
        <v>108</v>
      </c>
      <c r="E120" s="717"/>
      <c r="F120" s="595">
        <f>52.4*(836.3/1245.1)*10^15/25751000</f>
        <v>1366768785.6376805</v>
      </c>
      <c r="G120" s="595"/>
      <c r="H120" s="595"/>
      <c r="I120" s="595"/>
      <c r="J120" s="595"/>
      <c r="K120" s="595"/>
      <c r="L120" s="595"/>
      <c r="M120" s="595"/>
      <c r="N120" s="595"/>
      <c r="O120" s="595"/>
      <c r="P120" s="595"/>
      <c r="Q120" s="1038"/>
    </row>
    <row r="121" spans="2:17" ht="15">
      <c r="B121" s="763"/>
      <c r="C121" s="717"/>
      <c r="D121" s="717" t="s">
        <v>65</v>
      </c>
      <c r="E121" s="717"/>
      <c r="F121" s="595">
        <f>268.8*(836.3/1245.1)*10^15/25751000</f>
        <v>7011210869.8360405</v>
      </c>
      <c r="G121" s="595"/>
      <c r="H121" s="595"/>
      <c r="I121" s="595"/>
      <c r="J121" s="595"/>
      <c r="K121" s="595"/>
      <c r="L121" s="595"/>
      <c r="M121" s="595"/>
      <c r="N121" s="595"/>
      <c r="O121" s="595"/>
      <c r="P121" s="595"/>
      <c r="Q121" s="1038"/>
    </row>
    <row r="122" spans="2:17" ht="15">
      <c r="B122" s="763"/>
      <c r="C122" s="720"/>
      <c r="D122" s="720" t="s">
        <v>189</v>
      </c>
      <c r="E122" s="1372"/>
      <c r="F122" s="1377">
        <f>460.1*(836.3/1245.1)*10^15/25751000</f>
        <v>12000960272.364443</v>
      </c>
      <c r="G122" s="595"/>
      <c r="H122" s="595"/>
      <c r="I122" s="595"/>
      <c r="J122" s="595"/>
      <c r="K122" s="595"/>
      <c r="L122" s="595"/>
      <c r="M122" s="595"/>
      <c r="N122" s="595"/>
      <c r="O122" s="595"/>
      <c r="P122" s="595"/>
      <c r="Q122" s="1038"/>
    </row>
    <row r="123" spans="2:17" ht="15">
      <c r="B123" s="763"/>
      <c r="C123" s="717"/>
      <c r="D123" s="717"/>
      <c r="E123" s="717"/>
      <c r="F123" s="1378">
        <f>SUM(F118:F122)</f>
        <v>32476408683.157936</v>
      </c>
      <c r="G123" s="595"/>
      <c r="H123" s="595"/>
      <c r="I123" s="595"/>
      <c r="J123" s="595"/>
      <c r="K123" s="595"/>
      <c r="L123" s="595"/>
      <c r="M123" s="595"/>
      <c r="N123" s="595"/>
      <c r="O123" s="595"/>
      <c r="P123" s="595"/>
      <c r="Q123" s="1038"/>
    </row>
    <row r="124" spans="2:17" ht="15">
      <c r="B124" s="763"/>
      <c r="C124" s="968"/>
      <c r="D124" s="968"/>
      <c r="E124" s="968"/>
      <c r="F124" s="968"/>
      <c r="G124" s="968"/>
      <c r="H124" s="968"/>
      <c r="I124" s="968"/>
      <c r="J124" s="968"/>
      <c r="K124" s="968"/>
      <c r="L124" s="968"/>
      <c r="M124" s="968"/>
      <c r="N124" s="968"/>
      <c r="O124" s="968"/>
      <c r="P124" s="968"/>
      <c r="Q124" s="1038"/>
    </row>
    <row r="125" spans="2:17">
      <c r="B125" s="1295"/>
      <c r="C125" s="1293" t="s">
        <v>1612</v>
      </c>
      <c r="D125" s="968"/>
      <c r="E125" s="968"/>
      <c r="F125" s="968"/>
      <c r="G125" s="783"/>
      <c r="H125" s="968"/>
      <c r="I125" s="968"/>
      <c r="J125" s="968"/>
      <c r="K125" s="968"/>
      <c r="L125" s="968"/>
      <c r="M125" s="968"/>
      <c r="N125" s="968"/>
      <c r="O125" s="783" t="s">
        <v>928</v>
      </c>
      <c r="P125" s="783"/>
      <c r="Q125" s="1038"/>
    </row>
    <row r="126" spans="2:17" ht="5.25" customHeight="1">
      <c r="B126" s="764"/>
      <c r="C126" s="968"/>
      <c r="D126" s="968"/>
      <c r="E126" s="968"/>
      <c r="F126" s="968"/>
      <c r="G126" s="968"/>
      <c r="H126" s="968"/>
      <c r="I126" s="968"/>
      <c r="J126" s="968"/>
      <c r="K126" s="968"/>
      <c r="L126" s="968"/>
      <c r="M126" s="968"/>
      <c r="N126" s="968"/>
      <c r="O126" s="968"/>
      <c r="P126" s="968"/>
      <c r="Q126" s="1038"/>
    </row>
    <row r="127" spans="2:17" ht="22">
      <c r="B127" s="763"/>
      <c r="C127" s="1366"/>
      <c r="D127" s="1366"/>
      <c r="E127" s="1366"/>
      <c r="F127" s="1379" t="str">
        <f>INDEX(Vectors[Description], MATCH(F$128, Vectors[Code], 0))</f>
        <v>Electricity (delivered to end user)</v>
      </c>
      <c r="G127" s="1379" t="str">
        <f>INDEX(Vectors[Description], MATCH(G$128, Vectors[Code], 0))</f>
        <v>Electricity (supplied to grid)</v>
      </c>
      <c r="H127" s="1379" t="str">
        <f>INDEX(Vectors[Description], MATCH(H$128, Vectors[Code], 0))</f>
        <v>Solid hydrocarbons</v>
      </c>
      <c r="I127" s="1379" t="str">
        <f>INDEX(Vectors[Description], MATCH(I$128, Vectors[Code], 0))</f>
        <v>Liquid hydrocarbons</v>
      </c>
      <c r="J127" s="1379" t="str">
        <f>INDEX(Vectors[Description], MATCH(J$128, Vectors[Code], 0))</f>
        <v>Gaseous hydrocarbons</v>
      </c>
      <c r="K127" s="1379" t="str">
        <f>INDEX(Vectors[Description], MATCH(K$128, Vectors[Code], 0))</f>
        <v>Heat transport</v>
      </c>
      <c r="L127" s="1379" t="str">
        <f>INDEX(Vectors[Description], MATCH(L$128, Vectors[Code], 0))</f>
        <v>Environmental heat</v>
      </c>
      <c r="M127" s="1379" t="str">
        <f>INDEX(Vectors[Description], MATCH(M$128, Vectors[Code], 0))</f>
        <v>Heating &amp; cooling</v>
      </c>
      <c r="N127" s="1379" t="str">
        <f>INDEX(Vectors[Description], MATCH(N$128, Vectors[Code], 0))</f>
        <v>Conversion losses</v>
      </c>
      <c r="O127" s="1380" t="s">
        <v>673</v>
      </c>
      <c r="P127" s="1381"/>
      <c r="Q127" s="1038"/>
    </row>
    <row r="128" spans="2:17" ht="15">
      <c r="B128" s="763"/>
      <c r="C128" s="1382" t="s">
        <v>77</v>
      </c>
      <c r="D128" s="1382" t="s">
        <v>655</v>
      </c>
      <c r="E128" s="1382" t="s">
        <v>422</v>
      </c>
      <c r="F128" s="1383" t="s">
        <v>40</v>
      </c>
      <c r="G128" s="1383" t="s">
        <v>41</v>
      </c>
      <c r="H128" s="1383" t="s">
        <v>42</v>
      </c>
      <c r="I128" s="1383" t="s">
        <v>44</v>
      </c>
      <c r="J128" s="1383" t="s">
        <v>45</v>
      </c>
      <c r="K128" s="1383" t="s">
        <v>625</v>
      </c>
      <c r="L128" s="1383" t="s">
        <v>98</v>
      </c>
      <c r="M128" s="1383" t="s">
        <v>6</v>
      </c>
      <c r="N128" s="1383" t="s">
        <v>31</v>
      </c>
      <c r="O128" s="1384"/>
      <c r="P128" s="1385"/>
      <c r="Q128" s="1038"/>
    </row>
    <row r="129" spans="2:17" ht="15">
      <c r="B129" s="763"/>
      <c r="C129" s="789">
        <v>1</v>
      </c>
      <c r="D129" s="717" t="str">
        <f>INDEX($D$76:$D$88, MATCH($C129, $C$76:$C$88, 0))</f>
        <v>Gas boiler (old)</v>
      </c>
      <c r="E129" s="717"/>
      <c r="F129" s="570"/>
      <c r="G129" s="570"/>
      <c r="H129" s="570"/>
      <c r="I129" s="570"/>
      <c r="J129" s="570">
        <v>-1</v>
      </c>
      <c r="K129" s="570"/>
      <c r="L129" s="570"/>
      <c r="M129" s="570">
        <v>0.76</v>
      </c>
      <c r="N129" s="570">
        <v>0.24</v>
      </c>
      <c r="O129" s="564">
        <f t="shared" ref="O129:O141" si="13">SUM(F129:N129)</f>
        <v>0</v>
      </c>
      <c r="P129" s="558"/>
      <c r="Q129" s="1038"/>
    </row>
    <row r="130" spans="2:17" ht="15">
      <c r="B130" s="763"/>
      <c r="C130" s="789">
        <v>2</v>
      </c>
      <c r="D130" s="717" t="str">
        <f t="shared" ref="D130:D141" si="14">INDEX($D$76:$D$88, MATCH($C130, $C$76:$C$88, 0))</f>
        <v>Gas boiler (new)</v>
      </c>
      <c r="E130" s="717"/>
      <c r="F130" s="570"/>
      <c r="G130" s="570"/>
      <c r="H130" s="570"/>
      <c r="I130" s="570"/>
      <c r="J130" s="570">
        <v>-1</v>
      </c>
      <c r="K130" s="570"/>
      <c r="L130" s="570"/>
      <c r="M130" s="570">
        <v>0.91</v>
      </c>
      <c r="N130" s="570">
        <v>0.09</v>
      </c>
      <c r="O130" s="564">
        <f t="shared" si="13"/>
        <v>0</v>
      </c>
      <c r="P130" s="558"/>
      <c r="Q130" s="1038"/>
    </row>
    <row r="131" spans="2:17" ht="15">
      <c r="B131" s="763"/>
      <c r="C131" s="789">
        <v>3</v>
      </c>
      <c r="D131" s="717" t="str">
        <f t="shared" si="14"/>
        <v>Resistive heating</v>
      </c>
      <c r="E131" s="717"/>
      <c r="F131" s="570">
        <v>-1</v>
      </c>
      <c r="G131" s="570"/>
      <c r="H131" s="570"/>
      <c r="I131" s="570"/>
      <c r="J131" s="570"/>
      <c r="K131" s="570"/>
      <c r="L131" s="570"/>
      <c r="M131" s="570">
        <v>1</v>
      </c>
      <c r="N131" s="570">
        <v>0</v>
      </c>
      <c r="O131" s="564">
        <f t="shared" si="13"/>
        <v>0</v>
      </c>
      <c r="P131" s="558"/>
      <c r="Q131" s="1038"/>
    </row>
    <row r="132" spans="2:17" ht="15">
      <c r="B132" s="763"/>
      <c r="C132" s="789">
        <v>4</v>
      </c>
      <c r="D132" s="717" t="str">
        <f t="shared" si="14"/>
        <v>Oil-fired boiler</v>
      </c>
      <c r="E132" s="717"/>
      <c r="F132" s="570"/>
      <c r="G132" s="570"/>
      <c r="H132" s="570"/>
      <c r="I132" s="570">
        <v>-1</v>
      </c>
      <c r="J132" s="570"/>
      <c r="K132" s="570"/>
      <c r="L132" s="570"/>
      <c r="M132" s="570">
        <v>0.97</v>
      </c>
      <c r="N132" s="570">
        <v>0.03</v>
      </c>
      <c r="O132" s="564">
        <f t="shared" si="13"/>
        <v>-2.7755575615628914E-17</v>
      </c>
      <c r="P132" s="558"/>
      <c r="Q132" s="1038"/>
    </row>
    <row r="133" spans="2:17" ht="15">
      <c r="B133" s="763"/>
      <c r="C133" s="789">
        <v>5</v>
      </c>
      <c r="D133" s="717" t="str">
        <f t="shared" si="14"/>
        <v>Solid-fuel boiler</v>
      </c>
      <c r="E133" s="717" t="s">
        <v>109</v>
      </c>
      <c r="F133" s="570"/>
      <c r="G133" s="570"/>
      <c r="H133" s="570">
        <v>-1</v>
      </c>
      <c r="I133" s="570"/>
      <c r="J133" s="570"/>
      <c r="K133" s="570"/>
      <c r="L133" s="570"/>
      <c r="M133" s="570">
        <v>0.87</v>
      </c>
      <c r="N133" s="570">
        <v>0.13</v>
      </c>
      <c r="O133" s="564">
        <f t="shared" si="13"/>
        <v>0</v>
      </c>
      <c r="P133" s="558"/>
      <c r="Q133" s="1038"/>
    </row>
    <row r="134" spans="2:17" ht="15">
      <c r="B134" s="763"/>
      <c r="C134" s="789">
        <v>6</v>
      </c>
      <c r="D134" s="717" t="str">
        <f t="shared" si="14"/>
        <v>Stirling engine micro-CHP</v>
      </c>
      <c r="E134" s="717"/>
      <c r="F134" s="570"/>
      <c r="G134" s="570">
        <v>0.22500000000000001</v>
      </c>
      <c r="H134" s="570"/>
      <c r="I134" s="570"/>
      <c r="J134" s="570">
        <v>-1</v>
      </c>
      <c r="K134" s="570"/>
      <c r="L134" s="570"/>
      <c r="M134" s="570">
        <v>0.63</v>
      </c>
      <c r="N134" s="570">
        <v>0.14499999999999999</v>
      </c>
      <c r="O134" s="564">
        <f t="shared" si="13"/>
        <v>0</v>
      </c>
      <c r="P134" s="558"/>
      <c r="Q134" s="1038"/>
    </row>
    <row r="135" spans="2:17" ht="15">
      <c r="B135" s="763"/>
      <c r="C135" s="789">
        <v>7</v>
      </c>
      <c r="D135" s="717" t="str">
        <f t="shared" si="14"/>
        <v>Fuel-cell micro-CHP</v>
      </c>
      <c r="E135" s="717"/>
      <c r="F135" s="570"/>
      <c r="G135" s="570">
        <v>0.45</v>
      </c>
      <c r="H135" s="570"/>
      <c r="I135" s="570"/>
      <c r="J135" s="570">
        <v>-1</v>
      </c>
      <c r="K135" s="570"/>
      <c r="L135" s="570"/>
      <c r="M135" s="570">
        <v>0.45</v>
      </c>
      <c r="N135" s="570">
        <v>0.1</v>
      </c>
      <c r="O135" s="564">
        <f t="shared" si="13"/>
        <v>0</v>
      </c>
      <c r="P135" s="558"/>
      <c r="Q135" s="1038"/>
    </row>
    <row r="136" spans="2:17" ht="15">
      <c r="B136" s="763"/>
      <c r="C136" s="789">
        <v>8</v>
      </c>
      <c r="D136" s="717" t="str">
        <f t="shared" si="14"/>
        <v>Air-source heat pump</v>
      </c>
      <c r="E136" s="717"/>
      <c r="F136" s="570">
        <v>-1</v>
      </c>
      <c r="G136" s="570"/>
      <c r="H136" s="570"/>
      <c r="I136" s="570"/>
      <c r="J136" s="570"/>
      <c r="K136" s="570"/>
      <c r="L136" s="570">
        <v>-2</v>
      </c>
      <c r="M136" s="570">
        <v>3</v>
      </c>
      <c r="N136" s="570"/>
      <c r="O136" s="564">
        <f t="shared" si="13"/>
        <v>0</v>
      </c>
      <c r="P136" s="558"/>
      <c r="Q136" s="1038"/>
    </row>
    <row r="137" spans="2:17" ht="15">
      <c r="B137" s="763"/>
      <c r="C137" s="789">
        <v>9</v>
      </c>
      <c r="D137" s="717" t="str">
        <f t="shared" si="14"/>
        <v>Ground-source heat pump</v>
      </c>
      <c r="E137" s="717"/>
      <c r="F137" s="570">
        <v>-1</v>
      </c>
      <c r="G137" s="570"/>
      <c r="H137" s="570"/>
      <c r="I137" s="570"/>
      <c r="J137" s="570"/>
      <c r="K137" s="570"/>
      <c r="L137" s="570">
        <v>-3</v>
      </c>
      <c r="M137" s="570">
        <v>4</v>
      </c>
      <c r="N137" s="570"/>
      <c r="O137" s="564">
        <f t="shared" si="13"/>
        <v>0</v>
      </c>
      <c r="P137" s="558"/>
      <c r="Q137" s="1038"/>
    </row>
    <row r="138" spans="2:17" ht="15">
      <c r="B138" s="763"/>
      <c r="C138" s="789">
        <v>10</v>
      </c>
      <c r="D138" s="717" t="str">
        <f t="shared" si="14"/>
        <v>Geothermal electricity</v>
      </c>
      <c r="E138" s="717"/>
      <c r="F138" s="570"/>
      <c r="G138" s="570"/>
      <c r="H138" s="570"/>
      <c r="I138" s="570"/>
      <c r="J138" s="570"/>
      <c r="K138" s="570"/>
      <c r="L138" s="570">
        <v>-1</v>
      </c>
      <c r="M138" s="570">
        <v>0.85</v>
      </c>
      <c r="N138" s="570">
        <v>0.15</v>
      </c>
      <c r="O138" s="564">
        <f t="shared" si="13"/>
        <v>0</v>
      </c>
      <c r="P138" s="558"/>
      <c r="Q138" s="1038"/>
    </row>
    <row r="139" spans="2:17" ht="15">
      <c r="B139" s="763"/>
      <c r="C139" s="789">
        <v>11</v>
      </c>
      <c r="D139" s="717" t="str">
        <f t="shared" si="14"/>
        <v>Community scale gas CHP with local district heating</v>
      </c>
      <c r="E139" s="717"/>
      <c r="F139" s="570"/>
      <c r="G139" s="570">
        <v>0.38</v>
      </c>
      <c r="H139" s="570"/>
      <c r="I139" s="570"/>
      <c r="J139" s="570">
        <v>-1</v>
      </c>
      <c r="K139" s="570"/>
      <c r="L139" s="570"/>
      <c r="M139" s="570">
        <v>0.38</v>
      </c>
      <c r="N139" s="570">
        <v>0.24</v>
      </c>
      <c r="O139" s="564">
        <f t="shared" si="13"/>
        <v>0</v>
      </c>
      <c r="P139" s="558"/>
      <c r="Q139" s="1038"/>
    </row>
    <row r="140" spans="2:17" ht="15">
      <c r="B140" s="763"/>
      <c r="C140" s="789">
        <v>12</v>
      </c>
      <c r="D140" s="717" t="str">
        <f t="shared" si="14"/>
        <v>Community scale solid-fuel CHP with local district heating</v>
      </c>
      <c r="E140" s="717"/>
      <c r="F140" s="570"/>
      <c r="G140" s="570">
        <v>0.17</v>
      </c>
      <c r="H140" s="570">
        <v>-1</v>
      </c>
      <c r="I140" s="570"/>
      <c r="J140" s="570"/>
      <c r="K140" s="570"/>
      <c r="L140" s="570"/>
      <c r="M140" s="570">
        <v>0.56999999999999995</v>
      </c>
      <c r="N140" s="570">
        <v>0.26</v>
      </c>
      <c r="O140" s="564">
        <f t="shared" si="13"/>
        <v>0</v>
      </c>
      <c r="P140" s="558"/>
      <c r="Q140" s="1038"/>
    </row>
    <row r="141" spans="2:17" ht="15">
      <c r="B141" s="763"/>
      <c r="C141" s="715">
        <v>13</v>
      </c>
      <c r="D141" s="716" t="str">
        <f t="shared" si="14"/>
        <v>Long distance district heating from large power stations</v>
      </c>
      <c r="E141" s="716" t="s">
        <v>427</v>
      </c>
      <c r="F141" s="539"/>
      <c r="G141" s="573"/>
      <c r="H141" s="573"/>
      <c r="I141" s="573"/>
      <c r="J141" s="573"/>
      <c r="K141" s="573">
        <v>-1</v>
      </c>
      <c r="L141" s="573"/>
      <c r="M141" s="573">
        <v>0.9</v>
      </c>
      <c r="N141" s="573">
        <v>0.1</v>
      </c>
      <c r="O141" s="566">
        <f t="shared" si="13"/>
        <v>0</v>
      </c>
      <c r="P141" s="721"/>
      <c r="Q141" s="1038"/>
    </row>
    <row r="142" spans="2:17">
      <c r="B142" s="764"/>
      <c r="C142" s="968"/>
      <c r="D142" s="968"/>
      <c r="E142" s="968"/>
      <c r="F142" s="968"/>
      <c r="G142" s="968"/>
      <c r="H142" s="968"/>
      <c r="I142" s="968"/>
      <c r="J142" s="968"/>
      <c r="K142" s="968"/>
      <c r="L142" s="968"/>
      <c r="M142" s="968"/>
      <c r="N142" s="968"/>
      <c r="O142" s="968"/>
      <c r="P142" s="968"/>
      <c r="Q142" s="1038"/>
    </row>
    <row r="143" spans="2:17">
      <c r="B143" s="764"/>
      <c r="C143" s="1293" t="s">
        <v>1613</v>
      </c>
      <c r="D143" s="968"/>
      <c r="E143" s="968"/>
      <c r="F143" s="968"/>
      <c r="G143" s="783"/>
      <c r="H143" s="968"/>
      <c r="I143" s="968"/>
      <c r="J143" s="968"/>
      <c r="K143" s="968"/>
      <c r="L143" s="968"/>
      <c r="M143" s="968"/>
      <c r="N143" s="968"/>
      <c r="O143" s="783" t="s">
        <v>928</v>
      </c>
      <c r="P143" s="783"/>
      <c r="Q143" s="1038"/>
    </row>
    <row r="144" spans="2:17" ht="5.25" customHeight="1">
      <c r="B144" s="764"/>
      <c r="C144" s="968"/>
      <c r="D144" s="968"/>
      <c r="E144" s="968"/>
      <c r="F144" s="968"/>
      <c r="G144" s="968"/>
      <c r="H144" s="968"/>
      <c r="I144" s="968"/>
      <c r="J144" s="968"/>
      <c r="K144" s="968"/>
      <c r="L144" s="968"/>
      <c r="M144" s="968"/>
      <c r="N144" s="968"/>
      <c r="O144" s="968"/>
      <c r="P144" s="968"/>
      <c r="Q144" s="1038"/>
    </row>
    <row r="145" spans="2:17" ht="22">
      <c r="B145" s="764"/>
      <c r="C145" s="1366"/>
      <c r="D145" s="1366"/>
      <c r="E145" s="1366"/>
      <c r="F145" s="1379" t="str">
        <f>INDEX(Vectors[Description], MATCH(F$146, Vectors[Code], 0))</f>
        <v>Electricity (delivered to end user)</v>
      </c>
      <c r="G145" s="1379" t="str">
        <f>INDEX(Vectors[Description], MATCH(G$146, Vectors[Code], 0))</f>
        <v>Electricity (supplied to grid)</v>
      </c>
      <c r="H145" s="1379" t="str">
        <f>INDEX(Vectors[Description], MATCH(H$146, Vectors[Code], 0))</f>
        <v>Solid hydrocarbons</v>
      </c>
      <c r="I145" s="1379" t="str">
        <f>INDEX(Vectors[Description], MATCH(I$146, Vectors[Code], 0))</f>
        <v>Liquid hydrocarbons</v>
      </c>
      <c r="J145" s="1379" t="str">
        <f>INDEX(Vectors[Description], MATCH(J$146, Vectors[Code], 0))</f>
        <v>Gaseous hydrocarbons</v>
      </c>
      <c r="K145" s="1379" t="str">
        <f>INDEX(Vectors[Description], MATCH(K$146, Vectors[Code], 0))</f>
        <v>Heat transport</v>
      </c>
      <c r="L145" s="1379" t="str">
        <f>INDEX(Vectors[Description], MATCH(L$146, Vectors[Code], 0))</f>
        <v>Environmental heat</v>
      </c>
      <c r="M145" s="1379" t="str">
        <f>INDEX(Vectors[Description], MATCH(M$146, Vectors[Code], 0))</f>
        <v>Heating &amp; cooling</v>
      </c>
      <c r="N145" s="1379" t="str">
        <f>INDEX(Vectors[Description], MATCH(N$146, Vectors[Code], 0))</f>
        <v>Conversion losses</v>
      </c>
      <c r="O145" s="1380" t="s">
        <v>673</v>
      </c>
      <c r="P145" s="1381"/>
      <c r="Q145" s="1038"/>
    </row>
    <row r="146" spans="2:17">
      <c r="B146" s="764"/>
      <c r="C146" s="1382" t="s">
        <v>77</v>
      </c>
      <c r="D146" s="1382" t="s">
        <v>655</v>
      </c>
      <c r="E146" s="1382" t="s">
        <v>422</v>
      </c>
      <c r="F146" s="1383" t="s">
        <v>40</v>
      </c>
      <c r="G146" s="1383" t="s">
        <v>41</v>
      </c>
      <c r="H146" s="1383" t="s">
        <v>42</v>
      </c>
      <c r="I146" s="1383" t="s">
        <v>44</v>
      </c>
      <c r="J146" s="1383" t="s">
        <v>45</v>
      </c>
      <c r="K146" s="1383" t="s">
        <v>625</v>
      </c>
      <c r="L146" s="1383" t="s">
        <v>98</v>
      </c>
      <c r="M146" s="1383" t="s">
        <v>6</v>
      </c>
      <c r="N146" s="1383" t="s">
        <v>31</v>
      </c>
      <c r="O146" s="1384"/>
      <c r="P146" s="1385"/>
      <c r="Q146" s="1038"/>
    </row>
    <row r="147" spans="2:17" ht="15">
      <c r="B147" s="763"/>
      <c r="C147" s="789">
        <v>1</v>
      </c>
      <c r="D147" s="717" t="str">
        <f t="shared" ref="D147:D159" si="15">INDEX($D$76:$D$88, MATCH($C147, $C$76:$C$88, 0))</f>
        <v>Gas boiler (old)</v>
      </c>
      <c r="E147" s="717"/>
      <c r="F147" s="570"/>
      <c r="G147" s="570"/>
      <c r="H147" s="570"/>
      <c r="I147" s="570"/>
      <c r="J147" s="570">
        <v>-1</v>
      </c>
      <c r="K147" s="570"/>
      <c r="L147" s="570"/>
      <c r="M147" s="570">
        <v>0.76</v>
      </c>
      <c r="N147" s="570">
        <v>0.24</v>
      </c>
      <c r="O147" s="564">
        <f t="shared" ref="O147:O159" si="16">SUM(F147:N147)</f>
        <v>0</v>
      </c>
      <c r="P147" s="558"/>
      <c r="Q147" s="1038"/>
    </row>
    <row r="148" spans="2:17" ht="15">
      <c r="B148" s="763"/>
      <c r="C148" s="789">
        <v>2</v>
      </c>
      <c r="D148" s="717" t="str">
        <f t="shared" si="15"/>
        <v>Gas boiler (new)</v>
      </c>
      <c r="E148" s="717"/>
      <c r="F148" s="570"/>
      <c r="G148" s="570"/>
      <c r="H148" s="570"/>
      <c r="I148" s="570"/>
      <c r="J148" s="570">
        <v>-1</v>
      </c>
      <c r="K148" s="570"/>
      <c r="L148" s="570"/>
      <c r="M148" s="570">
        <v>0.91</v>
      </c>
      <c r="N148" s="570">
        <v>0.09</v>
      </c>
      <c r="O148" s="564">
        <f t="shared" si="16"/>
        <v>0</v>
      </c>
      <c r="P148" s="558"/>
      <c r="Q148" s="1038"/>
    </row>
    <row r="149" spans="2:17" ht="15">
      <c r="B149" s="763"/>
      <c r="C149" s="789">
        <v>3</v>
      </c>
      <c r="D149" s="717" t="str">
        <f t="shared" si="15"/>
        <v>Resistive heating</v>
      </c>
      <c r="E149" s="717"/>
      <c r="F149" s="570">
        <v>-1</v>
      </c>
      <c r="G149" s="570"/>
      <c r="H149" s="570"/>
      <c r="I149" s="570"/>
      <c r="J149" s="570"/>
      <c r="K149" s="570"/>
      <c r="L149" s="570"/>
      <c r="M149" s="570">
        <v>1</v>
      </c>
      <c r="N149" s="570">
        <v>0</v>
      </c>
      <c r="O149" s="564">
        <f t="shared" si="16"/>
        <v>0</v>
      </c>
      <c r="P149" s="558"/>
      <c r="Q149" s="1038"/>
    </row>
    <row r="150" spans="2:17" ht="15">
      <c r="B150" s="763"/>
      <c r="C150" s="789">
        <v>4</v>
      </c>
      <c r="D150" s="717" t="str">
        <f t="shared" si="15"/>
        <v>Oil-fired boiler</v>
      </c>
      <c r="E150" s="717"/>
      <c r="F150" s="570"/>
      <c r="G150" s="570"/>
      <c r="H150" s="570"/>
      <c r="I150" s="570">
        <v>-1</v>
      </c>
      <c r="J150" s="570"/>
      <c r="K150" s="570"/>
      <c r="L150" s="570"/>
      <c r="M150" s="570">
        <v>0.97</v>
      </c>
      <c r="N150" s="570">
        <v>0.03</v>
      </c>
      <c r="O150" s="564">
        <f t="shared" si="16"/>
        <v>-2.7755575615628914E-17</v>
      </c>
      <c r="P150" s="558"/>
      <c r="Q150" s="1038"/>
    </row>
    <row r="151" spans="2:17" ht="15">
      <c r="B151" s="763"/>
      <c r="C151" s="789">
        <v>5</v>
      </c>
      <c r="D151" s="717" t="str">
        <f t="shared" si="15"/>
        <v>Solid-fuel boiler</v>
      </c>
      <c r="E151" s="717" t="s">
        <v>109</v>
      </c>
      <c r="F151" s="570"/>
      <c r="G151" s="570"/>
      <c r="H151" s="570">
        <v>-1</v>
      </c>
      <c r="I151" s="570"/>
      <c r="J151" s="570"/>
      <c r="K151" s="570"/>
      <c r="L151" s="570"/>
      <c r="M151" s="570">
        <v>0.87</v>
      </c>
      <c r="N151" s="570">
        <v>0.13</v>
      </c>
      <c r="O151" s="564">
        <f t="shared" si="16"/>
        <v>0</v>
      </c>
      <c r="P151" s="558"/>
      <c r="Q151" s="1038"/>
    </row>
    <row r="152" spans="2:17" ht="15">
      <c r="B152" s="763"/>
      <c r="C152" s="789">
        <v>6</v>
      </c>
      <c r="D152" s="717" t="str">
        <f t="shared" si="15"/>
        <v>Stirling engine micro-CHP</v>
      </c>
      <c r="E152" s="717" t="s">
        <v>110</v>
      </c>
      <c r="F152" s="570"/>
      <c r="G152" s="570">
        <v>0.22500000000000001</v>
      </c>
      <c r="H152" s="570"/>
      <c r="I152" s="570"/>
      <c r="J152" s="570">
        <v>-1</v>
      </c>
      <c r="K152" s="570"/>
      <c r="L152" s="570"/>
      <c r="M152" s="570">
        <v>0.63</v>
      </c>
      <c r="N152" s="570">
        <v>0.14499999999999999</v>
      </c>
      <c r="O152" s="564">
        <f t="shared" si="16"/>
        <v>0</v>
      </c>
      <c r="P152" s="558"/>
      <c r="Q152" s="1038"/>
    </row>
    <row r="153" spans="2:17" ht="15">
      <c r="B153" s="763"/>
      <c r="C153" s="789">
        <v>7</v>
      </c>
      <c r="D153" s="717" t="str">
        <f t="shared" si="15"/>
        <v>Fuel-cell micro-CHP</v>
      </c>
      <c r="E153" s="717" t="s">
        <v>110</v>
      </c>
      <c r="F153" s="570"/>
      <c r="G153" s="570">
        <v>0.45</v>
      </c>
      <c r="H153" s="570"/>
      <c r="I153" s="570"/>
      <c r="J153" s="570">
        <v>-1</v>
      </c>
      <c r="K153" s="570"/>
      <c r="L153" s="570"/>
      <c r="M153" s="570">
        <v>0.45</v>
      </c>
      <c r="N153" s="570">
        <v>0.1</v>
      </c>
      <c r="O153" s="564">
        <f t="shared" si="16"/>
        <v>0</v>
      </c>
      <c r="P153" s="558"/>
      <c r="Q153" s="1038"/>
    </row>
    <row r="154" spans="2:17" ht="15">
      <c r="B154" s="763"/>
      <c r="C154" s="789">
        <v>8</v>
      </c>
      <c r="D154" s="717" t="str">
        <f t="shared" si="15"/>
        <v>Air-source heat pump</v>
      </c>
      <c r="E154" s="717"/>
      <c r="F154" s="570">
        <v>-1</v>
      </c>
      <c r="G154" s="570"/>
      <c r="H154" s="570"/>
      <c r="I154" s="570"/>
      <c r="J154" s="570"/>
      <c r="K154" s="570"/>
      <c r="L154" s="570">
        <v>-1</v>
      </c>
      <c r="M154" s="570">
        <v>2</v>
      </c>
      <c r="N154" s="570"/>
      <c r="O154" s="564">
        <f t="shared" si="16"/>
        <v>0</v>
      </c>
      <c r="P154" s="558"/>
      <c r="Q154" s="1038"/>
    </row>
    <row r="155" spans="2:17" ht="15">
      <c r="B155" s="763"/>
      <c r="C155" s="789">
        <v>9</v>
      </c>
      <c r="D155" s="717" t="str">
        <f t="shared" si="15"/>
        <v>Ground-source heat pump</v>
      </c>
      <c r="E155" s="717"/>
      <c r="F155" s="570">
        <v>-1</v>
      </c>
      <c r="G155" s="570"/>
      <c r="H155" s="570"/>
      <c r="I155" s="570"/>
      <c r="J155" s="570"/>
      <c r="K155" s="570"/>
      <c r="L155" s="570">
        <v>-2</v>
      </c>
      <c r="M155" s="570">
        <v>3</v>
      </c>
      <c r="N155" s="570"/>
      <c r="O155" s="564">
        <f t="shared" si="16"/>
        <v>0</v>
      </c>
      <c r="P155" s="558"/>
      <c r="Q155" s="1038"/>
    </row>
    <row r="156" spans="2:17" ht="15">
      <c r="B156" s="763"/>
      <c r="C156" s="789">
        <v>10</v>
      </c>
      <c r="D156" s="717" t="str">
        <f t="shared" si="15"/>
        <v>Geothermal electricity</v>
      </c>
      <c r="E156" s="717"/>
      <c r="F156" s="570"/>
      <c r="G156" s="570"/>
      <c r="H156" s="570"/>
      <c r="I156" s="570"/>
      <c r="J156" s="570"/>
      <c r="K156" s="570"/>
      <c r="L156" s="570">
        <v>-1</v>
      </c>
      <c r="M156" s="570">
        <v>0.85</v>
      </c>
      <c r="N156" s="570">
        <v>0.15</v>
      </c>
      <c r="O156" s="564">
        <f t="shared" si="16"/>
        <v>0</v>
      </c>
      <c r="P156" s="558"/>
      <c r="Q156" s="1038"/>
    </row>
    <row r="157" spans="2:17" ht="15">
      <c r="B157" s="763"/>
      <c r="C157" s="789">
        <v>11</v>
      </c>
      <c r="D157" s="717" t="str">
        <f t="shared" si="15"/>
        <v>Community scale gas CHP with local district heating</v>
      </c>
      <c r="E157" s="717"/>
      <c r="F157" s="570"/>
      <c r="G157" s="570">
        <v>0.38</v>
      </c>
      <c r="H157" s="570"/>
      <c r="I157" s="570"/>
      <c r="J157" s="570">
        <v>-1</v>
      </c>
      <c r="K157" s="570"/>
      <c r="L157" s="570"/>
      <c r="M157" s="570">
        <v>0.38</v>
      </c>
      <c r="N157" s="570">
        <v>0.24</v>
      </c>
      <c r="O157" s="564">
        <f t="shared" si="16"/>
        <v>0</v>
      </c>
      <c r="P157" s="558"/>
      <c r="Q157" s="1038"/>
    </row>
    <row r="158" spans="2:17" ht="15">
      <c r="B158" s="763"/>
      <c r="C158" s="789">
        <v>12</v>
      </c>
      <c r="D158" s="717" t="str">
        <f t="shared" si="15"/>
        <v>Community scale solid-fuel CHP with local district heating</v>
      </c>
      <c r="E158" s="717"/>
      <c r="F158" s="570"/>
      <c r="G158" s="570">
        <v>0.17</v>
      </c>
      <c r="H158" s="570">
        <v>-1</v>
      </c>
      <c r="I158" s="570"/>
      <c r="J158" s="570"/>
      <c r="K158" s="570"/>
      <c r="L158" s="570"/>
      <c r="M158" s="570">
        <v>0.56999999999999995</v>
      </c>
      <c r="N158" s="570">
        <v>0.26</v>
      </c>
      <c r="O158" s="564">
        <f t="shared" si="16"/>
        <v>0</v>
      </c>
      <c r="P158" s="558"/>
      <c r="Q158" s="1038"/>
    </row>
    <row r="159" spans="2:17" ht="15">
      <c r="B159" s="763"/>
      <c r="C159" s="715">
        <v>13</v>
      </c>
      <c r="D159" s="716" t="str">
        <f t="shared" si="15"/>
        <v>Long distance district heating from large power stations</v>
      </c>
      <c r="E159" s="716" t="s">
        <v>427</v>
      </c>
      <c r="F159" s="539"/>
      <c r="G159" s="573"/>
      <c r="H159" s="573"/>
      <c r="I159" s="573"/>
      <c r="J159" s="573"/>
      <c r="K159" s="573">
        <v>-1</v>
      </c>
      <c r="L159" s="573"/>
      <c r="M159" s="573">
        <v>0.9</v>
      </c>
      <c r="N159" s="573">
        <v>0.1</v>
      </c>
      <c r="O159" s="566">
        <f t="shared" si="16"/>
        <v>0</v>
      </c>
      <c r="P159" s="721"/>
      <c r="Q159" s="1038"/>
    </row>
    <row r="160" spans="2:17" ht="15">
      <c r="B160" s="763"/>
      <c r="C160" s="968"/>
      <c r="D160" s="968"/>
      <c r="E160" s="968"/>
      <c r="F160" s="968"/>
      <c r="G160" s="968"/>
      <c r="H160" s="968"/>
      <c r="I160" s="968"/>
      <c r="J160" s="968"/>
      <c r="K160" s="968"/>
      <c r="L160" s="968"/>
      <c r="M160" s="968"/>
      <c r="N160" s="968"/>
      <c r="O160" s="968"/>
      <c r="P160" s="968"/>
      <c r="Q160" s="1038"/>
    </row>
    <row r="161" spans="2:17">
      <c r="B161" s="1295"/>
      <c r="C161" s="1293" t="s">
        <v>1615</v>
      </c>
      <c r="D161" s="968"/>
      <c r="E161" s="968"/>
      <c r="F161" s="968"/>
      <c r="G161" s="783"/>
      <c r="H161" s="968"/>
      <c r="I161" s="968"/>
      <c r="J161" s="968"/>
      <c r="K161" s="968"/>
      <c r="L161" s="968"/>
      <c r="M161" s="968"/>
      <c r="N161" s="968"/>
      <c r="O161" s="783" t="s">
        <v>928</v>
      </c>
      <c r="P161" s="783"/>
      <c r="Q161" s="1038"/>
    </row>
    <row r="162" spans="2:17" ht="5.25" customHeight="1">
      <c r="B162" s="764"/>
      <c r="C162" s="968"/>
      <c r="D162" s="968"/>
      <c r="E162" s="968"/>
      <c r="F162" s="968"/>
      <c r="G162" s="968"/>
      <c r="H162" s="968"/>
      <c r="I162" s="968"/>
      <c r="J162" s="968"/>
      <c r="K162" s="968"/>
      <c r="L162" s="968"/>
      <c r="M162" s="968"/>
      <c r="N162" s="968"/>
      <c r="O162" s="968"/>
      <c r="P162" s="968"/>
      <c r="Q162" s="1038"/>
    </row>
    <row r="163" spans="2:17" ht="22">
      <c r="B163" s="763"/>
      <c r="C163" s="1366"/>
      <c r="D163" s="1366"/>
      <c r="E163" s="1366"/>
      <c r="F163" s="1379" t="str">
        <f>INDEX(Vectors[Description], MATCH(F$128, Vectors[Code], 0))</f>
        <v>Electricity (delivered to end user)</v>
      </c>
      <c r="G163" s="1379" t="str">
        <f>INDEX(Vectors[Description], MATCH(G$128, Vectors[Code], 0))</f>
        <v>Electricity (supplied to grid)</v>
      </c>
      <c r="H163" s="1379" t="str">
        <f>INDEX(Vectors[Description], MATCH(H$128, Vectors[Code], 0))</f>
        <v>Solid hydrocarbons</v>
      </c>
      <c r="I163" s="1379" t="str">
        <f>INDEX(Vectors[Description], MATCH(I$128, Vectors[Code], 0))</f>
        <v>Liquid hydrocarbons</v>
      </c>
      <c r="J163" s="1379" t="str">
        <f>INDEX(Vectors[Description], MATCH(J$128, Vectors[Code], 0))</f>
        <v>Gaseous hydrocarbons</v>
      </c>
      <c r="K163" s="1379" t="str">
        <f>INDEX(Vectors[Description], MATCH(K$128, Vectors[Code], 0))</f>
        <v>Heat transport</v>
      </c>
      <c r="L163" s="1379" t="str">
        <f>INDEX(Vectors[Description], MATCH(L$128, Vectors[Code], 0))</f>
        <v>Environmental heat</v>
      </c>
      <c r="M163" s="1379" t="str">
        <f>INDEX(Vectors[Description], MATCH(M$128, Vectors[Code], 0))</f>
        <v>Heating &amp; cooling</v>
      </c>
      <c r="N163" s="1379" t="str">
        <f>INDEX(Vectors[Description], MATCH(N$128, Vectors[Code], 0))</f>
        <v>Conversion losses</v>
      </c>
      <c r="O163" s="1380" t="s">
        <v>673</v>
      </c>
      <c r="P163" s="1381"/>
      <c r="Q163" s="1038"/>
    </row>
    <row r="164" spans="2:17" ht="15">
      <c r="B164" s="763"/>
      <c r="C164" s="1382" t="s">
        <v>77</v>
      </c>
      <c r="D164" s="1382" t="s">
        <v>655</v>
      </c>
      <c r="E164" s="1382" t="s">
        <v>422</v>
      </c>
      <c r="F164" s="1383" t="s">
        <v>40</v>
      </c>
      <c r="G164" s="1383" t="s">
        <v>41</v>
      </c>
      <c r="H164" s="1383" t="s">
        <v>42</v>
      </c>
      <c r="I164" s="1383" t="s">
        <v>44</v>
      </c>
      <c r="J164" s="1383" t="s">
        <v>45</v>
      </c>
      <c r="K164" s="1383" t="s">
        <v>625</v>
      </c>
      <c r="L164" s="1383" t="s">
        <v>98</v>
      </c>
      <c r="M164" s="1383" t="s">
        <v>6</v>
      </c>
      <c r="N164" s="1383" t="s">
        <v>31</v>
      </c>
      <c r="O164" s="1384"/>
      <c r="P164" s="1385"/>
      <c r="Q164" s="1038"/>
    </row>
    <row r="165" spans="2:17" ht="15">
      <c r="B165" s="763"/>
      <c r="C165" s="789">
        <v>1</v>
      </c>
      <c r="D165" s="717" t="str">
        <f>INDEX($D$76:$D$88, MATCH($C165, $C$76:$C$88, 0))</f>
        <v>Gas boiler (old)</v>
      </c>
      <c r="E165" s="717"/>
      <c r="F165" s="570">
        <f>F129</f>
        <v>0</v>
      </c>
      <c r="G165" s="570">
        <f t="shared" ref="G165:O165" si="17">G129</f>
        <v>0</v>
      </c>
      <c r="H165" s="570">
        <f t="shared" si="17"/>
        <v>0</v>
      </c>
      <c r="I165" s="570">
        <f t="shared" si="17"/>
        <v>0</v>
      </c>
      <c r="J165" s="570">
        <f t="shared" si="17"/>
        <v>-1</v>
      </c>
      <c r="K165" s="570">
        <f t="shared" si="17"/>
        <v>0</v>
      </c>
      <c r="L165" s="570">
        <f t="shared" si="17"/>
        <v>0</v>
      </c>
      <c r="M165" s="570">
        <f t="shared" si="17"/>
        <v>0.76</v>
      </c>
      <c r="N165" s="570">
        <f t="shared" si="17"/>
        <v>0.24</v>
      </c>
      <c r="O165" s="564">
        <f t="shared" si="17"/>
        <v>0</v>
      </c>
      <c r="P165" s="558"/>
      <c r="Q165" s="1038"/>
    </row>
    <row r="166" spans="2:17" ht="15">
      <c r="B166" s="763"/>
      <c r="C166" s="789">
        <v>2</v>
      </c>
      <c r="D166" s="717" t="str">
        <f t="shared" ref="D166:D177" si="18">INDEX($D$76:$D$88, MATCH($C166, $C$76:$C$88, 0))</f>
        <v>Gas boiler (new)</v>
      </c>
      <c r="E166" s="717"/>
      <c r="F166" s="570">
        <f t="shared" ref="F166:O166" si="19">F130</f>
        <v>0</v>
      </c>
      <c r="G166" s="570">
        <f t="shared" si="19"/>
        <v>0</v>
      </c>
      <c r="H166" s="570">
        <f t="shared" si="19"/>
        <v>0</v>
      </c>
      <c r="I166" s="570">
        <f t="shared" si="19"/>
        <v>0</v>
      </c>
      <c r="J166" s="570">
        <f t="shared" si="19"/>
        <v>-1</v>
      </c>
      <c r="K166" s="570">
        <f t="shared" si="19"/>
        <v>0</v>
      </c>
      <c r="L166" s="570">
        <f t="shared" si="19"/>
        <v>0</v>
      </c>
      <c r="M166" s="570">
        <f t="shared" si="19"/>
        <v>0.91</v>
      </c>
      <c r="N166" s="570">
        <f t="shared" si="19"/>
        <v>0.09</v>
      </c>
      <c r="O166" s="564">
        <f t="shared" si="19"/>
        <v>0</v>
      </c>
      <c r="P166" s="558"/>
      <c r="Q166" s="1038"/>
    </row>
    <row r="167" spans="2:17" ht="15">
      <c r="B167" s="763"/>
      <c r="C167" s="789">
        <v>3</v>
      </c>
      <c r="D167" s="717" t="str">
        <f t="shared" si="18"/>
        <v>Resistive heating</v>
      </c>
      <c r="E167" s="717"/>
      <c r="F167" s="570">
        <f t="shared" ref="F167:O167" si="20">F131</f>
        <v>-1</v>
      </c>
      <c r="G167" s="570">
        <f t="shared" si="20"/>
        <v>0</v>
      </c>
      <c r="H167" s="570">
        <f t="shared" si="20"/>
        <v>0</v>
      </c>
      <c r="I167" s="570">
        <f t="shared" si="20"/>
        <v>0</v>
      </c>
      <c r="J167" s="570">
        <f t="shared" si="20"/>
        <v>0</v>
      </c>
      <c r="K167" s="570">
        <f t="shared" si="20"/>
        <v>0</v>
      </c>
      <c r="L167" s="570">
        <f t="shared" si="20"/>
        <v>0</v>
      </c>
      <c r="M167" s="570">
        <f t="shared" si="20"/>
        <v>1</v>
      </c>
      <c r="N167" s="570">
        <f t="shared" si="20"/>
        <v>0</v>
      </c>
      <c r="O167" s="564">
        <f t="shared" si="20"/>
        <v>0</v>
      </c>
      <c r="P167" s="558"/>
      <c r="Q167" s="1038"/>
    </row>
    <row r="168" spans="2:17" ht="15">
      <c r="B168" s="763"/>
      <c r="C168" s="789">
        <v>4</v>
      </c>
      <c r="D168" s="717" t="str">
        <f t="shared" si="18"/>
        <v>Oil-fired boiler</v>
      </c>
      <c r="E168" s="717"/>
      <c r="F168" s="570">
        <f t="shared" ref="F168:O168" si="21">F132</f>
        <v>0</v>
      </c>
      <c r="G168" s="570">
        <f t="shared" si="21"/>
        <v>0</v>
      </c>
      <c r="H168" s="570">
        <f t="shared" si="21"/>
        <v>0</v>
      </c>
      <c r="I168" s="570">
        <f t="shared" si="21"/>
        <v>-1</v>
      </c>
      <c r="J168" s="570">
        <f t="shared" si="21"/>
        <v>0</v>
      </c>
      <c r="K168" s="570">
        <f t="shared" si="21"/>
        <v>0</v>
      </c>
      <c r="L168" s="570">
        <f t="shared" si="21"/>
        <v>0</v>
      </c>
      <c r="M168" s="570">
        <f t="shared" si="21"/>
        <v>0.97</v>
      </c>
      <c r="N168" s="570">
        <f t="shared" si="21"/>
        <v>0.03</v>
      </c>
      <c r="O168" s="564">
        <f t="shared" si="21"/>
        <v>-2.7755575615628914E-17</v>
      </c>
      <c r="P168" s="558"/>
      <c r="Q168" s="1038"/>
    </row>
    <row r="169" spans="2:17" ht="15">
      <c r="B169" s="763"/>
      <c r="C169" s="789">
        <v>5</v>
      </c>
      <c r="D169" s="717" t="str">
        <f t="shared" si="18"/>
        <v>Solid-fuel boiler</v>
      </c>
      <c r="E169" s="717" t="s">
        <v>109</v>
      </c>
      <c r="F169" s="570">
        <f t="shared" ref="F169:O169" si="22">F133</f>
        <v>0</v>
      </c>
      <c r="G169" s="570">
        <f t="shared" si="22"/>
        <v>0</v>
      </c>
      <c r="H169" s="570">
        <f t="shared" si="22"/>
        <v>-1</v>
      </c>
      <c r="I169" s="570">
        <f t="shared" si="22"/>
        <v>0</v>
      </c>
      <c r="J169" s="570">
        <f t="shared" si="22"/>
        <v>0</v>
      </c>
      <c r="K169" s="570">
        <f t="shared" si="22"/>
        <v>0</v>
      </c>
      <c r="L169" s="570">
        <f t="shared" si="22"/>
        <v>0</v>
      </c>
      <c r="M169" s="570">
        <f t="shared" si="22"/>
        <v>0.87</v>
      </c>
      <c r="N169" s="570">
        <f t="shared" si="22"/>
        <v>0.13</v>
      </c>
      <c r="O169" s="564">
        <f t="shared" si="22"/>
        <v>0</v>
      </c>
      <c r="P169" s="558"/>
      <c r="Q169" s="1038"/>
    </row>
    <row r="170" spans="2:17" ht="15">
      <c r="B170" s="763"/>
      <c r="C170" s="789">
        <v>6</v>
      </c>
      <c r="D170" s="717" t="str">
        <f t="shared" si="18"/>
        <v>Stirling engine micro-CHP</v>
      </c>
      <c r="E170" s="717"/>
      <c r="F170" s="570">
        <f t="shared" ref="F170:O170" si="23">F134</f>
        <v>0</v>
      </c>
      <c r="G170" s="570">
        <f t="shared" si="23"/>
        <v>0.22500000000000001</v>
      </c>
      <c r="H170" s="570">
        <f t="shared" si="23"/>
        <v>0</v>
      </c>
      <c r="I170" s="570">
        <f t="shared" si="23"/>
        <v>0</v>
      </c>
      <c r="J170" s="570">
        <f t="shared" si="23"/>
        <v>-1</v>
      </c>
      <c r="K170" s="570">
        <f t="shared" si="23"/>
        <v>0</v>
      </c>
      <c r="L170" s="570">
        <f t="shared" si="23"/>
        <v>0</v>
      </c>
      <c r="M170" s="570">
        <f t="shared" si="23"/>
        <v>0.63</v>
      </c>
      <c r="N170" s="570">
        <f t="shared" si="23"/>
        <v>0.14499999999999999</v>
      </c>
      <c r="O170" s="564">
        <f t="shared" si="23"/>
        <v>0</v>
      </c>
      <c r="P170" s="558"/>
      <c r="Q170" s="1038"/>
    </row>
    <row r="171" spans="2:17" ht="15">
      <c r="B171" s="763"/>
      <c r="C171" s="789">
        <v>7</v>
      </c>
      <c r="D171" s="717" t="str">
        <f t="shared" si="18"/>
        <v>Fuel-cell micro-CHP</v>
      </c>
      <c r="E171" s="717"/>
      <c r="F171" s="570">
        <f t="shared" ref="F171:O171" si="24">F135</f>
        <v>0</v>
      </c>
      <c r="G171" s="570">
        <f t="shared" si="24"/>
        <v>0.45</v>
      </c>
      <c r="H171" s="570">
        <f t="shared" si="24"/>
        <v>0</v>
      </c>
      <c r="I171" s="570">
        <f t="shared" si="24"/>
        <v>0</v>
      </c>
      <c r="J171" s="570">
        <f t="shared" si="24"/>
        <v>-1</v>
      </c>
      <c r="K171" s="570">
        <f t="shared" si="24"/>
        <v>0</v>
      </c>
      <c r="L171" s="570">
        <f t="shared" si="24"/>
        <v>0</v>
      </c>
      <c r="M171" s="570">
        <f t="shared" si="24"/>
        <v>0.45</v>
      </c>
      <c r="N171" s="570">
        <f t="shared" si="24"/>
        <v>0.1</v>
      </c>
      <c r="O171" s="564">
        <f t="shared" si="24"/>
        <v>0</v>
      </c>
      <c r="P171" s="558"/>
      <c r="Q171" s="1038"/>
    </row>
    <row r="172" spans="2:17" ht="15">
      <c r="B172" s="763"/>
      <c r="C172" s="789">
        <v>8</v>
      </c>
      <c r="D172" s="717" t="str">
        <f t="shared" si="18"/>
        <v>Air-source heat pump</v>
      </c>
      <c r="E172" s="717"/>
      <c r="F172" s="570">
        <f t="shared" ref="F172:O172" si="25">F136</f>
        <v>-1</v>
      </c>
      <c r="G172" s="570">
        <f t="shared" si="25"/>
        <v>0</v>
      </c>
      <c r="H172" s="570">
        <f t="shared" si="25"/>
        <v>0</v>
      </c>
      <c r="I172" s="570">
        <f t="shared" si="25"/>
        <v>0</v>
      </c>
      <c r="J172" s="570">
        <f t="shared" si="25"/>
        <v>0</v>
      </c>
      <c r="K172" s="570">
        <f t="shared" si="25"/>
        <v>0</v>
      </c>
      <c r="L172" s="570">
        <f>-M172-F172</f>
        <v>-1.7000000000000002</v>
      </c>
      <c r="M172" s="570">
        <f>M136*90%</f>
        <v>2.7</v>
      </c>
      <c r="N172" s="570">
        <f t="shared" si="25"/>
        <v>0</v>
      </c>
      <c r="O172" s="564">
        <f t="shared" si="25"/>
        <v>0</v>
      </c>
      <c r="P172" s="558"/>
      <c r="Q172" s="1038"/>
    </row>
    <row r="173" spans="2:17" ht="15">
      <c r="B173" s="763"/>
      <c r="C173" s="789">
        <v>9</v>
      </c>
      <c r="D173" s="717" t="str">
        <f t="shared" si="18"/>
        <v>Ground-source heat pump</v>
      </c>
      <c r="E173" s="717"/>
      <c r="F173" s="570">
        <f t="shared" ref="F173:O173" si="26">F137</f>
        <v>-1</v>
      </c>
      <c r="G173" s="570">
        <f t="shared" si="26"/>
        <v>0</v>
      </c>
      <c r="H173" s="570">
        <f t="shared" si="26"/>
        <v>0</v>
      </c>
      <c r="I173" s="570">
        <f t="shared" si="26"/>
        <v>0</v>
      </c>
      <c r="J173" s="570">
        <f t="shared" si="26"/>
        <v>0</v>
      </c>
      <c r="K173" s="570">
        <f t="shared" si="26"/>
        <v>0</v>
      </c>
      <c r="L173" s="570">
        <f>-M173-F173</f>
        <v>-2.96</v>
      </c>
      <c r="M173" s="570">
        <f>M137*99%</f>
        <v>3.96</v>
      </c>
      <c r="N173" s="570">
        <f t="shared" si="26"/>
        <v>0</v>
      </c>
      <c r="O173" s="564">
        <f t="shared" si="26"/>
        <v>0</v>
      </c>
      <c r="P173" s="558"/>
      <c r="Q173" s="1038"/>
    </row>
    <row r="174" spans="2:17" ht="15">
      <c r="B174" s="763"/>
      <c r="C174" s="789">
        <v>10</v>
      </c>
      <c r="D174" s="717" t="str">
        <f t="shared" si="18"/>
        <v>Geothermal electricity</v>
      </c>
      <c r="E174" s="717"/>
      <c r="F174" s="570">
        <f t="shared" ref="F174:O174" si="27">F138</f>
        <v>0</v>
      </c>
      <c r="G174" s="570">
        <f t="shared" si="27"/>
        <v>0</v>
      </c>
      <c r="H174" s="570">
        <f t="shared" si="27"/>
        <v>0</v>
      </c>
      <c r="I174" s="570">
        <f t="shared" si="27"/>
        <v>0</v>
      </c>
      <c r="J174" s="570">
        <f t="shared" si="27"/>
        <v>0</v>
      </c>
      <c r="K174" s="570">
        <f t="shared" si="27"/>
        <v>0</v>
      </c>
      <c r="L174" s="570">
        <f t="shared" si="27"/>
        <v>-1</v>
      </c>
      <c r="M174" s="570">
        <f t="shared" si="27"/>
        <v>0.85</v>
      </c>
      <c r="N174" s="570">
        <f t="shared" si="27"/>
        <v>0.15</v>
      </c>
      <c r="O174" s="564">
        <f t="shared" si="27"/>
        <v>0</v>
      </c>
      <c r="P174" s="558"/>
      <c r="Q174" s="1038"/>
    </row>
    <row r="175" spans="2:17" ht="15">
      <c r="B175" s="763"/>
      <c r="C175" s="789">
        <v>11</v>
      </c>
      <c r="D175" s="717" t="str">
        <f t="shared" si="18"/>
        <v>Community scale gas CHP with local district heating</v>
      </c>
      <c r="E175" s="717"/>
      <c r="F175" s="570">
        <f t="shared" ref="F175:O175" si="28">F139</f>
        <v>0</v>
      </c>
      <c r="G175" s="570">
        <f t="shared" si="28"/>
        <v>0.38</v>
      </c>
      <c r="H175" s="570">
        <f t="shared" si="28"/>
        <v>0</v>
      </c>
      <c r="I175" s="570">
        <f t="shared" si="28"/>
        <v>0</v>
      </c>
      <c r="J175" s="570">
        <f t="shared" si="28"/>
        <v>-1</v>
      </c>
      <c r="K175" s="570">
        <f t="shared" si="28"/>
        <v>0</v>
      </c>
      <c r="L175" s="570">
        <f t="shared" si="28"/>
        <v>0</v>
      </c>
      <c r="M175" s="570">
        <f t="shared" si="28"/>
        <v>0.38</v>
      </c>
      <c r="N175" s="570">
        <f t="shared" si="28"/>
        <v>0.24</v>
      </c>
      <c r="O175" s="564">
        <f t="shared" si="28"/>
        <v>0</v>
      </c>
      <c r="P175" s="558"/>
      <c r="Q175" s="1038"/>
    </row>
    <row r="176" spans="2:17" ht="15">
      <c r="B176" s="763"/>
      <c r="C176" s="789">
        <v>12</v>
      </c>
      <c r="D176" s="717" t="str">
        <f t="shared" si="18"/>
        <v>Community scale solid-fuel CHP with local district heating</v>
      </c>
      <c r="E176" s="717"/>
      <c r="F176" s="570">
        <f t="shared" ref="F176:O176" si="29">F140</f>
        <v>0</v>
      </c>
      <c r="G176" s="570">
        <f t="shared" si="29"/>
        <v>0.17</v>
      </c>
      <c r="H176" s="570">
        <f t="shared" si="29"/>
        <v>-1</v>
      </c>
      <c r="I176" s="570">
        <f t="shared" si="29"/>
        <v>0</v>
      </c>
      <c r="J176" s="570">
        <f t="shared" si="29"/>
        <v>0</v>
      </c>
      <c r="K176" s="570">
        <f t="shared" si="29"/>
        <v>0</v>
      </c>
      <c r="L176" s="570">
        <f t="shared" si="29"/>
        <v>0</v>
      </c>
      <c r="M176" s="570">
        <f t="shared" si="29"/>
        <v>0.56999999999999995</v>
      </c>
      <c r="N176" s="570">
        <f t="shared" si="29"/>
        <v>0.26</v>
      </c>
      <c r="O176" s="564">
        <f t="shared" si="29"/>
        <v>0</v>
      </c>
      <c r="P176" s="558"/>
      <c r="Q176" s="1038"/>
    </row>
    <row r="177" spans="2:17" ht="15">
      <c r="B177" s="763"/>
      <c r="C177" s="715">
        <v>13</v>
      </c>
      <c r="D177" s="716" t="str">
        <f t="shared" si="18"/>
        <v>Long distance district heating from large power stations</v>
      </c>
      <c r="E177" s="716" t="s">
        <v>427</v>
      </c>
      <c r="F177" s="539">
        <f t="shared" ref="F177:O177" si="30">F141</f>
        <v>0</v>
      </c>
      <c r="G177" s="573">
        <f t="shared" si="30"/>
        <v>0</v>
      </c>
      <c r="H177" s="573">
        <f t="shared" si="30"/>
        <v>0</v>
      </c>
      <c r="I177" s="573">
        <f t="shared" si="30"/>
        <v>0</v>
      </c>
      <c r="J177" s="573">
        <f t="shared" si="30"/>
        <v>0</v>
      </c>
      <c r="K177" s="573">
        <f t="shared" si="30"/>
        <v>-1</v>
      </c>
      <c r="L177" s="573">
        <f t="shared" si="30"/>
        <v>0</v>
      </c>
      <c r="M177" s="573">
        <f t="shared" si="30"/>
        <v>0.9</v>
      </c>
      <c r="N177" s="573">
        <f t="shared" si="30"/>
        <v>0.1</v>
      </c>
      <c r="O177" s="566">
        <f t="shared" si="30"/>
        <v>0</v>
      </c>
      <c r="P177" s="721"/>
      <c r="Q177" s="1038"/>
    </row>
    <row r="178" spans="2:17">
      <c r="B178" s="764"/>
      <c r="C178" s="968"/>
      <c r="D178" s="968"/>
      <c r="E178" s="968"/>
      <c r="F178" s="968"/>
      <c r="G178" s="968"/>
      <c r="H178" s="968"/>
      <c r="I178" s="968"/>
      <c r="J178" s="968"/>
      <c r="K178" s="968"/>
      <c r="L178" s="968"/>
      <c r="M178" s="968"/>
      <c r="N178" s="968"/>
      <c r="O178" s="968"/>
      <c r="P178" s="968"/>
      <c r="Q178" s="1038"/>
    </row>
    <row r="179" spans="2:17">
      <c r="B179" s="764"/>
      <c r="C179" s="1293" t="s">
        <v>1614</v>
      </c>
      <c r="D179" s="968"/>
      <c r="E179" s="968"/>
      <c r="F179" s="968"/>
      <c r="G179" s="783"/>
      <c r="H179" s="968"/>
      <c r="I179" s="968"/>
      <c r="J179" s="968"/>
      <c r="K179" s="968"/>
      <c r="L179" s="968"/>
      <c r="M179" s="968"/>
      <c r="N179" s="968"/>
      <c r="O179" s="783" t="s">
        <v>928</v>
      </c>
      <c r="P179" s="783"/>
      <c r="Q179" s="1038"/>
    </row>
    <row r="180" spans="2:17" ht="5.25" customHeight="1">
      <c r="B180" s="764"/>
      <c r="C180" s="968"/>
      <c r="D180" s="968"/>
      <c r="E180" s="968"/>
      <c r="F180" s="968"/>
      <c r="G180" s="968"/>
      <c r="H180" s="968"/>
      <c r="I180" s="968"/>
      <c r="J180" s="968"/>
      <c r="K180" s="968"/>
      <c r="L180" s="968"/>
      <c r="M180" s="968"/>
      <c r="N180" s="968"/>
      <c r="O180" s="968"/>
      <c r="P180" s="968"/>
      <c r="Q180" s="1038"/>
    </row>
    <row r="181" spans="2:17" ht="22">
      <c r="B181" s="764"/>
      <c r="C181" s="1366"/>
      <c r="D181" s="1366"/>
      <c r="E181" s="1366"/>
      <c r="F181" s="1379" t="str">
        <f>INDEX(Vectors[Description], MATCH(F$146, Vectors[Code], 0))</f>
        <v>Electricity (delivered to end user)</v>
      </c>
      <c r="G181" s="1379" t="str">
        <f>INDEX(Vectors[Description], MATCH(G$146, Vectors[Code], 0))</f>
        <v>Electricity (supplied to grid)</v>
      </c>
      <c r="H181" s="1379" t="str">
        <f>INDEX(Vectors[Description], MATCH(H$146, Vectors[Code], 0))</f>
        <v>Solid hydrocarbons</v>
      </c>
      <c r="I181" s="1379" t="str">
        <f>INDEX(Vectors[Description], MATCH(I$146, Vectors[Code], 0))</f>
        <v>Liquid hydrocarbons</v>
      </c>
      <c r="J181" s="1379" t="str">
        <f>INDEX(Vectors[Description], MATCH(J$146, Vectors[Code], 0))</f>
        <v>Gaseous hydrocarbons</v>
      </c>
      <c r="K181" s="1379" t="str">
        <f>INDEX(Vectors[Description], MATCH(K$146, Vectors[Code], 0))</f>
        <v>Heat transport</v>
      </c>
      <c r="L181" s="1379" t="str">
        <f>INDEX(Vectors[Description], MATCH(L$146, Vectors[Code], 0))</f>
        <v>Environmental heat</v>
      </c>
      <c r="M181" s="1379" t="str">
        <f>INDEX(Vectors[Description], MATCH(M$146, Vectors[Code], 0))</f>
        <v>Heating &amp; cooling</v>
      </c>
      <c r="N181" s="1379" t="str">
        <f>INDEX(Vectors[Description], MATCH(N$146, Vectors[Code], 0))</f>
        <v>Conversion losses</v>
      </c>
      <c r="O181" s="1380" t="s">
        <v>673</v>
      </c>
      <c r="P181" s="1381"/>
      <c r="Q181" s="1038"/>
    </row>
    <row r="182" spans="2:17">
      <c r="B182" s="764"/>
      <c r="C182" s="1382" t="s">
        <v>77</v>
      </c>
      <c r="D182" s="1382" t="s">
        <v>655</v>
      </c>
      <c r="E182" s="1382" t="s">
        <v>422</v>
      </c>
      <c r="F182" s="1383" t="s">
        <v>40</v>
      </c>
      <c r="G182" s="1383" t="s">
        <v>41</v>
      </c>
      <c r="H182" s="1383" t="s">
        <v>42</v>
      </c>
      <c r="I182" s="1383" t="s">
        <v>44</v>
      </c>
      <c r="J182" s="1383" t="s">
        <v>45</v>
      </c>
      <c r="K182" s="1383" t="s">
        <v>625</v>
      </c>
      <c r="L182" s="1383" t="s">
        <v>98</v>
      </c>
      <c r="M182" s="1383" t="s">
        <v>6</v>
      </c>
      <c r="N182" s="1383" t="s">
        <v>31</v>
      </c>
      <c r="O182" s="1384"/>
      <c r="P182" s="1385"/>
      <c r="Q182" s="1038"/>
    </row>
    <row r="183" spans="2:17" ht="15">
      <c r="B183" s="763"/>
      <c r="C183" s="789">
        <v>1</v>
      </c>
      <c r="D183" s="717" t="str">
        <f t="shared" ref="D183:D195" si="31">INDEX($D$76:$D$88, MATCH($C183, $C$76:$C$88, 0))</f>
        <v>Gas boiler (old)</v>
      </c>
      <c r="E183" s="717"/>
      <c r="F183" s="570">
        <f>F147</f>
        <v>0</v>
      </c>
      <c r="G183" s="570">
        <f t="shared" ref="G183:O183" si="32">G147</f>
        <v>0</v>
      </c>
      <c r="H183" s="570">
        <f t="shared" si="32"/>
        <v>0</v>
      </c>
      <c r="I183" s="570">
        <f t="shared" si="32"/>
        <v>0</v>
      </c>
      <c r="J183" s="570">
        <f t="shared" si="32"/>
        <v>-1</v>
      </c>
      <c r="K183" s="570">
        <f t="shared" si="32"/>
        <v>0</v>
      </c>
      <c r="L183" s="570">
        <f t="shared" si="32"/>
        <v>0</v>
      </c>
      <c r="M183" s="570">
        <f t="shared" si="32"/>
        <v>0.76</v>
      </c>
      <c r="N183" s="570">
        <f t="shared" si="32"/>
        <v>0.24</v>
      </c>
      <c r="O183" s="564">
        <f t="shared" si="32"/>
        <v>0</v>
      </c>
      <c r="P183" s="558"/>
      <c r="Q183" s="1038"/>
    </row>
    <row r="184" spans="2:17" ht="15">
      <c r="B184" s="763"/>
      <c r="C184" s="789">
        <v>2</v>
      </c>
      <c r="D184" s="717" t="str">
        <f t="shared" si="31"/>
        <v>Gas boiler (new)</v>
      </c>
      <c r="E184" s="717"/>
      <c r="F184" s="570">
        <f t="shared" ref="F184:O184" si="33">F148</f>
        <v>0</v>
      </c>
      <c r="G184" s="570">
        <f t="shared" si="33"/>
        <v>0</v>
      </c>
      <c r="H184" s="570">
        <f t="shared" si="33"/>
        <v>0</v>
      </c>
      <c r="I184" s="570">
        <f t="shared" si="33"/>
        <v>0</v>
      </c>
      <c r="J184" s="570">
        <f t="shared" si="33"/>
        <v>-1</v>
      </c>
      <c r="K184" s="570">
        <f t="shared" si="33"/>
        <v>0</v>
      </c>
      <c r="L184" s="570">
        <f t="shared" si="33"/>
        <v>0</v>
      </c>
      <c r="M184" s="570">
        <f t="shared" si="33"/>
        <v>0.91</v>
      </c>
      <c r="N184" s="570">
        <f t="shared" si="33"/>
        <v>0.09</v>
      </c>
      <c r="O184" s="564">
        <f t="shared" si="33"/>
        <v>0</v>
      </c>
      <c r="P184" s="558"/>
      <c r="Q184" s="1038"/>
    </row>
    <row r="185" spans="2:17" ht="15">
      <c r="B185" s="763"/>
      <c r="C185" s="789">
        <v>3</v>
      </c>
      <c r="D185" s="717" t="str">
        <f t="shared" si="31"/>
        <v>Resistive heating</v>
      </c>
      <c r="E185" s="717"/>
      <c r="F185" s="570">
        <f t="shared" ref="F185:O185" si="34">F149</f>
        <v>-1</v>
      </c>
      <c r="G185" s="570">
        <f t="shared" si="34"/>
        <v>0</v>
      </c>
      <c r="H185" s="570">
        <f t="shared" si="34"/>
        <v>0</v>
      </c>
      <c r="I185" s="570">
        <f t="shared" si="34"/>
        <v>0</v>
      </c>
      <c r="J185" s="570">
        <f t="shared" si="34"/>
        <v>0</v>
      </c>
      <c r="K185" s="570">
        <f t="shared" si="34"/>
        <v>0</v>
      </c>
      <c r="L185" s="570">
        <f t="shared" si="34"/>
        <v>0</v>
      </c>
      <c r="M185" s="570">
        <f t="shared" si="34"/>
        <v>1</v>
      </c>
      <c r="N185" s="570">
        <f t="shared" si="34"/>
        <v>0</v>
      </c>
      <c r="O185" s="564">
        <f t="shared" si="34"/>
        <v>0</v>
      </c>
      <c r="P185" s="558"/>
      <c r="Q185" s="1038"/>
    </row>
    <row r="186" spans="2:17" ht="15">
      <c r="B186" s="763"/>
      <c r="C186" s="789">
        <v>4</v>
      </c>
      <c r="D186" s="717" t="str">
        <f t="shared" si="31"/>
        <v>Oil-fired boiler</v>
      </c>
      <c r="E186" s="717"/>
      <c r="F186" s="570">
        <f t="shared" ref="F186:O186" si="35">F150</f>
        <v>0</v>
      </c>
      <c r="G186" s="570">
        <f t="shared" si="35"/>
        <v>0</v>
      </c>
      <c r="H186" s="570">
        <f t="shared" si="35"/>
        <v>0</v>
      </c>
      <c r="I186" s="570">
        <f t="shared" si="35"/>
        <v>-1</v>
      </c>
      <c r="J186" s="570">
        <f t="shared" si="35"/>
        <v>0</v>
      </c>
      <c r="K186" s="570">
        <f t="shared" si="35"/>
        <v>0</v>
      </c>
      <c r="L186" s="570">
        <f t="shared" si="35"/>
        <v>0</v>
      </c>
      <c r="M186" s="570">
        <f t="shared" si="35"/>
        <v>0.97</v>
      </c>
      <c r="N186" s="570">
        <f t="shared" si="35"/>
        <v>0.03</v>
      </c>
      <c r="O186" s="564">
        <f t="shared" si="35"/>
        <v>-2.7755575615628914E-17</v>
      </c>
      <c r="P186" s="558"/>
      <c r="Q186" s="1038"/>
    </row>
    <row r="187" spans="2:17" ht="15">
      <c r="B187" s="763"/>
      <c r="C187" s="789">
        <v>5</v>
      </c>
      <c r="D187" s="717" t="str">
        <f t="shared" si="31"/>
        <v>Solid-fuel boiler</v>
      </c>
      <c r="E187" s="717" t="s">
        <v>109</v>
      </c>
      <c r="F187" s="570">
        <f t="shared" ref="F187:O187" si="36">F151</f>
        <v>0</v>
      </c>
      <c r="G187" s="570">
        <f t="shared" si="36"/>
        <v>0</v>
      </c>
      <c r="H187" s="570">
        <f t="shared" si="36"/>
        <v>-1</v>
      </c>
      <c r="I187" s="570">
        <f t="shared" si="36"/>
        <v>0</v>
      </c>
      <c r="J187" s="570">
        <f t="shared" si="36"/>
        <v>0</v>
      </c>
      <c r="K187" s="570">
        <f t="shared" si="36"/>
        <v>0</v>
      </c>
      <c r="L187" s="570">
        <f t="shared" si="36"/>
        <v>0</v>
      </c>
      <c r="M187" s="570">
        <f t="shared" si="36"/>
        <v>0.87</v>
      </c>
      <c r="N187" s="570">
        <f t="shared" si="36"/>
        <v>0.13</v>
      </c>
      <c r="O187" s="564">
        <f t="shared" si="36"/>
        <v>0</v>
      </c>
      <c r="P187" s="558"/>
      <c r="Q187" s="1038"/>
    </row>
    <row r="188" spans="2:17" ht="15">
      <c r="B188" s="763"/>
      <c r="C188" s="789">
        <v>6</v>
      </c>
      <c r="D188" s="717" t="str">
        <f t="shared" si="31"/>
        <v>Stirling engine micro-CHP</v>
      </c>
      <c r="E188" s="717" t="s">
        <v>110</v>
      </c>
      <c r="F188" s="570">
        <f t="shared" ref="F188:O188" si="37">F152</f>
        <v>0</v>
      </c>
      <c r="G188" s="570">
        <f t="shared" si="37"/>
        <v>0.22500000000000001</v>
      </c>
      <c r="H188" s="570">
        <f t="shared" si="37"/>
        <v>0</v>
      </c>
      <c r="I188" s="570">
        <f t="shared" si="37"/>
        <v>0</v>
      </c>
      <c r="J188" s="570">
        <f t="shared" si="37"/>
        <v>-1</v>
      </c>
      <c r="K188" s="570">
        <f t="shared" si="37"/>
        <v>0</v>
      </c>
      <c r="L188" s="570">
        <f t="shared" si="37"/>
        <v>0</v>
      </c>
      <c r="M188" s="570">
        <f t="shared" si="37"/>
        <v>0.63</v>
      </c>
      <c r="N188" s="570">
        <f t="shared" si="37"/>
        <v>0.14499999999999999</v>
      </c>
      <c r="O188" s="564">
        <f t="shared" si="37"/>
        <v>0</v>
      </c>
      <c r="P188" s="558"/>
      <c r="Q188" s="1038"/>
    </row>
    <row r="189" spans="2:17" ht="15">
      <c r="B189" s="763"/>
      <c r="C189" s="789">
        <v>7</v>
      </c>
      <c r="D189" s="717" t="str">
        <f t="shared" si="31"/>
        <v>Fuel-cell micro-CHP</v>
      </c>
      <c r="E189" s="717" t="s">
        <v>110</v>
      </c>
      <c r="F189" s="570">
        <f t="shared" ref="F189:O189" si="38">F153</f>
        <v>0</v>
      </c>
      <c r="G189" s="570">
        <f t="shared" si="38"/>
        <v>0.45</v>
      </c>
      <c r="H189" s="570">
        <f t="shared" si="38"/>
        <v>0</v>
      </c>
      <c r="I189" s="570">
        <f t="shared" si="38"/>
        <v>0</v>
      </c>
      <c r="J189" s="570">
        <f t="shared" si="38"/>
        <v>-1</v>
      </c>
      <c r="K189" s="570">
        <f t="shared" si="38"/>
        <v>0</v>
      </c>
      <c r="L189" s="570">
        <f t="shared" si="38"/>
        <v>0</v>
      </c>
      <c r="M189" s="570">
        <f t="shared" si="38"/>
        <v>0.45</v>
      </c>
      <c r="N189" s="570">
        <f t="shared" si="38"/>
        <v>0.1</v>
      </c>
      <c r="O189" s="564">
        <f t="shared" si="38"/>
        <v>0</v>
      </c>
      <c r="P189" s="558"/>
      <c r="Q189" s="1038"/>
    </row>
    <row r="190" spans="2:17" ht="15">
      <c r="B190" s="763"/>
      <c r="C190" s="789">
        <v>8</v>
      </c>
      <c r="D190" s="717" t="str">
        <f t="shared" si="31"/>
        <v>Air-source heat pump</v>
      </c>
      <c r="E190" s="717"/>
      <c r="F190" s="570">
        <f t="shared" ref="F190:K190" si="39">F154</f>
        <v>-1</v>
      </c>
      <c r="G190" s="570">
        <f t="shared" si="39"/>
        <v>0</v>
      </c>
      <c r="H190" s="570">
        <f t="shared" si="39"/>
        <v>0</v>
      </c>
      <c r="I190" s="570">
        <f t="shared" si="39"/>
        <v>0</v>
      </c>
      <c r="J190" s="570">
        <f t="shared" si="39"/>
        <v>0</v>
      </c>
      <c r="K190" s="570">
        <f t="shared" si="39"/>
        <v>0</v>
      </c>
      <c r="L190" s="570">
        <f>-M190-F190</f>
        <v>-0.8</v>
      </c>
      <c r="M190" s="570">
        <f>M154*90%</f>
        <v>1.8</v>
      </c>
      <c r="N190" s="570">
        <f>N154</f>
        <v>0</v>
      </c>
      <c r="O190" s="564">
        <f>O154</f>
        <v>0</v>
      </c>
      <c r="P190" s="558"/>
      <c r="Q190" s="1038"/>
    </row>
    <row r="191" spans="2:17" ht="15">
      <c r="B191" s="763"/>
      <c r="C191" s="789">
        <v>9</v>
      </c>
      <c r="D191" s="717" t="str">
        <f t="shared" si="31"/>
        <v>Ground-source heat pump</v>
      </c>
      <c r="E191" s="717"/>
      <c r="F191" s="570">
        <f t="shared" ref="F191:K191" si="40">F155</f>
        <v>-1</v>
      </c>
      <c r="G191" s="570">
        <f t="shared" si="40"/>
        <v>0</v>
      </c>
      <c r="H191" s="570">
        <f t="shared" si="40"/>
        <v>0</v>
      </c>
      <c r="I191" s="570">
        <f t="shared" si="40"/>
        <v>0</v>
      </c>
      <c r="J191" s="570">
        <f t="shared" si="40"/>
        <v>0</v>
      </c>
      <c r="K191" s="570">
        <f t="shared" si="40"/>
        <v>0</v>
      </c>
      <c r="L191" s="570">
        <f>-M191-F191</f>
        <v>-1.9699999999999998</v>
      </c>
      <c r="M191" s="570">
        <f>M155*99%</f>
        <v>2.9699999999999998</v>
      </c>
      <c r="N191" s="570">
        <f>N155</f>
        <v>0</v>
      </c>
      <c r="O191" s="564">
        <f>O155</f>
        <v>0</v>
      </c>
      <c r="P191" s="558"/>
      <c r="Q191" s="1038"/>
    </row>
    <row r="192" spans="2:17" ht="15">
      <c r="B192" s="763"/>
      <c r="C192" s="789">
        <v>10</v>
      </c>
      <c r="D192" s="717" t="str">
        <f t="shared" si="31"/>
        <v>Geothermal electricity</v>
      </c>
      <c r="E192" s="717"/>
      <c r="F192" s="570">
        <f t="shared" ref="F192:O192" si="41">F156</f>
        <v>0</v>
      </c>
      <c r="G192" s="570">
        <f t="shared" si="41"/>
        <v>0</v>
      </c>
      <c r="H192" s="570">
        <f t="shared" si="41"/>
        <v>0</v>
      </c>
      <c r="I192" s="570">
        <f t="shared" si="41"/>
        <v>0</v>
      </c>
      <c r="J192" s="570">
        <f t="shared" si="41"/>
        <v>0</v>
      </c>
      <c r="K192" s="570">
        <f t="shared" si="41"/>
        <v>0</v>
      </c>
      <c r="L192" s="570">
        <f t="shared" si="41"/>
        <v>-1</v>
      </c>
      <c r="M192" s="570">
        <f t="shared" si="41"/>
        <v>0.85</v>
      </c>
      <c r="N192" s="570">
        <f t="shared" si="41"/>
        <v>0.15</v>
      </c>
      <c r="O192" s="564">
        <f t="shared" si="41"/>
        <v>0</v>
      </c>
      <c r="P192" s="558"/>
      <c r="Q192" s="1038"/>
    </row>
    <row r="193" spans="2:17" ht="15">
      <c r="B193" s="763"/>
      <c r="C193" s="789">
        <v>11</v>
      </c>
      <c r="D193" s="717" t="str">
        <f t="shared" si="31"/>
        <v>Community scale gas CHP with local district heating</v>
      </c>
      <c r="E193" s="717"/>
      <c r="F193" s="570">
        <f t="shared" ref="F193:O193" si="42">F157</f>
        <v>0</v>
      </c>
      <c r="G193" s="570">
        <f t="shared" si="42"/>
        <v>0.38</v>
      </c>
      <c r="H193" s="570">
        <f t="shared" si="42"/>
        <v>0</v>
      </c>
      <c r="I193" s="570">
        <f t="shared" si="42"/>
        <v>0</v>
      </c>
      <c r="J193" s="570">
        <f t="shared" si="42"/>
        <v>-1</v>
      </c>
      <c r="K193" s="570">
        <f t="shared" si="42"/>
        <v>0</v>
      </c>
      <c r="L193" s="570">
        <f t="shared" si="42"/>
        <v>0</v>
      </c>
      <c r="M193" s="570">
        <f t="shared" si="42"/>
        <v>0.38</v>
      </c>
      <c r="N193" s="570">
        <f t="shared" si="42"/>
        <v>0.24</v>
      </c>
      <c r="O193" s="564">
        <f t="shared" si="42"/>
        <v>0</v>
      </c>
      <c r="P193" s="558"/>
      <c r="Q193" s="1038"/>
    </row>
    <row r="194" spans="2:17" ht="15">
      <c r="B194" s="763"/>
      <c r="C194" s="789">
        <v>12</v>
      </c>
      <c r="D194" s="717" t="str">
        <f t="shared" si="31"/>
        <v>Community scale solid-fuel CHP with local district heating</v>
      </c>
      <c r="E194" s="717"/>
      <c r="F194" s="570">
        <f t="shared" ref="F194:O194" si="43">F158</f>
        <v>0</v>
      </c>
      <c r="G194" s="570">
        <f t="shared" si="43"/>
        <v>0.17</v>
      </c>
      <c r="H194" s="570">
        <f t="shared" si="43"/>
        <v>-1</v>
      </c>
      <c r="I194" s="570">
        <f t="shared" si="43"/>
        <v>0</v>
      </c>
      <c r="J194" s="570">
        <f t="shared" si="43"/>
        <v>0</v>
      </c>
      <c r="K194" s="570">
        <f t="shared" si="43"/>
        <v>0</v>
      </c>
      <c r="L194" s="570">
        <f t="shared" si="43"/>
        <v>0</v>
      </c>
      <c r="M194" s="570">
        <f t="shared" si="43"/>
        <v>0.56999999999999995</v>
      </c>
      <c r="N194" s="570">
        <f t="shared" si="43"/>
        <v>0.26</v>
      </c>
      <c r="O194" s="564">
        <f t="shared" si="43"/>
        <v>0</v>
      </c>
      <c r="P194" s="558"/>
      <c r="Q194" s="1038"/>
    </row>
    <row r="195" spans="2:17" ht="15">
      <c r="B195" s="763"/>
      <c r="C195" s="715">
        <v>13</v>
      </c>
      <c r="D195" s="716" t="str">
        <f t="shared" si="31"/>
        <v>Long distance district heating from large power stations</v>
      </c>
      <c r="E195" s="716" t="s">
        <v>427</v>
      </c>
      <c r="F195" s="539">
        <f t="shared" ref="F195:O195" si="44">F159</f>
        <v>0</v>
      </c>
      <c r="G195" s="573">
        <f t="shared" si="44"/>
        <v>0</v>
      </c>
      <c r="H195" s="573">
        <f t="shared" si="44"/>
        <v>0</v>
      </c>
      <c r="I195" s="573">
        <f t="shared" si="44"/>
        <v>0</v>
      </c>
      <c r="J195" s="573">
        <f t="shared" si="44"/>
        <v>0</v>
      </c>
      <c r="K195" s="573">
        <f t="shared" si="44"/>
        <v>-1</v>
      </c>
      <c r="L195" s="573">
        <f t="shared" si="44"/>
        <v>0</v>
      </c>
      <c r="M195" s="573">
        <f t="shared" si="44"/>
        <v>0.9</v>
      </c>
      <c r="N195" s="573">
        <f t="shared" si="44"/>
        <v>0.1</v>
      </c>
      <c r="O195" s="566">
        <f t="shared" si="44"/>
        <v>0</v>
      </c>
      <c r="P195" s="721"/>
      <c r="Q195" s="1038"/>
    </row>
    <row r="196" spans="2:17">
      <c r="B196" s="764"/>
      <c r="C196" s="968"/>
      <c r="D196" s="968"/>
      <c r="E196" s="968"/>
      <c r="F196" s="968"/>
      <c r="G196" s="968"/>
      <c r="H196" s="968"/>
      <c r="I196" s="968"/>
      <c r="J196" s="968"/>
      <c r="K196" s="968"/>
      <c r="L196" s="968"/>
      <c r="M196" s="968"/>
      <c r="N196" s="968"/>
      <c r="O196" s="968"/>
      <c r="P196" s="968"/>
      <c r="Q196" s="1038"/>
    </row>
    <row r="197" spans="2:17">
      <c r="B197" s="764"/>
      <c r="C197" s="1293" t="s">
        <v>1111</v>
      </c>
      <c r="D197" s="968"/>
      <c r="E197" s="968"/>
      <c r="F197" s="968"/>
      <c r="G197" s="783"/>
      <c r="H197" s="968"/>
      <c r="I197" s="968"/>
      <c r="J197" s="968"/>
      <c r="K197" s="968"/>
      <c r="L197" s="968"/>
      <c r="M197" s="968"/>
      <c r="N197" s="968"/>
      <c r="O197" s="783" t="s">
        <v>928</v>
      </c>
      <c r="P197" s="783"/>
      <c r="Q197" s="1038"/>
    </row>
    <row r="198" spans="2:17" ht="5.25" customHeight="1">
      <c r="B198" s="764"/>
      <c r="C198" s="968"/>
      <c r="D198" s="968"/>
      <c r="E198" s="968"/>
      <c r="F198" s="968"/>
      <c r="G198" s="968"/>
      <c r="H198" s="968"/>
      <c r="I198" s="968"/>
      <c r="J198" s="968"/>
      <c r="K198" s="968"/>
      <c r="L198" s="968"/>
      <c r="M198" s="968"/>
      <c r="N198" s="968"/>
      <c r="O198" s="968"/>
      <c r="P198" s="968"/>
      <c r="Q198" s="1038"/>
    </row>
    <row r="199" spans="2:17" ht="22">
      <c r="B199" s="764"/>
      <c r="C199" s="1366"/>
      <c r="D199" s="1366"/>
      <c r="E199" s="1366"/>
      <c r="F199" s="1379" t="str">
        <f>INDEX(Vectors[Description], MATCH(F$146, Vectors[Code], 0))</f>
        <v>Electricity (delivered to end user)</v>
      </c>
      <c r="G199" s="1379" t="str">
        <f>INDEX(Vectors[Description], MATCH(G$146, Vectors[Code], 0))</f>
        <v>Electricity (supplied to grid)</v>
      </c>
      <c r="H199" s="1379" t="str">
        <f>INDEX(Vectors[Description], MATCH(H$146, Vectors[Code], 0))</f>
        <v>Solid hydrocarbons</v>
      </c>
      <c r="I199" s="1379" t="str">
        <f>INDEX(Vectors[Description], MATCH(I$146, Vectors[Code], 0))</f>
        <v>Liquid hydrocarbons</v>
      </c>
      <c r="J199" s="1379" t="str">
        <f>INDEX(Vectors[Description], MATCH(J$146, Vectors[Code], 0))</f>
        <v>Gaseous hydrocarbons</v>
      </c>
      <c r="K199" s="1379" t="str">
        <f>INDEX(Vectors[Description], MATCH(K$146, Vectors[Code], 0))</f>
        <v>Heat transport</v>
      </c>
      <c r="L199" s="1379" t="str">
        <f>INDEX(Vectors[Description], MATCH(L$146, Vectors[Code], 0))</f>
        <v>Environmental heat</v>
      </c>
      <c r="M199" s="1379" t="str">
        <f>INDEX(Vectors[Description], MATCH(M$146, Vectors[Code], 0))</f>
        <v>Heating &amp; cooling</v>
      </c>
      <c r="N199" s="1379" t="str">
        <f>INDEX(Vectors[Description], MATCH(N$146, Vectors[Code], 0))</f>
        <v>Conversion losses</v>
      </c>
      <c r="O199" s="1380" t="s">
        <v>673</v>
      </c>
      <c r="P199" s="1381"/>
      <c r="Q199" s="1038"/>
    </row>
    <row r="200" spans="2:17">
      <c r="B200" s="764"/>
      <c r="C200" s="1382" t="s">
        <v>77</v>
      </c>
      <c r="D200" s="1382" t="s">
        <v>655</v>
      </c>
      <c r="E200" s="1382" t="s">
        <v>422</v>
      </c>
      <c r="F200" s="1383" t="s">
        <v>40</v>
      </c>
      <c r="G200" s="1383" t="s">
        <v>41</v>
      </c>
      <c r="H200" s="1383" t="s">
        <v>42</v>
      </c>
      <c r="I200" s="1383" t="s">
        <v>44</v>
      </c>
      <c r="J200" s="1383" t="s">
        <v>45</v>
      </c>
      <c r="K200" s="1383" t="s">
        <v>625</v>
      </c>
      <c r="L200" s="1383" t="s">
        <v>98</v>
      </c>
      <c r="M200" s="1383" t="s">
        <v>6</v>
      </c>
      <c r="N200" s="1383" t="s">
        <v>31</v>
      </c>
      <c r="O200" s="1384"/>
      <c r="P200" s="1385"/>
      <c r="Q200" s="1038"/>
    </row>
    <row r="201" spans="2:17" ht="15">
      <c r="B201" s="763"/>
      <c r="C201" s="789">
        <v>1</v>
      </c>
      <c r="D201" s="717" t="s">
        <v>1193</v>
      </c>
      <c r="E201" s="717"/>
      <c r="F201" s="570">
        <v>-1</v>
      </c>
      <c r="G201" s="570"/>
      <c r="H201" s="570"/>
      <c r="I201" s="570"/>
      <c r="J201" s="570"/>
      <c r="K201" s="570"/>
      <c r="L201" s="570">
        <v>-1.5</v>
      </c>
      <c r="M201" s="570">
        <v>2.5</v>
      </c>
      <c r="N201" s="570"/>
      <c r="O201" s="564">
        <f>SUM(F201:N201)</f>
        <v>0</v>
      </c>
      <c r="P201" s="558"/>
      <c r="Q201" s="1038"/>
    </row>
    <row r="202" spans="2:17" ht="15">
      <c r="B202" s="763"/>
      <c r="C202" s="789">
        <v>2</v>
      </c>
      <c r="D202" s="717" t="s">
        <v>1194</v>
      </c>
      <c r="E202" s="717"/>
      <c r="F202" s="570">
        <v>-1</v>
      </c>
      <c r="G202" s="570"/>
      <c r="H202" s="570"/>
      <c r="I202" s="570"/>
      <c r="J202" s="570"/>
      <c r="K202" s="570"/>
      <c r="L202" s="570">
        <v>-5</v>
      </c>
      <c r="M202" s="570">
        <v>6</v>
      </c>
      <c r="N202" s="570"/>
      <c r="O202" s="564">
        <f>SUM(F202:N202)</f>
        <v>0</v>
      </c>
      <c r="P202" s="558"/>
      <c r="Q202" s="1038"/>
    </row>
    <row r="203" spans="2:17" ht="15">
      <c r="B203" s="763"/>
      <c r="C203" s="719">
        <v>3</v>
      </c>
      <c r="D203" s="720" t="s">
        <v>1110</v>
      </c>
      <c r="E203" s="720"/>
      <c r="F203" s="584"/>
      <c r="G203" s="584"/>
      <c r="H203" s="584"/>
      <c r="I203" s="584"/>
      <c r="J203" s="584"/>
      <c r="K203" s="584">
        <v>-1</v>
      </c>
      <c r="L203" s="584">
        <v>0.3</v>
      </c>
      <c r="M203" s="584">
        <v>0.7</v>
      </c>
      <c r="N203" s="584"/>
      <c r="O203" s="585">
        <f>SUM(F203:N203)</f>
        <v>0</v>
      </c>
      <c r="P203" s="558"/>
      <c r="Q203" s="1038"/>
    </row>
    <row r="204" spans="2:17">
      <c r="B204" s="764"/>
      <c r="C204" s="968"/>
      <c r="D204" s="968"/>
      <c r="E204" s="968"/>
      <c r="F204" s="968"/>
      <c r="G204" s="968"/>
      <c r="H204" s="968"/>
      <c r="I204" s="968"/>
      <c r="J204" s="968"/>
      <c r="K204" s="968"/>
      <c r="L204" s="968"/>
      <c r="M204" s="968"/>
      <c r="N204" s="968"/>
      <c r="O204" s="968"/>
      <c r="P204" s="968"/>
      <c r="Q204" s="1038"/>
    </row>
    <row r="205" spans="2:17">
      <c r="B205" s="764"/>
      <c r="C205" s="968"/>
      <c r="D205" s="968"/>
      <c r="E205" s="968"/>
      <c r="F205" s="968"/>
      <c r="G205" s="968"/>
      <c r="H205" s="968"/>
      <c r="I205" s="968"/>
      <c r="J205" s="968"/>
      <c r="K205" s="968"/>
      <c r="L205" s="968"/>
      <c r="M205" s="968"/>
      <c r="N205" s="968"/>
      <c r="O205" s="968"/>
      <c r="P205" s="968"/>
      <c r="Q205" s="1038"/>
    </row>
    <row r="206" spans="2:17">
      <c r="B206" s="764"/>
      <c r="C206" s="571" t="s">
        <v>996</v>
      </c>
      <c r="D206" s="717"/>
      <c r="E206" s="1017"/>
      <c r="F206" s="558"/>
      <c r="G206" s="1175"/>
      <c r="H206" s="968"/>
      <c r="I206" s="968"/>
      <c r="J206" s="968"/>
      <c r="K206" s="968"/>
      <c r="L206" s="968"/>
      <c r="M206" s="968"/>
      <c r="N206" s="968"/>
      <c r="O206" s="968"/>
      <c r="P206" s="968"/>
      <c r="Q206" s="1038"/>
    </row>
    <row r="207" spans="2:17" ht="5.25" customHeight="1">
      <c r="B207" s="764"/>
      <c r="C207" s="789"/>
      <c r="D207" s="717"/>
      <c r="E207" s="717"/>
      <c r="F207" s="558"/>
      <c r="G207" s="1175"/>
      <c r="H207" s="968"/>
      <c r="I207" s="968"/>
      <c r="J207" s="968"/>
      <c r="K207" s="968"/>
      <c r="L207" s="968"/>
      <c r="M207" s="968"/>
      <c r="N207" s="968"/>
      <c r="O207" s="968"/>
      <c r="P207" s="968"/>
      <c r="Q207" s="1038"/>
    </row>
    <row r="208" spans="2:17" ht="15">
      <c r="B208" s="763"/>
      <c r="C208" s="1347" t="s">
        <v>77</v>
      </c>
      <c r="D208" s="1347" t="s">
        <v>907</v>
      </c>
      <c r="E208" s="1347" t="s">
        <v>422</v>
      </c>
      <c r="F208" s="1348">
        <v>2007</v>
      </c>
      <c r="G208" s="1349" t="s">
        <v>906</v>
      </c>
      <c r="H208" s="1386" t="s">
        <v>908</v>
      </c>
      <c r="I208" s="1007"/>
      <c r="J208" s="968"/>
      <c r="K208" s="968"/>
      <c r="L208" s="968"/>
      <c r="M208" s="968"/>
      <c r="N208" s="968"/>
      <c r="O208" s="968"/>
      <c r="P208" s="968"/>
      <c r="Q208" s="1038"/>
    </row>
    <row r="209" spans="2:17" ht="15">
      <c r="B209" s="763"/>
      <c r="C209" s="789">
        <v>1</v>
      </c>
      <c r="D209" s="717" t="str">
        <f t="shared" ref="D209:D221" si="45">INDEX($D$76:$D$88, MATCH($C209, $C$76:$C$88, 0))</f>
        <v>Gas boiler (old)</v>
      </c>
      <c r="E209" s="717" t="s">
        <v>997</v>
      </c>
      <c r="F209" s="785">
        <v>0.67</v>
      </c>
      <c r="G209" s="575">
        <v>0.9</v>
      </c>
      <c r="H209" s="958">
        <v>2007</v>
      </c>
      <c r="I209" s="558"/>
      <c r="J209" s="968"/>
      <c r="K209" s="968"/>
      <c r="L209" s="968"/>
      <c r="M209" s="968"/>
      <c r="N209" s="968"/>
      <c r="O209" s="968"/>
      <c r="P209" s="968"/>
      <c r="Q209" s="1038"/>
    </row>
    <row r="210" spans="2:17" ht="15">
      <c r="B210" s="763"/>
      <c r="C210" s="789">
        <v>2</v>
      </c>
      <c r="D210" s="717" t="str">
        <f t="shared" si="45"/>
        <v>Gas boiler (new)</v>
      </c>
      <c r="E210" s="717"/>
      <c r="F210" s="785">
        <v>0.15</v>
      </c>
      <c r="G210" s="575">
        <v>0.9</v>
      </c>
      <c r="H210" s="958">
        <v>2007</v>
      </c>
      <c r="I210" s="558"/>
      <c r="J210" s="968"/>
      <c r="K210" s="968"/>
      <c r="L210" s="968"/>
      <c r="M210" s="968"/>
      <c r="N210" s="968"/>
      <c r="O210" s="968"/>
      <c r="P210" s="968"/>
      <c r="Q210" s="1038"/>
    </row>
    <row r="211" spans="2:17" ht="15">
      <c r="B211" s="763"/>
      <c r="C211" s="789">
        <v>3</v>
      </c>
      <c r="D211" s="717" t="str">
        <f t="shared" si="45"/>
        <v>Resistive heating</v>
      </c>
      <c r="E211" s="717" t="s">
        <v>995</v>
      </c>
      <c r="F211" s="785">
        <v>0.1</v>
      </c>
      <c r="G211" s="575">
        <v>1</v>
      </c>
      <c r="H211" s="958">
        <v>2007</v>
      </c>
      <c r="I211" s="558"/>
      <c r="J211" s="968"/>
      <c r="K211" s="968"/>
      <c r="L211" s="968"/>
      <c r="M211" s="968"/>
      <c r="N211" s="968"/>
      <c r="O211" s="968"/>
      <c r="P211" s="968"/>
      <c r="Q211" s="1038"/>
    </row>
    <row r="212" spans="2:17" ht="15">
      <c r="B212" s="763"/>
      <c r="C212" s="789">
        <v>4</v>
      </c>
      <c r="D212" s="717" t="str">
        <f t="shared" si="45"/>
        <v>Oil-fired boiler</v>
      </c>
      <c r="E212" s="717"/>
      <c r="F212" s="785">
        <v>0.04</v>
      </c>
      <c r="G212" s="575">
        <v>0.74</v>
      </c>
      <c r="H212" s="958">
        <v>2007</v>
      </c>
      <c r="I212" s="558"/>
      <c r="J212" s="968"/>
      <c r="K212" s="968"/>
      <c r="L212" s="968"/>
      <c r="M212" s="968"/>
      <c r="N212" s="968"/>
      <c r="O212" s="968"/>
      <c r="P212" s="968"/>
      <c r="Q212" s="1038"/>
    </row>
    <row r="213" spans="2:17" ht="15">
      <c r="B213" s="763"/>
      <c r="C213" s="789">
        <v>5</v>
      </c>
      <c r="D213" s="717" t="str">
        <f t="shared" si="45"/>
        <v>Solid-fuel boiler</v>
      </c>
      <c r="E213" s="717"/>
      <c r="F213" s="785">
        <v>0.04</v>
      </c>
      <c r="G213" s="575">
        <v>0.74</v>
      </c>
      <c r="H213" s="958">
        <v>2007</v>
      </c>
      <c r="I213" s="558"/>
      <c r="J213" s="968"/>
      <c r="K213" s="968"/>
      <c r="L213" s="968"/>
      <c r="M213" s="968"/>
      <c r="N213" s="968"/>
      <c r="O213" s="968"/>
      <c r="P213" s="968"/>
      <c r="Q213" s="1038"/>
    </row>
    <row r="214" spans="2:17" ht="15">
      <c r="B214" s="763"/>
      <c r="C214" s="789">
        <v>6</v>
      </c>
      <c r="D214" s="717" t="str">
        <f t="shared" si="45"/>
        <v>Stirling engine micro-CHP</v>
      </c>
      <c r="E214" s="717"/>
      <c r="F214" s="785">
        <v>0</v>
      </c>
      <c r="G214" s="576">
        <v>0.9</v>
      </c>
      <c r="H214" s="958">
        <v>2015</v>
      </c>
      <c r="I214" s="721"/>
      <c r="J214" s="968"/>
      <c r="K214" s="968"/>
      <c r="L214" s="968"/>
      <c r="M214" s="968"/>
      <c r="N214" s="968"/>
      <c r="O214" s="968"/>
      <c r="P214" s="968"/>
      <c r="Q214" s="1038"/>
    </row>
    <row r="215" spans="2:17" ht="15">
      <c r="B215" s="763"/>
      <c r="C215" s="789">
        <v>7</v>
      </c>
      <c r="D215" s="717" t="str">
        <f t="shared" si="45"/>
        <v>Fuel-cell micro-CHP</v>
      </c>
      <c r="E215" s="717"/>
      <c r="F215" s="785">
        <v>0</v>
      </c>
      <c r="G215" s="576">
        <v>0.9</v>
      </c>
      <c r="H215" s="958">
        <v>2015</v>
      </c>
      <c r="I215" s="721"/>
      <c r="J215" s="968"/>
      <c r="K215" s="968"/>
      <c r="L215" s="968"/>
      <c r="M215" s="968"/>
      <c r="N215" s="968"/>
      <c r="O215" s="968"/>
      <c r="P215" s="968"/>
      <c r="Q215" s="1038"/>
    </row>
    <row r="216" spans="2:17" ht="15">
      <c r="B216" s="763"/>
      <c r="C216" s="789">
        <v>8</v>
      </c>
      <c r="D216" s="717" t="str">
        <f t="shared" si="45"/>
        <v>Air-source heat pump</v>
      </c>
      <c r="E216" s="717"/>
      <c r="F216" s="785">
        <v>0</v>
      </c>
      <c r="G216" s="576">
        <v>1</v>
      </c>
      <c r="H216" s="958">
        <v>2015</v>
      </c>
      <c r="I216" s="721"/>
      <c r="J216" s="968"/>
      <c r="K216" s="968"/>
      <c r="L216" s="968"/>
      <c r="M216" s="968"/>
      <c r="N216" s="968"/>
      <c r="O216" s="968"/>
      <c r="P216" s="968"/>
      <c r="Q216" s="1038"/>
    </row>
    <row r="217" spans="2:17" ht="15">
      <c r="B217" s="763"/>
      <c r="C217" s="789">
        <v>9</v>
      </c>
      <c r="D217" s="717" t="str">
        <f t="shared" si="45"/>
        <v>Ground-source heat pump</v>
      </c>
      <c r="E217" s="717"/>
      <c r="F217" s="785">
        <v>0</v>
      </c>
      <c r="G217" s="576">
        <v>0.28999999999999998</v>
      </c>
      <c r="H217" s="958">
        <v>2015</v>
      </c>
      <c r="I217" s="721"/>
      <c r="J217" s="968"/>
      <c r="K217" s="968"/>
      <c r="L217" s="968"/>
      <c r="M217" s="968"/>
      <c r="N217" s="968"/>
      <c r="O217" s="968"/>
      <c r="P217" s="968"/>
      <c r="Q217" s="1038"/>
    </row>
    <row r="218" spans="2:17" ht="15">
      <c r="B218" s="763"/>
      <c r="C218" s="789">
        <v>10</v>
      </c>
      <c r="D218" s="717" t="str">
        <f t="shared" si="45"/>
        <v>Geothermal electricity</v>
      </c>
      <c r="E218" s="717"/>
      <c r="F218" s="785">
        <v>0</v>
      </c>
      <c r="G218" s="576">
        <v>0.01</v>
      </c>
      <c r="H218" s="958">
        <v>2015</v>
      </c>
      <c r="I218" s="721"/>
      <c r="J218" s="968"/>
      <c r="K218" s="968"/>
      <c r="L218" s="968"/>
      <c r="M218" s="968"/>
      <c r="N218" s="968"/>
      <c r="O218" s="968"/>
      <c r="P218" s="968"/>
      <c r="Q218" s="1038"/>
    </row>
    <row r="219" spans="2:17" ht="15">
      <c r="B219" s="763"/>
      <c r="C219" s="789">
        <v>11</v>
      </c>
      <c r="D219" s="717" t="str">
        <f t="shared" si="45"/>
        <v>Community scale gas CHP with local district heating</v>
      </c>
      <c r="E219" s="717"/>
      <c r="F219" s="785">
        <v>0</v>
      </c>
      <c r="G219" s="576">
        <v>0.68</v>
      </c>
      <c r="H219" s="958">
        <v>2015</v>
      </c>
      <c r="I219" s="721"/>
      <c r="J219" s="968"/>
      <c r="K219" s="968"/>
      <c r="L219" s="968"/>
      <c r="M219" s="968"/>
      <c r="N219" s="968"/>
      <c r="O219" s="968"/>
      <c r="P219" s="968"/>
      <c r="Q219" s="1038"/>
    </row>
    <row r="220" spans="2:17" ht="15">
      <c r="B220" s="763"/>
      <c r="C220" s="789">
        <v>12</v>
      </c>
      <c r="D220" s="717" t="str">
        <f t="shared" si="45"/>
        <v>Community scale solid-fuel CHP with local district heating</v>
      </c>
      <c r="E220" s="717"/>
      <c r="F220" s="785">
        <v>0</v>
      </c>
      <c r="G220" s="576">
        <v>0.68</v>
      </c>
      <c r="H220" s="958">
        <v>2015</v>
      </c>
      <c r="I220" s="721"/>
      <c r="J220" s="968"/>
      <c r="K220" s="968"/>
      <c r="L220" s="968"/>
      <c r="M220" s="968"/>
      <c r="N220" s="968"/>
      <c r="O220" s="968"/>
      <c r="P220" s="968"/>
      <c r="Q220" s="1038"/>
    </row>
    <row r="221" spans="2:17" ht="15">
      <c r="B221" s="763"/>
      <c r="C221" s="715">
        <v>13</v>
      </c>
      <c r="D221" s="716" t="str">
        <f t="shared" si="45"/>
        <v>Long distance district heating from large power stations</v>
      </c>
      <c r="E221" s="716"/>
      <c r="F221" s="557">
        <v>0</v>
      </c>
      <c r="G221" s="577">
        <v>0.4</v>
      </c>
      <c r="H221" s="1139">
        <v>2015</v>
      </c>
      <c r="I221" s="721"/>
      <c r="J221" s="968"/>
      <c r="K221" s="968"/>
      <c r="L221" s="968"/>
      <c r="M221" s="968"/>
      <c r="N221" s="968"/>
      <c r="O221" s="968"/>
      <c r="P221" s="968"/>
      <c r="Q221" s="1038"/>
    </row>
    <row r="222" spans="2:17" ht="15">
      <c r="B222" s="763"/>
      <c r="C222" s="789"/>
      <c r="D222" s="717" t="s">
        <v>133</v>
      </c>
      <c r="E222" s="717"/>
      <c r="F222" s="570">
        <f>SUM(F209:F221)</f>
        <v>1</v>
      </c>
      <c r="G222" s="570"/>
      <c r="H222" s="968"/>
      <c r="I222" s="968"/>
      <c r="J222" s="968"/>
      <c r="K222" s="968"/>
      <c r="L222" s="968"/>
      <c r="M222" s="968"/>
      <c r="N222" s="968"/>
      <c r="O222" s="968"/>
      <c r="P222" s="968"/>
      <c r="Q222" s="1038"/>
    </row>
    <row r="223" spans="2:17">
      <c r="B223" s="764"/>
      <c r="C223" s="968"/>
      <c r="D223" s="968"/>
      <c r="E223" s="968"/>
      <c r="F223" s="968"/>
      <c r="G223" s="968"/>
      <c r="H223" s="968"/>
      <c r="I223" s="968"/>
      <c r="J223" s="968"/>
      <c r="K223" s="968"/>
      <c r="L223" s="968"/>
      <c r="M223" s="968"/>
      <c r="N223" s="968"/>
      <c r="O223" s="968"/>
      <c r="P223" s="968"/>
      <c r="Q223" s="1038"/>
    </row>
    <row r="224" spans="2:17" ht="15">
      <c r="B224" s="763"/>
      <c r="C224" s="1347" t="s">
        <v>77</v>
      </c>
      <c r="D224" s="1347" t="s">
        <v>907</v>
      </c>
      <c r="E224" s="1347" t="s">
        <v>422</v>
      </c>
      <c r="F224" s="1348">
        <v>2007</v>
      </c>
      <c r="G224" s="1349" t="s">
        <v>906</v>
      </c>
      <c r="H224" s="1386" t="s">
        <v>908</v>
      </c>
      <c r="I224" s="968"/>
      <c r="J224" s="968"/>
      <c r="K224" s="968"/>
      <c r="L224" s="968"/>
      <c r="M224" s="968"/>
      <c r="N224" s="968"/>
      <c r="O224" s="968"/>
      <c r="P224" s="968"/>
      <c r="Q224" s="1038"/>
    </row>
    <row r="225" spans="2:17" ht="15">
      <c r="B225" s="763"/>
      <c r="C225" s="789">
        <v>1</v>
      </c>
      <c r="D225" s="717" t="str">
        <f>INDEX($D$94:$D$96, MATCH($C225, $C$94:$C$96, 0))</f>
        <v>Electric air conditioner (old)</v>
      </c>
      <c r="E225" s="717"/>
      <c r="F225" s="785">
        <v>0</v>
      </c>
      <c r="G225" s="575">
        <v>1</v>
      </c>
      <c r="H225" s="958">
        <v>2007</v>
      </c>
      <c r="I225" s="968"/>
      <c r="J225" s="968"/>
      <c r="K225" s="968"/>
      <c r="L225" s="968"/>
      <c r="M225" s="968"/>
      <c r="N225" s="968"/>
      <c r="O225" s="968"/>
      <c r="P225" s="968"/>
      <c r="Q225" s="1038"/>
    </row>
    <row r="226" spans="2:17" ht="15">
      <c r="B226" s="763"/>
      <c r="C226" s="789">
        <v>2</v>
      </c>
      <c r="D226" s="717" t="str">
        <f>INDEX($D$94:$D$96, MATCH($C226, $C$94:$C$96, 0))</f>
        <v>Electric air conditioner (new)</v>
      </c>
      <c r="E226" s="717"/>
      <c r="F226" s="785">
        <v>0</v>
      </c>
      <c r="G226" s="575">
        <v>1</v>
      </c>
      <c r="H226" s="958">
        <v>2007</v>
      </c>
      <c r="I226" s="968"/>
      <c r="J226" s="968"/>
      <c r="K226" s="968"/>
      <c r="L226" s="968"/>
      <c r="M226" s="968"/>
      <c r="N226" s="968"/>
      <c r="O226" s="968"/>
      <c r="P226" s="968"/>
      <c r="Q226" s="1038"/>
    </row>
    <row r="227" spans="2:17" ht="15">
      <c r="B227" s="763"/>
      <c r="C227" s="719">
        <v>3</v>
      </c>
      <c r="D227" s="720" t="str">
        <f>INDEX($D$94:$D$96, MATCH($C227, $C$94:$C$96, 0))</f>
        <v>Absorption chiller</v>
      </c>
      <c r="E227" s="720"/>
      <c r="F227" s="1137">
        <v>0</v>
      </c>
      <c r="G227" s="1140">
        <v>1</v>
      </c>
      <c r="H227" s="1139">
        <v>2015</v>
      </c>
      <c r="I227" s="968"/>
      <c r="J227" s="968"/>
      <c r="K227" s="968"/>
      <c r="L227" s="968"/>
      <c r="M227" s="968"/>
      <c r="N227" s="968"/>
      <c r="O227" s="968"/>
      <c r="P227" s="968"/>
      <c r="Q227" s="1038"/>
    </row>
    <row r="228" spans="2:17" ht="15">
      <c r="B228" s="763"/>
      <c r="C228" s="968"/>
      <c r="D228" s="968" t="s">
        <v>133</v>
      </c>
      <c r="E228" s="968"/>
      <c r="F228" s="1387">
        <f>SUM(F$225:F$227)</f>
        <v>0</v>
      </c>
      <c r="G228" s="968"/>
      <c r="H228" s="968"/>
      <c r="I228" s="968"/>
      <c r="J228" s="968"/>
      <c r="K228" s="968"/>
      <c r="L228" s="968"/>
      <c r="M228" s="968"/>
      <c r="N228" s="968"/>
      <c r="O228" s="968"/>
      <c r="P228" s="968"/>
      <c r="Q228" s="1038"/>
    </row>
    <row r="229" spans="2:17">
      <c r="B229" s="764"/>
      <c r="C229" s="968"/>
      <c r="D229" s="968"/>
      <c r="E229" s="968"/>
      <c r="F229" s="968"/>
      <c r="G229" s="968"/>
      <c r="H229" s="968"/>
      <c r="I229" s="968"/>
      <c r="J229" s="968"/>
      <c r="K229" s="968"/>
      <c r="L229" s="968"/>
      <c r="M229" s="968"/>
      <c r="N229" s="968"/>
      <c r="O229" s="968"/>
      <c r="P229" s="968"/>
      <c r="Q229" s="1038"/>
    </row>
    <row r="230" spans="2:17">
      <c r="B230" s="764"/>
      <c r="C230" s="1293" t="s">
        <v>1118</v>
      </c>
      <c r="D230" s="968"/>
      <c r="E230" s="783"/>
      <c r="F230" s="968"/>
      <c r="G230" s="968"/>
      <c r="H230" s="968"/>
      <c r="I230" s="968"/>
      <c r="J230" s="968"/>
      <c r="K230" s="968"/>
      <c r="L230" s="968"/>
      <c r="M230" s="968"/>
      <c r="N230" s="968"/>
      <c r="O230" s="783" t="s">
        <v>937</v>
      </c>
      <c r="P230" s="783"/>
      <c r="Q230" s="1038"/>
    </row>
    <row r="231" spans="2:17" ht="5.25" customHeight="1">
      <c r="B231" s="764"/>
      <c r="C231" s="968"/>
      <c r="D231" s="968"/>
      <c r="E231" s="968"/>
      <c r="F231" s="968"/>
      <c r="G231" s="968"/>
      <c r="H231" s="968"/>
      <c r="I231" s="968"/>
      <c r="J231" s="968"/>
      <c r="K231" s="968"/>
      <c r="L231" s="968"/>
      <c r="M231" s="968"/>
      <c r="N231" s="968"/>
      <c r="O231" s="968"/>
      <c r="P231" s="968"/>
      <c r="Q231" s="1038"/>
    </row>
    <row r="232" spans="2:17" ht="15">
      <c r="B232" s="763"/>
      <c r="C232" s="1366"/>
      <c r="D232" s="1366" t="s">
        <v>73</v>
      </c>
      <c r="E232" s="1366" t="s">
        <v>422</v>
      </c>
      <c r="F232" s="1367">
        <v>2007</v>
      </c>
      <c r="G232" s="1368">
        <v>2010</v>
      </c>
      <c r="H232" s="1367">
        <v>2015</v>
      </c>
      <c r="I232" s="1367">
        <v>2020</v>
      </c>
      <c r="J232" s="1367">
        <v>2025</v>
      </c>
      <c r="K232" s="1367">
        <v>2030</v>
      </c>
      <c r="L232" s="1367">
        <v>2035</v>
      </c>
      <c r="M232" s="1367">
        <v>2040</v>
      </c>
      <c r="N232" s="1367">
        <v>2045</v>
      </c>
      <c r="O232" s="1367">
        <v>2050</v>
      </c>
      <c r="P232" s="1350"/>
      <c r="Q232" s="1038"/>
    </row>
    <row r="233" spans="2:17" ht="15">
      <c r="B233" s="763"/>
      <c r="C233" s="1369"/>
      <c r="D233" s="1369" t="s">
        <v>1116</v>
      </c>
      <c r="E233" s="1369"/>
      <c r="F233" s="1524">
        <v>1300000</v>
      </c>
      <c r="G233" s="1394">
        <f>$F233*(INDEX(Global.Assumptions[Households], MATCH(G$232, Global.Assumptions[Year], 0))/INDEX(Global.Assumptions[Households], MATCH($F$232, Global.Assumptions[Year], 0)))</f>
        <v>1343668.450922719</v>
      </c>
      <c r="H233" s="1394">
        <f>$F233*(INDEX(Global.Assumptions[Households], MATCH(H$232, Global.Assumptions[Year], 0))/INDEX(Global.Assumptions[Households], MATCH($F$232, Global.Assumptions[Year], 0)))</f>
        <v>1421121.5470037553</v>
      </c>
      <c r="I233" s="1394">
        <f>$F233*(INDEX(Global.Assumptions[Households], MATCH(I$232, Global.Assumptions[Year], 0))/INDEX(Global.Assumptions[Households], MATCH($F$232, Global.Assumptions[Year], 0)))</f>
        <v>1497785.9353520768</v>
      </c>
      <c r="J233" s="1394">
        <f>$F233*(INDEX(Global.Assumptions[Households], MATCH(J$232, Global.Assumptions[Year], 0))/INDEX(Global.Assumptions[Households], MATCH($F$232, Global.Assumptions[Year], 0)))</f>
        <v>1569168.976983865</v>
      </c>
      <c r="K233" s="1394">
        <f>$F233*(INDEX(Global.Assumptions[Households], MATCH(K$232, Global.Assumptions[Year], 0))/INDEX(Global.Assumptions[Households], MATCH($F$232, Global.Assumptions[Year], 0)))</f>
        <v>1634561.8333038944</v>
      </c>
      <c r="L233" s="1394">
        <f>$F233*(INDEX(Global.Assumptions[Households], MATCH(L$232, Global.Assumptions[Year], 0))/INDEX(Global.Assumptions[Households], MATCH($F$232, Global.Assumptions[Year], 0)))</f>
        <v>1717940.9143122735</v>
      </c>
      <c r="M233" s="1394">
        <f>$F233*(INDEX(Global.Assumptions[Households], MATCH(M$232, Global.Assumptions[Year], 0))/INDEX(Global.Assumptions[Households], MATCH($F$232, Global.Assumptions[Year], 0)))</f>
        <v>1805573.1664201827</v>
      </c>
      <c r="N233" s="1394">
        <f>$F233*(INDEX(Global.Assumptions[Households], MATCH(N$232, Global.Assumptions[Year], 0))/INDEX(Global.Assumptions[Households], MATCH($F$232, Global.Assumptions[Year], 0)))</f>
        <v>1897675.5440984915</v>
      </c>
      <c r="O233" s="1394">
        <f>$F233*(INDEX(Global.Assumptions[Households], MATCH(O$232, Global.Assumptions[Year], 0))/INDEX(Global.Assumptions[Households], MATCH($F$232, Global.Assumptions[Year], 0)))</f>
        <v>1994476.0686765001</v>
      </c>
      <c r="P233" s="595"/>
      <c r="Q233" s="1038"/>
    </row>
    <row r="234" spans="2:17" ht="15">
      <c r="B234" s="763"/>
      <c r="C234" s="720"/>
      <c r="D234" s="720" t="s">
        <v>1117</v>
      </c>
      <c r="E234" s="720"/>
      <c r="F234" s="1523">
        <v>1300000</v>
      </c>
      <c r="G234" s="1238">
        <f>$F234*(INDEX(Global.Assumptions[Households], MATCH(G$232, Global.Assumptions[Year], 0))/INDEX(Global.Assumptions[Households], MATCH($F$232, Global.Assumptions[Year], 0)))</f>
        <v>1343668.450922719</v>
      </c>
      <c r="H234" s="1238">
        <f>$F234*(INDEX(Global.Assumptions[Households], MATCH(H$232, Global.Assumptions[Year], 0))/INDEX(Global.Assumptions[Households], MATCH($F$232, Global.Assumptions[Year], 0)))</f>
        <v>1421121.5470037553</v>
      </c>
      <c r="I234" s="1238">
        <f>$F234*(INDEX(Global.Assumptions[Households], MATCH(I$232, Global.Assumptions[Year], 0))/INDEX(Global.Assumptions[Households], MATCH($F$232, Global.Assumptions[Year], 0)))</f>
        <v>1497785.9353520768</v>
      </c>
      <c r="J234" s="1238">
        <f>$F234*(INDEX(Global.Assumptions[Households], MATCH(J$232, Global.Assumptions[Year], 0))/INDEX(Global.Assumptions[Households], MATCH($F$232, Global.Assumptions[Year], 0)))</f>
        <v>1569168.976983865</v>
      </c>
      <c r="K234" s="1238">
        <f>$F234*(INDEX(Global.Assumptions[Households], MATCH(K$232, Global.Assumptions[Year], 0))/INDEX(Global.Assumptions[Households], MATCH($F$232, Global.Assumptions[Year], 0)))</f>
        <v>1634561.8333038944</v>
      </c>
      <c r="L234" s="1238">
        <f>$F234*(INDEX(Global.Assumptions[Households], MATCH(L$232, Global.Assumptions[Year], 0))/INDEX(Global.Assumptions[Households], MATCH($F$232, Global.Assumptions[Year], 0)))</f>
        <v>1717940.9143122735</v>
      </c>
      <c r="M234" s="1238">
        <f>$F234*(INDEX(Global.Assumptions[Households], MATCH(M$232, Global.Assumptions[Year], 0))/INDEX(Global.Assumptions[Households], MATCH($F$232, Global.Assumptions[Year], 0)))</f>
        <v>1805573.1664201827</v>
      </c>
      <c r="N234" s="1238">
        <f>$F234*(INDEX(Global.Assumptions[Households], MATCH(N$232, Global.Assumptions[Year], 0))/INDEX(Global.Assumptions[Households], MATCH($F$232, Global.Assumptions[Year], 0)))</f>
        <v>1897675.5440984915</v>
      </c>
      <c r="O234" s="1238">
        <f>$F234*(INDEX(Global.Assumptions[Households], MATCH(O$232, Global.Assumptions[Year], 0))/INDEX(Global.Assumptions[Households], MATCH($F$232, Global.Assumptions[Year], 0)))</f>
        <v>1994476.0686765001</v>
      </c>
      <c r="P234" s="595"/>
      <c r="Q234" s="1038"/>
    </row>
    <row r="235" spans="2:17" ht="15">
      <c r="B235" s="763"/>
      <c r="C235" s="717"/>
      <c r="D235" s="717"/>
      <c r="E235" s="717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95"/>
      <c r="Q235" s="1038"/>
    </row>
    <row r="236" spans="2:17" ht="15">
      <c r="B236" s="763"/>
      <c r="C236" s="1294" t="s">
        <v>1696</v>
      </c>
      <c r="D236" s="717"/>
      <c r="E236" s="717"/>
      <c r="F236" s="583"/>
      <c r="G236" s="583"/>
      <c r="H236" s="583"/>
      <c r="I236" s="583"/>
      <c r="J236" s="583"/>
      <c r="K236" s="583"/>
      <c r="L236" s="583"/>
      <c r="M236" s="583"/>
      <c r="N236" s="583"/>
      <c r="O236" s="583"/>
      <c r="P236" s="595"/>
      <c r="Q236" s="1038"/>
    </row>
    <row r="237" spans="2:17" ht="5.25" customHeight="1">
      <c r="B237" s="763"/>
      <c r="C237" s="717"/>
      <c r="D237" s="717"/>
      <c r="E237" s="717"/>
      <c r="F237" s="583"/>
      <c r="G237" s="583"/>
      <c r="H237" s="583"/>
      <c r="I237" s="583"/>
      <c r="J237" s="583"/>
      <c r="K237" s="583"/>
      <c r="L237" s="583"/>
      <c r="M237" s="583"/>
      <c r="N237" s="583"/>
      <c r="O237" s="583"/>
      <c r="P237" s="595"/>
      <c r="Q237" s="1038"/>
    </row>
    <row r="238" spans="2:17" ht="15">
      <c r="B238" s="763"/>
      <c r="C238" s="1366"/>
      <c r="D238" s="1366" t="s">
        <v>73</v>
      </c>
      <c r="E238" s="1366" t="s">
        <v>422</v>
      </c>
      <c r="F238" s="1367">
        <v>2007</v>
      </c>
      <c r="G238" s="1368">
        <v>2010</v>
      </c>
      <c r="H238" s="1367">
        <v>2015</v>
      </c>
      <c r="I238" s="1367">
        <v>2020</v>
      </c>
      <c r="J238" s="1367">
        <v>2025</v>
      </c>
      <c r="K238" s="1367">
        <v>2030</v>
      </c>
      <c r="L238" s="1367">
        <v>2035</v>
      </c>
      <c r="M238" s="1367">
        <v>2040</v>
      </c>
      <c r="N238" s="1367">
        <v>2045</v>
      </c>
      <c r="O238" s="1367">
        <v>2050</v>
      </c>
      <c r="P238" s="595"/>
      <c r="Q238" s="1038"/>
    </row>
    <row r="239" spans="2:17" ht="15">
      <c r="B239" s="763"/>
      <c r="C239" s="1369"/>
      <c r="D239" s="1369" t="s">
        <v>1116</v>
      </c>
      <c r="E239" s="1369"/>
      <c r="F239" s="1525">
        <f t="shared" ref="F239:O239" si="46">F233/F$578</f>
        <v>4.991821093132022E-2</v>
      </c>
      <c r="G239" s="1526">
        <f t="shared" si="46"/>
        <v>4.991821093132022E-2</v>
      </c>
      <c r="H239" s="1526">
        <f t="shared" si="46"/>
        <v>4.991821093132022E-2</v>
      </c>
      <c r="I239" s="1526">
        <f t="shared" si="46"/>
        <v>4.9918210931320213E-2</v>
      </c>
      <c r="J239" s="1526">
        <f t="shared" si="46"/>
        <v>4.9918210931320227E-2</v>
      </c>
      <c r="K239" s="1526">
        <f t="shared" si="46"/>
        <v>4.991821093132022E-2</v>
      </c>
      <c r="L239" s="1526">
        <f t="shared" si="46"/>
        <v>4.991821093132022E-2</v>
      </c>
      <c r="M239" s="1526">
        <f t="shared" si="46"/>
        <v>4.9918210931320227E-2</v>
      </c>
      <c r="N239" s="1526">
        <f t="shared" si="46"/>
        <v>4.991821093132022E-2</v>
      </c>
      <c r="O239" s="1526">
        <f t="shared" si="46"/>
        <v>4.991821093132022E-2</v>
      </c>
      <c r="P239" s="595"/>
      <c r="Q239" s="1038"/>
    </row>
    <row r="240" spans="2:17" ht="15">
      <c r="B240" s="763"/>
      <c r="C240" s="720"/>
      <c r="D240" s="720" t="s">
        <v>1117</v>
      </c>
      <c r="E240" s="720"/>
      <c r="F240" s="1527">
        <f t="shared" ref="F240:O240" si="47">F234/F$578</f>
        <v>4.991821093132022E-2</v>
      </c>
      <c r="G240" s="962">
        <f t="shared" si="47"/>
        <v>4.991821093132022E-2</v>
      </c>
      <c r="H240" s="962">
        <f t="shared" si="47"/>
        <v>4.991821093132022E-2</v>
      </c>
      <c r="I240" s="962">
        <f t="shared" si="47"/>
        <v>4.9918210931320213E-2</v>
      </c>
      <c r="J240" s="962">
        <f t="shared" si="47"/>
        <v>4.9918210931320227E-2</v>
      </c>
      <c r="K240" s="962">
        <f t="shared" si="47"/>
        <v>4.991821093132022E-2</v>
      </c>
      <c r="L240" s="962">
        <f t="shared" si="47"/>
        <v>4.991821093132022E-2</v>
      </c>
      <c r="M240" s="962">
        <f t="shared" si="47"/>
        <v>4.9918210931320227E-2</v>
      </c>
      <c r="N240" s="962">
        <f t="shared" si="47"/>
        <v>4.991821093132022E-2</v>
      </c>
      <c r="O240" s="962">
        <f t="shared" si="47"/>
        <v>4.991821093132022E-2</v>
      </c>
      <c r="P240" s="595"/>
      <c r="Q240" s="1038"/>
    </row>
    <row r="241" spans="2:17" ht="15">
      <c r="B241" s="763"/>
      <c r="C241" s="717"/>
      <c r="D241" s="717"/>
      <c r="E241" s="717"/>
      <c r="F241" s="595"/>
      <c r="G241" s="595"/>
      <c r="H241" s="595"/>
      <c r="I241" s="595"/>
      <c r="J241" s="595"/>
      <c r="K241" s="595"/>
      <c r="L241" s="595"/>
      <c r="M241" s="595"/>
      <c r="N241" s="595"/>
      <c r="O241" s="595"/>
      <c r="P241" s="595"/>
      <c r="Q241" s="1038"/>
    </row>
    <row r="242" spans="2:17" ht="15">
      <c r="B242" s="763"/>
      <c r="C242" s="1294" t="s">
        <v>1682</v>
      </c>
      <c r="D242" s="717"/>
      <c r="E242" s="717"/>
      <c r="F242" s="595" t="s">
        <v>1575</v>
      </c>
      <c r="G242" s="595"/>
      <c r="H242" s="595"/>
      <c r="I242" s="595"/>
      <c r="J242" s="595"/>
      <c r="K242" s="595"/>
      <c r="L242" s="595"/>
      <c r="M242" s="595"/>
      <c r="N242" s="595"/>
      <c r="O242" s="595"/>
      <c r="P242" s="595"/>
      <c r="Q242" s="1038"/>
    </row>
    <row r="243" spans="2:17" ht="6" customHeight="1">
      <c r="B243" s="763"/>
      <c r="C243" s="717"/>
      <c r="D243" s="717"/>
      <c r="E243" s="717"/>
      <c r="F243" s="595"/>
      <c r="G243" s="595"/>
      <c r="H243" s="595"/>
      <c r="I243" s="595"/>
      <c r="J243" s="595"/>
      <c r="K243" s="595"/>
      <c r="L243" s="595"/>
      <c r="M243" s="595"/>
      <c r="N243" s="595"/>
      <c r="O243" s="595"/>
      <c r="P243" s="595"/>
      <c r="Q243" s="1038"/>
    </row>
    <row r="244" spans="2:17" ht="15">
      <c r="B244" s="763"/>
      <c r="C244" s="1366" t="s">
        <v>1681</v>
      </c>
      <c r="D244" s="1366"/>
      <c r="E244" s="1366">
        <v>2007</v>
      </c>
      <c r="F244" s="1366">
        <v>2050</v>
      </c>
      <c r="G244" s="595"/>
      <c r="H244" s="1497" t="s">
        <v>603</v>
      </c>
      <c r="I244" s="595"/>
      <c r="J244" s="595"/>
      <c r="K244" s="595"/>
      <c r="L244" s="595"/>
      <c r="M244" s="595"/>
      <c r="N244" s="595"/>
      <c r="O244" s="595"/>
      <c r="P244" s="595"/>
      <c r="Q244" s="1038"/>
    </row>
    <row r="245" spans="2:17" ht="15">
      <c r="B245" s="763"/>
      <c r="C245" s="1369"/>
      <c r="D245" s="1369" t="s">
        <v>1301</v>
      </c>
      <c r="E245" s="1011">
        <v>8003957.2400141703</v>
      </c>
      <c r="F245" s="1011">
        <f t="shared" ref="F245:F250" si="48">E245*96%</f>
        <v>7683798.9504136033</v>
      </c>
      <c r="G245" s="595"/>
      <c r="H245" s="1497" t="s">
        <v>1683</v>
      </c>
      <c r="I245" s="595"/>
      <c r="J245" s="595"/>
      <c r="K245" s="595"/>
      <c r="L245" s="595"/>
      <c r="M245" s="595"/>
      <c r="N245" s="595"/>
      <c r="O245" s="595"/>
      <c r="P245" s="595"/>
      <c r="Q245" s="1038"/>
    </row>
    <row r="246" spans="2:17" ht="15">
      <c r="B246" s="763"/>
      <c r="C246" s="1389"/>
      <c r="D246" s="1390" t="s">
        <v>1302</v>
      </c>
      <c r="E246" s="582">
        <v>9150000</v>
      </c>
      <c r="F246" s="582">
        <f t="shared" si="48"/>
        <v>8784000</v>
      </c>
      <c r="G246" s="595"/>
      <c r="H246" s="1497" t="s">
        <v>1684</v>
      </c>
      <c r="I246" s="595"/>
      <c r="J246" s="595"/>
      <c r="K246" s="595"/>
      <c r="L246" s="595"/>
      <c r="M246" s="595"/>
      <c r="N246" s="595"/>
      <c r="O246" s="595"/>
      <c r="P246" s="595"/>
      <c r="Q246" s="1038"/>
    </row>
    <row r="247" spans="2:17" ht="15">
      <c r="B247" s="763"/>
      <c r="C247" s="1389"/>
      <c r="D247" s="1390" t="s">
        <v>1303</v>
      </c>
      <c r="E247" s="582">
        <v>11900000</v>
      </c>
      <c r="F247" s="582">
        <f t="shared" si="48"/>
        <v>11424000</v>
      </c>
      <c r="G247" s="595"/>
      <c r="H247" s="1497" t="s">
        <v>1685</v>
      </c>
      <c r="I247" s="595"/>
      <c r="J247" s="595"/>
      <c r="K247" s="595"/>
      <c r="L247" s="595"/>
      <c r="M247" s="595"/>
      <c r="N247" s="595"/>
      <c r="O247" s="595"/>
      <c r="P247" s="595"/>
      <c r="Q247" s="1038"/>
    </row>
    <row r="248" spans="2:17" ht="15">
      <c r="B248" s="763"/>
      <c r="C248" s="1389"/>
      <c r="D248" s="1391" t="s">
        <v>1304</v>
      </c>
      <c r="E248" s="582">
        <v>23660000</v>
      </c>
      <c r="F248" s="582">
        <f t="shared" si="48"/>
        <v>22713600</v>
      </c>
      <c r="G248" s="595"/>
      <c r="H248" s="1497"/>
      <c r="I248" s="595"/>
      <c r="J248" s="595"/>
      <c r="K248" s="595"/>
      <c r="L248" s="595"/>
      <c r="M248" s="595"/>
      <c r="N248" s="595"/>
      <c r="O248" s="595"/>
      <c r="P248" s="595"/>
      <c r="Q248" s="1038"/>
    </row>
    <row r="249" spans="2:17" ht="15">
      <c r="B249" s="763"/>
      <c r="C249" s="1389"/>
      <c r="D249" s="1391" t="s">
        <v>1305</v>
      </c>
      <c r="E249" s="582">
        <v>22333300</v>
      </c>
      <c r="F249" s="582">
        <f t="shared" si="48"/>
        <v>21439968</v>
      </c>
      <c r="G249" s="595"/>
      <c r="H249" s="1497" t="s">
        <v>1686</v>
      </c>
      <c r="I249" s="595"/>
      <c r="J249" s="595"/>
      <c r="K249" s="595"/>
      <c r="L249" s="595"/>
      <c r="M249" s="595"/>
      <c r="N249" s="595"/>
      <c r="O249" s="595"/>
      <c r="P249" s="595"/>
      <c r="Q249" s="1038"/>
    </row>
    <row r="250" spans="2:17" ht="15">
      <c r="B250" s="763"/>
      <c r="C250" s="1392"/>
      <c r="D250" s="1393" t="s">
        <v>1306</v>
      </c>
      <c r="E250" s="1012">
        <v>25132777.309301753</v>
      </c>
      <c r="F250" s="1012">
        <f t="shared" si="48"/>
        <v>24127466.216929682</v>
      </c>
      <c r="G250" s="595"/>
      <c r="H250" s="595"/>
      <c r="I250" s="595"/>
      <c r="J250" s="595"/>
      <c r="K250" s="595"/>
      <c r="L250" s="595"/>
      <c r="M250" s="595"/>
      <c r="N250" s="595"/>
      <c r="O250" s="595"/>
      <c r="P250" s="595"/>
      <c r="Q250" s="1038"/>
    </row>
    <row r="251" spans="2:17" ht="15">
      <c r="B251" s="763"/>
      <c r="C251" s="968"/>
      <c r="D251" s="1391"/>
      <c r="E251" s="582"/>
      <c r="F251" s="582"/>
      <c r="G251" s="595"/>
      <c r="H251" s="595"/>
      <c r="I251" s="595"/>
      <c r="J251" s="595"/>
      <c r="K251" s="595"/>
      <c r="L251" s="595"/>
      <c r="M251" s="595"/>
      <c r="N251" s="595"/>
      <c r="O251" s="595"/>
      <c r="P251" s="595"/>
      <c r="Q251" s="1038"/>
    </row>
    <row r="252" spans="2:17" ht="15">
      <c r="B252" s="763"/>
      <c r="C252" s="1293" t="s">
        <v>970</v>
      </c>
      <c r="D252" s="1391"/>
      <c r="E252" s="582"/>
      <c r="F252" s="582"/>
      <c r="G252" s="595"/>
      <c r="H252" s="595"/>
      <c r="I252" s="595"/>
      <c r="J252" s="595"/>
      <c r="K252" s="595"/>
      <c r="L252" s="595"/>
      <c r="M252" s="595"/>
      <c r="N252" s="595"/>
      <c r="O252" s="595" t="s">
        <v>1680</v>
      </c>
      <c r="P252" s="595"/>
      <c r="Q252" s="1038"/>
    </row>
    <row r="253" spans="2:17" ht="4.5" customHeight="1">
      <c r="B253" s="763"/>
      <c r="C253" s="1498"/>
      <c r="D253" s="1498"/>
      <c r="E253" s="1498"/>
      <c r="F253" s="1378"/>
      <c r="G253" s="595"/>
      <c r="H253" s="595"/>
      <c r="I253" s="595"/>
      <c r="J253" s="595"/>
      <c r="K253" s="595"/>
      <c r="L253" s="595"/>
      <c r="M253" s="595"/>
      <c r="N253" s="595"/>
      <c r="O253" s="595"/>
      <c r="P253" s="595"/>
      <c r="Q253" s="1038"/>
    </row>
    <row r="254" spans="2:17" ht="15">
      <c r="B254" s="763"/>
      <c r="C254" s="1366">
        <v>1</v>
      </c>
      <c r="D254" s="1366" t="s">
        <v>1576</v>
      </c>
      <c r="E254" s="1366"/>
      <c r="F254" s="1367">
        <v>2007</v>
      </c>
      <c r="G254" s="1368">
        <v>2010</v>
      </c>
      <c r="H254" s="1367">
        <v>2015</v>
      </c>
      <c r="I254" s="1367">
        <v>2020</v>
      </c>
      <c r="J254" s="1367">
        <v>2025</v>
      </c>
      <c r="K254" s="1367">
        <v>2030</v>
      </c>
      <c r="L254" s="1367">
        <v>2035</v>
      </c>
      <c r="M254" s="1367">
        <v>2040</v>
      </c>
      <c r="N254" s="1367">
        <v>2045</v>
      </c>
      <c r="O254" s="1367">
        <v>2050</v>
      </c>
      <c r="P254" s="1368" t="s">
        <v>668</v>
      </c>
      <c r="Q254" s="1038"/>
    </row>
    <row r="255" spans="2:17" ht="15">
      <c r="B255" s="763"/>
      <c r="C255" s="1369"/>
      <c r="D255" s="1369" t="s">
        <v>1301</v>
      </c>
      <c r="E255" s="1369"/>
      <c r="F255" s="1388"/>
      <c r="G255" s="1394">
        <v>102160.2</v>
      </c>
      <c r="H255" s="1394">
        <v>228767.00000000003</v>
      </c>
      <c r="I255" s="1394">
        <v>326267.00000000006</v>
      </c>
      <c r="J255" s="1394">
        <v>423767.00000000012</v>
      </c>
      <c r="K255" s="1394">
        <v>521267.00000000012</v>
      </c>
      <c r="L255" s="1394">
        <v>618767.00000000012</v>
      </c>
      <c r="M255" s="1394">
        <v>716267.00000000023</v>
      </c>
      <c r="N255" s="1394">
        <v>813767.00000000023</v>
      </c>
      <c r="O255" s="1394">
        <v>911267.00000000023</v>
      </c>
      <c r="P255" s="1395">
        <f>O255/$F$245</f>
        <v>0.11859589323988605</v>
      </c>
      <c r="Q255" s="1038"/>
    </row>
    <row r="256" spans="2:17" ht="15">
      <c r="B256" s="763"/>
      <c r="C256" s="1389"/>
      <c r="D256" s="1390" t="s">
        <v>1302</v>
      </c>
      <c r="E256" s="717"/>
      <c r="F256" s="1378"/>
      <c r="G256" s="1284">
        <v>1970805</v>
      </c>
      <c r="H256" s="1396">
        <v>3284675</v>
      </c>
      <c r="I256" s="1396">
        <v>3284675</v>
      </c>
      <c r="J256" s="1396">
        <v>3284675</v>
      </c>
      <c r="K256" s="1396">
        <v>3284675</v>
      </c>
      <c r="L256" s="1396">
        <v>3284675</v>
      </c>
      <c r="M256" s="1396">
        <v>3284675</v>
      </c>
      <c r="N256" s="1396">
        <v>3284675</v>
      </c>
      <c r="O256" s="1396">
        <v>3284675</v>
      </c>
      <c r="P256" s="574">
        <f>O256/$F$246</f>
        <v>0.37393841074681239</v>
      </c>
      <c r="Q256" s="1038"/>
    </row>
    <row r="257" spans="2:17" ht="15">
      <c r="B257" s="763"/>
      <c r="C257" s="1389"/>
      <c r="D257" s="1390" t="s">
        <v>1303</v>
      </c>
      <c r="E257" s="717"/>
      <c r="F257" s="1378"/>
      <c r="G257" s="1284">
        <v>249069.76744186046</v>
      </c>
      <c r="H257" s="1396">
        <v>664186.04651162785</v>
      </c>
      <c r="I257" s="1396">
        <v>1079302.3255813953</v>
      </c>
      <c r="J257" s="1396">
        <v>1494418.6046511629</v>
      </c>
      <c r="K257" s="1396">
        <v>1909534.8837209302</v>
      </c>
      <c r="L257" s="1396">
        <v>2324651.1627906975</v>
      </c>
      <c r="M257" s="1396">
        <v>2739767.4418604653</v>
      </c>
      <c r="N257" s="1396">
        <v>3154883.7209302327</v>
      </c>
      <c r="O257" s="1396">
        <v>3570000</v>
      </c>
      <c r="P257" s="574">
        <f>O257/$F$247</f>
        <v>0.3125</v>
      </c>
      <c r="Q257" s="1038"/>
    </row>
    <row r="258" spans="2:17" ht="15">
      <c r="B258" s="763"/>
      <c r="C258" s="1389"/>
      <c r="D258" s="1391" t="s">
        <v>1304</v>
      </c>
      <c r="E258" s="717"/>
      <c r="F258" s="1378"/>
      <c r="G258" s="1284">
        <v>165069.76744186046</v>
      </c>
      <c r="H258" s="1396">
        <v>440186.04651162791</v>
      </c>
      <c r="I258" s="1396">
        <v>715302.3255813953</v>
      </c>
      <c r="J258" s="1396">
        <v>990418.60465116275</v>
      </c>
      <c r="K258" s="1396">
        <v>1265534.8837209302</v>
      </c>
      <c r="L258" s="1396">
        <v>1540651.1627906978</v>
      </c>
      <c r="M258" s="1396">
        <v>1815767.4418604651</v>
      </c>
      <c r="N258" s="1396">
        <v>2090883.7209302327</v>
      </c>
      <c r="O258" s="1396">
        <v>2366000</v>
      </c>
      <c r="P258" s="574">
        <f>O258/$F$248</f>
        <v>0.10416666666666667</v>
      </c>
      <c r="Q258" s="1038"/>
    </row>
    <row r="259" spans="2:17" ht="15">
      <c r="B259" s="763"/>
      <c r="C259" s="1389"/>
      <c r="D259" s="1391" t="s">
        <v>1305</v>
      </c>
      <c r="E259" s="717"/>
      <c r="F259" s="1378"/>
      <c r="G259" s="1284">
        <v>3197748</v>
      </c>
      <c r="H259" s="1396">
        <v>5434580</v>
      </c>
      <c r="I259" s="1396">
        <v>5609580</v>
      </c>
      <c r="J259" s="1396">
        <v>5784580</v>
      </c>
      <c r="K259" s="1396">
        <v>5959580</v>
      </c>
      <c r="L259" s="1396">
        <v>6134580</v>
      </c>
      <c r="M259" s="1396">
        <v>6309580</v>
      </c>
      <c r="N259" s="1396">
        <v>6484580</v>
      </c>
      <c r="O259" s="1396">
        <v>6659580</v>
      </c>
      <c r="P259" s="574">
        <f>O259/$F$249</f>
        <v>0.31061520241074986</v>
      </c>
      <c r="Q259" s="1038"/>
    </row>
    <row r="260" spans="2:17" ht="15">
      <c r="B260" s="763"/>
      <c r="C260" s="1392"/>
      <c r="D260" s="1393" t="s">
        <v>1306</v>
      </c>
      <c r="E260" s="720"/>
      <c r="F260" s="1397"/>
      <c r="G260" s="1285">
        <v>175344.95797187273</v>
      </c>
      <c r="H260" s="1398">
        <v>467586.55459166056</v>
      </c>
      <c r="I260" s="1398">
        <v>759828.15121144848</v>
      </c>
      <c r="J260" s="1398">
        <v>1052069.7478312363</v>
      </c>
      <c r="K260" s="1398">
        <v>1344311.3444510242</v>
      </c>
      <c r="L260" s="1398">
        <v>1636552.9410708121</v>
      </c>
      <c r="M260" s="1398">
        <v>1928794.5376905999</v>
      </c>
      <c r="N260" s="1398">
        <v>2221036.1343103875</v>
      </c>
      <c r="O260" s="1398">
        <v>2513277.7309301756</v>
      </c>
      <c r="P260" s="961">
        <f>O260/$F$250</f>
        <v>0.10416666666666669</v>
      </c>
      <c r="Q260" s="1038"/>
    </row>
    <row r="261" spans="2:17" ht="15">
      <c r="B261" s="763"/>
      <c r="C261" s="1399"/>
      <c r="D261" s="1399"/>
      <c r="E261" s="717"/>
      <c r="F261" s="1378"/>
      <c r="G261" s="1399"/>
      <c r="H261" s="1400"/>
      <c r="I261" s="1401"/>
      <c r="J261" s="1401"/>
      <c r="K261" s="1401"/>
      <c r="L261" s="1401"/>
      <c r="M261" s="1401"/>
      <c r="N261" s="1401"/>
      <c r="O261" s="1401"/>
      <c r="P261" s="1401"/>
      <c r="Q261" s="1038"/>
    </row>
    <row r="262" spans="2:17" ht="15">
      <c r="B262" s="763"/>
      <c r="C262" s="1366">
        <v>2</v>
      </c>
      <c r="D262" s="1366" t="s">
        <v>1576</v>
      </c>
      <c r="E262" s="1366"/>
      <c r="F262" s="1367"/>
      <c r="G262" s="1368">
        <v>2010</v>
      </c>
      <c r="H262" s="1367">
        <v>2015</v>
      </c>
      <c r="I262" s="1367">
        <v>2020</v>
      </c>
      <c r="J262" s="1367">
        <v>2025</v>
      </c>
      <c r="K262" s="1367">
        <v>2030</v>
      </c>
      <c r="L262" s="1367">
        <v>2035</v>
      </c>
      <c r="M262" s="1367">
        <v>2040</v>
      </c>
      <c r="N262" s="1367">
        <v>2045</v>
      </c>
      <c r="O262" s="1367">
        <v>2050</v>
      </c>
      <c r="P262" s="1368" t="s">
        <v>668</v>
      </c>
      <c r="Q262" s="1038"/>
    </row>
    <row r="263" spans="2:17" ht="15">
      <c r="B263" s="763"/>
      <c r="C263" s="1369"/>
      <c r="D263" s="1369" t="s">
        <v>1301</v>
      </c>
      <c r="E263" s="1369"/>
      <c r="F263" s="1388"/>
      <c r="G263" s="1394">
        <v>400197.86200070853</v>
      </c>
      <c r="H263" s="1394">
        <v>1067194.2986685561</v>
      </c>
      <c r="I263" s="1394">
        <v>1734190.7353364036</v>
      </c>
      <c r="J263" s="1394">
        <v>2059489.3100035426</v>
      </c>
      <c r="K263" s="1394">
        <v>2156989.3100035428</v>
      </c>
      <c r="L263" s="1394">
        <v>2254489.3100035428</v>
      </c>
      <c r="M263" s="1394">
        <v>2351989.3100035433</v>
      </c>
      <c r="N263" s="1394">
        <v>2449489.3100035433</v>
      </c>
      <c r="O263" s="1394">
        <v>2546989.3100035433</v>
      </c>
      <c r="P263" s="1395">
        <f>O263/$F$245</f>
        <v>0.3314752671745067</v>
      </c>
      <c r="Q263" s="1038"/>
    </row>
    <row r="264" spans="2:17" ht="15">
      <c r="B264" s="763"/>
      <c r="C264" s="1390"/>
      <c r="D264" s="1390" t="s">
        <v>1302</v>
      </c>
      <c r="E264" s="717"/>
      <c r="F264" s="1378"/>
      <c r="G264" s="1284">
        <v>1976400</v>
      </c>
      <c r="H264" s="1396">
        <v>3678300</v>
      </c>
      <c r="I264" s="1396">
        <v>4318800</v>
      </c>
      <c r="J264" s="1396">
        <v>4575000</v>
      </c>
      <c r="K264" s="1396">
        <v>4575000</v>
      </c>
      <c r="L264" s="1396">
        <v>4575000</v>
      </c>
      <c r="M264" s="1396">
        <v>4575000</v>
      </c>
      <c r="N264" s="1396">
        <v>4575000</v>
      </c>
      <c r="O264" s="1396">
        <v>4575000</v>
      </c>
      <c r="P264" s="574">
        <f>O264/$F$246</f>
        <v>0.52083333333333337</v>
      </c>
      <c r="Q264" s="1038"/>
    </row>
    <row r="265" spans="2:17" ht="15">
      <c r="B265" s="763"/>
      <c r="C265" s="1390"/>
      <c r="D265" s="1390" t="s">
        <v>1303</v>
      </c>
      <c r="E265" s="717"/>
      <c r="F265" s="1378"/>
      <c r="G265" s="1284">
        <v>373604.65116279072</v>
      </c>
      <c r="H265" s="1396">
        <v>996279.06976744183</v>
      </c>
      <c r="I265" s="1396">
        <v>1618953.4883720931</v>
      </c>
      <c r="J265" s="1396">
        <v>2241627.9069767441</v>
      </c>
      <c r="K265" s="1396">
        <v>2864302.3255813955</v>
      </c>
      <c r="L265" s="1396">
        <v>3486976.7441860465</v>
      </c>
      <c r="M265" s="1396">
        <v>4109651.1627906975</v>
      </c>
      <c r="N265" s="1396">
        <v>4732325.5813953485</v>
      </c>
      <c r="O265" s="1396">
        <v>5355000</v>
      </c>
      <c r="P265" s="574">
        <f>O265/$F$247</f>
        <v>0.46875</v>
      </c>
      <c r="Q265" s="1038"/>
    </row>
    <row r="266" spans="2:17" ht="15">
      <c r="B266" s="763"/>
      <c r="C266" s="1391"/>
      <c r="D266" s="1391" t="s">
        <v>1304</v>
      </c>
      <c r="E266" s="717"/>
      <c r="F266" s="1378"/>
      <c r="G266" s="1284">
        <v>577744.18604651152</v>
      </c>
      <c r="H266" s="1396">
        <v>1540651.1627906975</v>
      </c>
      <c r="I266" s="1396">
        <v>2503558.1395348832</v>
      </c>
      <c r="J266" s="1396">
        <v>3466465.1162790689</v>
      </c>
      <c r="K266" s="1396">
        <v>4429372.0930232555</v>
      </c>
      <c r="L266" s="1396">
        <v>5392279.0697674416</v>
      </c>
      <c r="M266" s="1396">
        <v>6355186.0465116268</v>
      </c>
      <c r="N266" s="1396">
        <v>7318093.0232558129</v>
      </c>
      <c r="O266" s="1396">
        <v>8280999.9999999991</v>
      </c>
      <c r="P266" s="574">
        <f>O266/$F$248</f>
        <v>0.36458333333333331</v>
      </c>
      <c r="Q266" s="1038"/>
    </row>
    <row r="267" spans="2:17" ht="15">
      <c r="B267" s="763"/>
      <c r="C267" s="1391"/>
      <c r="D267" s="1391" t="s">
        <v>1305</v>
      </c>
      <c r="E267" s="717"/>
      <c r="F267" s="1378"/>
      <c r="G267" s="1284">
        <v>3215995.2</v>
      </c>
      <c r="H267" s="1396">
        <v>5536307.5263157897</v>
      </c>
      <c r="I267" s="1396">
        <v>5830166.7368421052</v>
      </c>
      <c r="J267" s="1396">
        <v>6124025.9473684207</v>
      </c>
      <c r="K267" s="1396">
        <v>6417885.1578947362</v>
      </c>
      <c r="L267" s="1396">
        <v>6711744.3684210517</v>
      </c>
      <c r="M267" s="1396">
        <v>7005603.5789473671</v>
      </c>
      <c r="N267" s="1396">
        <v>7299462.7894736836</v>
      </c>
      <c r="O267" s="1396">
        <v>7593321.9999999991</v>
      </c>
      <c r="P267" s="574">
        <f>O267/$F$249</f>
        <v>0.35416666666666663</v>
      </c>
      <c r="Q267" s="1038"/>
    </row>
    <row r="268" spans="2:17" ht="15">
      <c r="B268" s="763"/>
      <c r="C268" s="1393"/>
      <c r="D268" s="1393" t="s">
        <v>1306</v>
      </c>
      <c r="E268" s="720"/>
      <c r="F268" s="1397"/>
      <c r="G268" s="1285">
        <v>1449967.9216904859</v>
      </c>
      <c r="H268" s="1398">
        <v>3866581.1245079618</v>
      </c>
      <c r="I268" s="1398">
        <v>6283194.3273254381</v>
      </c>
      <c r="J268" s="1398">
        <v>6440274.1855085744</v>
      </c>
      <c r="K268" s="1398">
        <v>6597354.0436917096</v>
      </c>
      <c r="L268" s="1398">
        <v>6754433.9018748458</v>
      </c>
      <c r="M268" s="1398">
        <v>6911513.7600579821</v>
      </c>
      <c r="N268" s="1398">
        <v>7068593.6182411173</v>
      </c>
      <c r="O268" s="1398">
        <v>7225673.4764242535</v>
      </c>
      <c r="P268" s="961">
        <f>O268/$F$250</f>
        <v>0.29947916666666669</v>
      </c>
      <c r="Q268" s="1038"/>
    </row>
    <row r="269" spans="2:17" ht="15">
      <c r="B269" s="763"/>
      <c r="C269" s="1399"/>
      <c r="D269" s="1399"/>
      <c r="E269" s="717"/>
      <c r="F269" s="1378"/>
      <c r="G269" s="1399"/>
      <c r="H269" s="1400"/>
      <c r="I269" s="1401"/>
      <c r="J269" s="1401"/>
      <c r="K269" s="1401"/>
      <c r="L269" s="1401"/>
      <c r="M269" s="1401"/>
      <c r="N269" s="1401"/>
      <c r="O269" s="1401"/>
      <c r="P269" s="1401"/>
      <c r="Q269" s="1038"/>
    </row>
    <row r="270" spans="2:17" ht="15">
      <c r="B270" s="763"/>
      <c r="C270" s="1366">
        <v>3</v>
      </c>
      <c r="D270" s="1366" t="s">
        <v>1576</v>
      </c>
      <c r="E270" s="1366"/>
      <c r="F270" s="1367"/>
      <c r="G270" s="1368">
        <v>2010</v>
      </c>
      <c r="H270" s="1367">
        <v>2015</v>
      </c>
      <c r="I270" s="1367">
        <v>2020</v>
      </c>
      <c r="J270" s="1367">
        <v>2025</v>
      </c>
      <c r="K270" s="1367">
        <v>2030</v>
      </c>
      <c r="L270" s="1367">
        <v>2035</v>
      </c>
      <c r="M270" s="1367">
        <v>2040</v>
      </c>
      <c r="N270" s="1367">
        <v>2045</v>
      </c>
      <c r="O270" s="1367">
        <v>2050</v>
      </c>
      <c r="P270" s="1368" t="s">
        <v>668</v>
      </c>
      <c r="Q270" s="1038"/>
    </row>
    <row r="271" spans="2:17" ht="15">
      <c r="B271" s="763"/>
      <c r="C271" s="1369"/>
      <c r="D271" s="1369" t="s">
        <v>1301</v>
      </c>
      <c r="E271" s="1369"/>
      <c r="F271" s="1388"/>
      <c r="G271" s="1394">
        <v>509342.73345544719</v>
      </c>
      <c r="H271" s="1394">
        <v>1358247.2892145258</v>
      </c>
      <c r="I271" s="1394">
        <v>2207151.8449736047</v>
      </c>
      <c r="J271" s="1394">
        <v>3056056.4007326835</v>
      </c>
      <c r="K271" s="1394">
        <v>3904960.9564917618</v>
      </c>
      <c r="L271" s="1394">
        <v>4753865.5122508407</v>
      </c>
      <c r="M271" s="1394">
        <v>5602770.0680099195</v>
      </c>
      <c r="N271" s="1394">
        <v>5700270.0680099195</v>
      </c>
      <c r="O271" s="1394">
        <v>5797770.0680099195</v>
      </c>
      <c r="P271" s="1395">
        <f>O271/$F$245</f>
        <v>0.75454473827660951</v>
      </c>
      <c r="Q271" s="1038"/>
    </row>
    <row r="272" spans="2:17" ht="15">
      <c r="B272" s="763"/>
      <c r="C272" s="1390"/>
      <c r="D272" s="1390" t="s">
        <v>1302</v>
      </c>
      <c r="E272" s="717"/>
      <c r="F272" s="1378"/>
      <c r="G272" s="1284">
        <v>2287500</v>
      </c>
      <c r="H272" s="1396">
        <v>6100000</v>
      </c>
      <c r="I272" s="1396">
        <v>6862500</v>
      </c>
      <c r="J272" s="1396">
        <v>6862500</v>
      </c>
      <c r="K272" s="1396">
        <v>6862500</v>
      </c>
      <c r="L272" s="1396">
        <v>6862500</v>
      </c>
      <c r="M272" s="1396">
        <v>6862500</v>
      </c>
      <c r="N272" s="1396">
        <v>6862500</v>
      </c>
      <c r="O272" s="1396">
        <v>6862500</v>
      </c>
      <c r="P272" s="574">
        <f>O272/$F$246</f>
        <v>0.78125</v>
      </c>
      <c r="Q272" s="1038"/>
    </row>
    <row r="273" spans="2:17" ht="15">
      <c r="B273" s="763"/>
      <c r="C273" s="1390"/>
      <c r="D273" s="1390" t="s">
        <v>1303</v>
      </c>
      <c r="E273" s="717"/>
      <c r="F273" s="1378"/>
      <c r="G273" s="1284">
        <v>498139.53488372092</v>
      </c>
      <c r="H273" s="1396">
        <v>1328372.0930232557</v>
      </c>
      <c r="I273" s="1396">
        <v>2158604.6511627906</v>
      </c>
      <c r="J273" s="1396">
        <v>2988837.2093023257</v>
      </c>
      <c r="K273" s="1396">
        <v>3819069.7674418604</v>
      </c>
      <c r="L273" s="1396">
        <v>4649302.3255813951</v>
      </c>
      <c r="M273" s="1396">
        <v>5479534.8837209307</v>
      </c>
      <c r="N273" s="1396">
        <v>6309767.4418604653</v>
      </c>
      <c r="O273" s="1396">
        <v>7140000</v>
      </c>
      <c r="P273" s="574">
        <f>O273/$F$247</f>
        <v>0.625</v>
      </c>
      <c r="Q273" s="1038"/>
    </row>
    <row r="274" spans="2:17" ht="15">
      <c r="B274" s="763"/>
      <c r="C274" s="1391"/>
      <c r="D274" s="1391" t="s">
        <v>1304</v>
      </c>
      <c r="E274" s="717"/>
      <c r="F274" s="1378"/>
      <c r="G274" s="1284">
        <v>990418.60465116275</v>
      </c>
      <c r="H274" s="1396">
        <v>2641116.2790697673</v>
      </c>
      <c r="I274" s="1396">
        <v>4291813.9534883723</v>
      </c>
      <c r="J274" s="1396">
        <v>5942511.6279069772</v>
      </c>
      <c r="K274" s="1396">
        <v>7593209.3023255812</v>
      </c>
      <c r="L274" s="1396">
        <v>9243906.9767441861</v>
      </c>
      <c r="M274" s="1396">
        <v>10894604.65116279</v>
      </c>
      <c r="N274" s="1396">
        <v>12545302.325581396</v>
      </c>
      <c r="O274" s="1396">
        <v>14196000</v>
      </c>
      <c r="P274" s="574">
        <f>O274/$F$248</f>
        <v>0.625</v>
      </c>
      <c r="Q274" s="1038"/>
    </row>
    <row r="275" spans="2:17" ht="15">
      <c r="B275" s="763"/>
      <c r="C275" s="1391"/>
      <c r="D275" s="1391" t="s">
        <v>1305</v>
      </c>
      <c r="E275" s="717"/>
      <c r="F275" s="1378"/>
      <c r="G275" s="1284">
        <v>3215995.2</v>
      </c>
      <c r="H275" s="1396">
        <v>6382622.0526315756</v>
      </c>
      <c r="I275" s="1396">
        <v>8087005.4736842029</v>
      </c>
      <c r="J275" s="1396">
        <v>9791388.8947368301</v>
      </c>
      <c r="K275" s="1396">
        <v>11495772.315789457</v>
      </c>
      <c r="L275" s="1396">
        <v>13200155.736842085</v>
      </c>
      <c r="M275" s="1396">
        <v>14904539.157894708</v>
      </c>
      <c r="N275" s="1396">
        <v>16608922.578947335</v>
      </c>
      <c r="O275" s="1396">
        <v>18313305.999999963</v>
      </c>
      <c r="P275" s="574">
        <f>O275/$F$249</f>
        <v>0.85416666666666496</v>
      </c>
      <c r="Q275" s="1038"/>
    </row>
    <row r="276" spans="2:17" ht="15">
      <c r="B276" s="763"/>
      <c r="C276" s="1393"/>
      <c r="D276" s="1393" t="s">
        <v>1306</v>
      </c>
      <c r="E276" s="720"/>
      <c r="F276" s="1397"/>
      <c r="G276" s="1285">
        <v>2899935.8433809718</v>
      </c>
      <c r="H276" s="1398">
        <v>7733162.2490159236</v>
      </c>
      <c r="I276" s="1398">
        <v>12566388.654650876</v>
      </c>
      <c r="J276" s="1398">
        <v>12723468.512834013</v>
      </c>
      <c r="K276" s="1398">
        <v>12880548.371017147</v>
      </c>
      <c r="L276" s="1398">
        <v>13037628.229200283</v>
      </c>
      <c r="M276" s="1398">
        <v>13194708.087383419</v>
      </c>
      <c r="N276" s="1398">
        <v>13351787.945566554</v>
      </c>
      <c r="O276" s="1398">
        <v>13508867.80374969</v>
      </c>
      <c r="P276" s="961">
        <f>O276/$F$250</f>
        <v>0.55989583333333326</v>
      </c>
      <c r="Q276" s="1038"/>
    </row>
    <row r="277" spans="2:17" ht="15">
      <c r="B277" s="763"/>
      <c r="C277" s="1399"/>
      <c r="D277" s="1399"/>
      <c r="E277" s="717"/>
      <c r="F277" s="1378"/>
      <c r="G277" s="1399"/>
      <c r="H277" s="1400"/>
      <c r="I277" s="1401"/>
      <c r="J277" s="1401"/>
      <c r="K277" s="1401"/>
      <c r="L277" s="1401"/>
      <c r="M277" s="1401"/>
      <c r="N277" s="1401"/>
      <c r="O277" s="1401"/>
      <c r="P277" s="1401"/>
      <c r="Q277" s="1038"/>
    </row>
    <row r="278" spans="2:17" ht="15">
      <c r="B278" s="763"/>
      <c r="C278" s="1366">
        <v>4</v>
      </c>
      <c r="D278" s="1366" t="s">
        <v>1576</v>
      </c>
      <c r="E278" s="1366"/>
      <c r="F278" s="1367"/>
      <c r="G278" s="1368">
        <v>2010</v>
      </c>
      <c r="H278" s="1367">
        <v>2015</v>
      </c>
      <c r="I278" s="1367">
        <v>2020</v>
      </c>
      <c r="J278" s="1367">
        <v>2025</v>
      </c>
      <c r="K278" s="1367">
        <v>2030</v>
      </c>
      <c r="L278" s="1367">
        <v>2035</v>
      </c>
      <c r="M278" s="1367">
        <v>2040</v>
      </c>
      <c r="N278" s="1367">
        <v>2045</v>
      </c>
      <c r="O278" s="1367">
        <v>2050</v>
      </c>
      <c r="P278" s="1368" t="s">
        <v>668</v>
      </c>
      <c r="Q278" s="1038"/>
    </row>
    <row r="279" spans="2:17" ht="15">
      <c r="B279" s="763"/>
      <c r="C279" s="1369"/>
      <c r="D279" s="1369" t="s">
        <v>1301</v>
      </c>
      <c r="E279" s="1369"/>
      <c r="F279" s="1388"/>
      <c r="G279" s="1394">
        <v>696295.44895472261</v>
      </c>
      <c r="H279" s="1394">
        <v>1856787.8638792604</v>
      </c>
      <c r="I279" s="1394">
        <v>3017280.2788037984</v>
      </c>
      <c r="J279" s="1394">
        <v>4177772.6937283357</v>
      </c>
      <c r="K279" s="1394">
        <v>5338265.1086528739</v>
      </c>
      <c r="L279" s="1394">
        <v>6498757.5235774117</v>
      </c>
      <c r="M279" s="1394">
        <v>7659249.9385019494</v>
      </c>
      <c r="N279" s="1394">
        <v>7671524.4444577768</v>
      </c>
      <c r="O279" s="1394">
        <v>7683798.9504136043</v>
      </c>
      <c r="P279" s="1395">
        <f>O279/$F$245</f>
        <v>1.0000000000000002</v>
      </c>
      <c r="Q279" s="1038"/>
    </row>
    <row r="280" spans="2:17" ht="15">
      <c r="B280" s="763"/>
      <c r="C280" s="1390"/>
      <c r="D280" s="1390" t="s">
        <v>1302</v>
      </c>
      <c r="E280" s="717"/>
      <c r="F280" s="1378"/>
      <c r="G280" s="1284">
        <v>2387982.5317224329</v>
      </c>
      <c r="H280" s="1396">
        <v>6367953.4179264875</v>
      </c>
      <c r="I280" s="1396">
        <v>8755935.9496489204</v>
      </c>
      <c r="J280" s="1396">
        <v>8755935.9496489204</v>
      </c>
      <c r="K280" s="1396">
        <v>8755935.9496489204</v>
      </c>
      <c r="L280" s="1396">
        <v>8755935.9496489204</v>
      </c>
      <c r="M280" s="1396">
        <v>8755935.9496489204</v>
      </c>
      <c r="N280" s="1396">
        <v>8755935.9496489204</v>
      </c>
      <c r="O280" s="1396">
        <v>8755935.9496489204</v>
      </c>
      <c r="P280" s="574">
        <f>O280/$F$246</f>
        <v>0.99680509445001375</v>
      </c>
      <c r="Q280" s="1038"/>
    </row>
    <row r="281" spans="2:17" ht="15">
      <c r="B281" s="763"/>
      <c r="C281" s="1390"/>
      <c r="D281" s="1390" t="s">
        <v>1303</v>
      </c>
      <c r="E281" s="717"/>
      <c r="F281" s="1378"/>
      <c r="G281" s="1284">
        <v>794476.84179048531</v>
      </c>
      <c r="H281" s="1396">
        <v>2118604.9114412945</v>
      </c>
      <c r="I281" s="1396">
        <v>3442732.9810921028</v>
      </c>
      <c r="J281" s="1396">
        <v>4766861.0507429121</v>
      </c>
      <c r="K281" s="1396">
        <v>6090989.1203937214</v>
      </c>
      <c r="L281" s="1396">
        <v>7415117.1900445307</v>
      </c>
      <c r="M281" s="1396">
        <v>8739245.2596953381</v>
      </c>
      <c r="N281" s="1396">
        <v>10063373.329346148</v>
      </c>
      <c r="O281" s="1396">
        <v>11387501.398996957</v>
      </c>
      <c r="P281" s="574">
        <f>O281/$F$247</f>
        <v>0.99680509445001375</v>
      </c>
      <c r="Q281" s="1038"/>
    </row>
    <row r="282" spans="2:17" ht="15">
      <c r="B282" s="763"/>
      <c r="C282" s="1391"/>
      <c r="D282" s="1391" t="s">
        <v>1304</v>
      </c>
      <c r="E282" s="717"/>
      <c r="F282" s="1378"/>
      <c r="G282" s="1284">
        <v>1579606.8972069649</v>
      </c>
      <c r="H282" s="1396">
        <v>4212285.0592185734</v>
      </c>
      <c r="I282" s="1396">
        <v>6844963.2212301809</v>
      </c>
      <c r="J282" s="1396">
        <v>9477641.3832417894</v>
      </c>
      <c r="K282" s="1396">
        <v>12110319.545253398</v>
      </c>
      <c r="L282" s="1396">
        <v>14742997.707265006</v>
      </c>
      <c r="M282" s="1396">
        <v>17375675.869276613</v>
      </c>
      <c r="N282" s="1396">
        <v>20008354.031288221</v>
      </c>
      <c r="O282" s="1396">
        <v>22641032.19329983</v>
      </c>
      <c r="P282" s="574">
        <f>O282/$F$248</f>
        <v>0.99680509445001364</v>
      </c>
      <c r="Q282" s="1038"/>
    </row>
    <row r="283" spans="2:17" ht="15">
      <c r="B283" s="763"/>
      <c r="C283" s="1391"/>
      <c r="D283" s="1391" t="s">
        <v>1305</v>
      </c>
      <c r="E283" s="717"/>
      <c r="F283" s="1378"/>
      <c r="G283" s="1284">
        <v>3215995.2</v>
      </c>
      <c r="H283" s="1396">
        <v>7082846.5714285709</v>
      </c>
      <c r="I283" s="1396">
        <v>9954270.8571428582</v>
      </c>
      <c r="J283" s="1396">
        <v>12825695.142857142</v>
      </c>
      <c r="K283" s="1396">
        <v>15697119.428571429</v>
      </c>
      <c r="L283" s="1396">
        <v>18568543.714285716</v>
      </c>
      <c r="M283" s="1396">
        <v>21439968</v>
      </c>
      <c r="N283" s="1396">
        <v>21439968</v>
      </c>
      <c r="O283" s="1396">
        <v>21439968</v>
      </c>
      <c r="P283" s="574">
        <f>O283/$F$249</f>
        <v>1</v>
      </c>
      <c r="Q283" s="1038"/>
    </row>
    <row r="284" spans="2:17" ht="15">
      <c r="B284" s="763"/>
      <c r="C284" s="1393"/>
      <c r="D284" s="1393" t="s">
        <v>1306</v>
      </c>
      <c r="E284" s="720"/>
      <c r="F284" s="1397"/>
      <c r="G284" s="1285">
        <v>5550087.9787398716</v>
      </c>
      <c r="H284" s="1398">
        <v>14800234.609972991</v>
      </c>
      <c r="I284" s="1398">
        <v>24050381.24120611</v>
      </c>
      <c r="J284" s="1398">
        <v>24063228.737160038</v>
      </c>
      <c r="K284" s="1398">
        <v>24076076.233113967</v>
      </c>
      <c r="L284" s="1398">
        <v>24088923.729067896</v>
      </c>
      <c r="M284" s="1398">
        <v>24101771.225021824</v>
      </c>
      <c r="N284" s="1398">
        <v>24114618.720975753</v>
      </c>
      <c r="O284" s="1398">
        <v>24127466.216929682</v>
      </c>
      <c r="P284" s="961">
        <f>O284/$F$250</f>
        <v>1</v>
      </c>
      <c r="Q284" s="1038"/>
    </row>
    <row r="285" spans="2:17" ht="15">
      <c r="B285" s="763"/>
      <c r="C285" s="1391"/>
      <c r="D285" s="1391"/>
      <c r="E285" s="717"/>
      <c r="F285" s="1378"/>
      <c r="G285" s="583"/>
      <c r="H285" s="1585"/>
      <c r="I285" s="1585"/>
      <c r="J285" s="1585"/>
      <c r="K285" s="1585"/>
      <c r="L285" s="1585"/>
      <c r="M285" s="1585"/>
      <c r="N285" s="1585"/>
      <c r="O285" s="1585"/>
      <c r="P285" s="572"/>
      <c r="Q285" s="1038"/>
    </row>
    <row r="286" spans="2:17" ht="15">
      <c r="B286" s="763"/>
      <c r="C286" s="1586" t="s">
        <v>1766</v>
      </c>
      <c r="D286" s="1391"/>
      <c r="E286" s="717"/>
      <c r="F286" s="1378"/>
      <c r="G286" s="583"/>
      <c r="H286" s="1585"/>
      <c r="I286" s="1585"/>
      <c r="J286" s="1585"/>
      <c r="K286" s="1585"/>
      <c r="L286" s="1585"/>
      <c r="M286" s="1585"/>
      <c r="N286" s="1585"/>
      <c r="O286" s="1715" t="str">
        <f>"kt/"&amp;Preferences.EnergyUnits</f>
        <v>kt/TWh</v>
      </c>
      <c r="P286" s="572"/>
      <c r="Q286" s="1038"/>
    </row>
    <row r="287" spans="2:17" ht="4.5" customHeight="1">
      <c r="B287" s="763"/>
      <c r="C287" s="1586"/>
      <c r="D287" s="1391"/>
      <c r="E287" s="717"/>
      <c r="F287" s="1378"/>
      <c r="G287" s="583"/>
      <c r="H287" s="1585"/>
      <c r="I287" s="1585"/>
      <c r="J287" s="1585"/>
      <c r="K287" s="1585"/>
      <c r="L287" s="1585"/>
      <c r="M287" s="1585"/>
      <c r="N287" s="1585"/>
      <c r="O287" s="1715"/>
      <c r="P287" s="572"/>
      <c r="Q287" s="1038"/>
    </row>
    <row r="288" spans="2:17" ht="15">
      <c r="B288" s="763"/>
      <c r="C288" s="1347" t="s">
        <v>77</v>
      </c>
      <c r="D288" s="1347" t="s">
        <v>620</v>
      </c>
      <c r="E288" s="1347" t="s">
        <v>602</v>
      </c>
      <c r="F288" s="1348" t="s">
        <v>578</v>
      </c>
      <c r="G288" s="1349" t="s">
        <v>579</v>
      </c>
      <c r="H288" s="1348" t="s">
        <v>604</v>
      </c>
      <c r="I288" s="1348" t="s">
        <v>605</v>
      </c>
      <c r="J288" s="1348" t="s">
        <v>606</v>
      </c>
      <c r="K288" s="1348" t="s">
        <v>607</v>
      </c>
      <c r="L288" s="1348" t="s">
        <v>608</v>
      </c>
      <c r="M288" s="1348" t="s">
        <v>609</v>
      </c>
      <c r="N288" s="1348" t="s">
        <v>610</v>
      </c>
      <c r="O288" s="1348" t="s">
        <v>611</v>
      </c>
      <c r="P288" s="572"/>
      <c r="Q288" s="1038"/>
    </row>
    <row r="289" spans="2:17" ht="15">
      <c r="B289" s="763"/>
      <c r="C289" s="1587">
        <v>1</v>
      </c>
      <c r="D289" s="1325" t="s">
        <v>1764</v>
      </c>
      <c r="E289" s="1291" t="s">
        <v>260</v>
      </c>
      <c r="F289" s="1154">
        <f t="shared" ref="F289:F303" si="49">G289</f>
        <v>1.80010469224528E-3</v>
      </c>
      <c r="G289" s="1154">
        <f>0.00180010469224528*(1/Unit.TWh)</f>
        <v>1.80010469224528E-3</v>
      </c>
      <c r="H289" s="1588">
        <f t="shared" ref="H289:O289" si="50">0.00180010469224529*(1/Unit.TWh)</f>
        <v>1.80010469224529E-3</v>
      </c>
      <c r="I289" s="1588">
        <f t="shared" si="50"/>
        <v>1.80010469224529E-3</v>
      </c>
      <c r="J289" s="1588">
        <f t="shared" si="50"/>
        <v>1.80010469224529E-3</v>
      </c>
      <c r="K289" s="1588">
        <f t="shared" si="50"/>
        <v>1.80010469224529E-3</v>
      </c>
      <c r="L289" s="1588">
        <f t="shared" si="50"/>
        <v>1.80010469224529E-3</v>
      </c>
      <c r="M289" s="1588">
        <f t="shared" si="50"/>
        <v>1.80010469224529E-3</v>
      </c>
      <c r="N289" s="1588">
        <f t="shared" si="50"/>
        <v>1.80010469224529E-3</v>
      </c>
      <c r="O289" s="1588">
        <f t="shared" si="50"/>
        <v>1.80010469224529E-3</v>
      </c>
      <c r="P289" s="572"/>
      <c r="Q289" s="1038"/>
    </row>
    <row r="290" spans="2:17" ht="15">
      <c r="B290" s="763"/>
      <c r="C290" s="1587">
        <v>1</v>
      </c>
      <c r="D290" s="1325" t="s">
        <v>1764</v>
      </c>
      <c r="E290" s="1291" t="s">
        <v>1806</v>
      </c>
      <c r="F290" s="1154">
        <f>F289*Constants!$F$37</f>
        <v>1.807283110243579E-2</v>
      </c>
      <c r="G290" s="1154">
        <f>G289*Constants!$F$37</f>
        <v>1.807283110243579E-2</v>
      </c>
      <c r="H290" s="1154">
        <f>H289*Constants!$F$37</f>
        <v>1.8072831102435891E-2</v>
      </c>
      <c r="I290" s="1154">
        <f>I289*Constants!$F$37</f>
        <v>1.8072831102435891E-2</v>
      </c>
      <c r="J290" s="1154">
        <f>J289*Constants!$F$37</f>
        <v>1.8072831102435891E-2</v>
      </c>
      <c r="K290" s="1154">
        <f>K289*Constants!$F$37</f>
        <v>1.8072831102435891E-2</v>
      </c>
      <c r="L290" s="1154">
        <f>L289*Constants!$F$37</f>
        <v>1.8072831102435891E-2</v>
      </c>
      <c r="M290" s="1154">
        <f>M289*Constants!$F$37</f>
        <v>1.8072831102435891E-2</v>
      </c>
      <c r="N290" s="1154">
        <f>N289*Constants!$F$37</f>
        <v>1.8072831102435891E-2</v>
      </c>
      <c r="O290" s="1154">
        <f>O289*Constants!$F$37</f>
        <v>1.8072831102435891E-2</v>
      </c>
      <c r="P290" s="572"/>
      <c r="Q290" s="1038"/>
    </row>
    <row r="291" spans="2:17" ht="15">
      <c r="B291" s="763"/>
      <c r="C291" s="1587">
        <v>2</v>
      </c>
      <c r="D291" s="1325" t="s">
        <v>1765</v>
      </c>
      <c r="E291" s="1291" t="s">
        <v>260</v>
      </c>
      <c r="F291" s="1154">
        <f t="shared" si="49"/>
        <v>1.80010469224528E-3</v>
      </c>
      <c r="G291" s="1154">
        <f>0.00180010469224528*(1/Unit.TWh)</f>
        <v>1.80010469224528E-3</v>
      </c>
      <c r="H291" s="1588">
        <f t="shared" ref="H291:O291" si="51">0.00180010469224529*(1/Unit.TWh)</f>
        <v>1.80010469224529E-3</v>
      </c>
      <c r="I291" s="1588">
        <f t="shared" si="51"/>
        <v>1.80010469224529E-3</v>
      </c>
      <c r="J291" s="1588">
        <f t="shared" si="51"/>
        <v>1.80010469224529E-3</v>
      </c>
      <c r="K291" s="1588">
        <f t="shared" si="51"/>
        <v>1.80010469224529E-3</v>
      </c>
      <c r="L291" s="1588">
        <f t="shared" si="51"/>
        <v>1.80010469224529E-3</v>
      </c>
      <c r="M291" s="1588">
        <f t="shared" si="51"/>
        <v>1.80010469224529E-3</v>
      </c>
      <c r="N291" s="1588">
        <f t="shared" si="51"/>
        <v>1.80010469224529E-3</v>
      </c>
      <c r="O291" s="1588">
        <f t="shared" si="51"/>
        <v>1.80010469224529E-3</v>
      </c>
      <c r="P291" s="572"/>
      <c r="Q291" s="1038"/>
    </row>
    <row r="292" spans="2:17" ht="15">
      <c r="B292" s="763"/>
      <c r="C292" s="1587">
        <v>2</v>
      </c>
      <c r="D292" s="1325" t="s">
        <v>1765</v>
      </c>
      <c r="E292" s="1291" t="s">
        <v>1806</v>
      </c>
      <c r="F292" s="1154">
        <f>F291*Constants!$F$37</f>
        <v>1.807283110243579E-2</v>
      </c>
      <c r="G292" s="1154">
        <f>G291*Constants!$F$37</f>
        <v>1.807283110243579E-2</v>
      </c>
      <c r="H292" s="1154">
        <f>H291*Constants!$F$37</f>
        <v>1.8072831102435891E-2</v>
      </c>
      <c r="I292" s="1154">
        <f>I291*Constants!$F$37</f>
        <v>1.8072831102435891E-2</v>
      </c>
      <c r="J292" s="1154">
        <f>J291*Constants!$F$37</f>
        <v>1.8072831102435891E-2</v>
      </c>
      <c r="K292" s="1154">
        <f>K291*Constants!$F$37</f>
        <v>1.8072831102435891E-2</v>
      </c>
      <c r="L292" s="1154">
        <f>L291*Constants!$F$37</f>
        <v>1.8072831102435891E-2</v>
      </c>
      <c r="M292" s="1154">
        <f>M291*Constants!$F$37</f>
        <v>1.8072831102435891E-2</v>
      </c>
      <c r="N292" s="1154">
        <f>N291*Constants!$F$37</f>
        <v>1.8072831102435891E-2</v>
      </c>
      <c r="O292" s="1154">
        <f>O291*Constants!$F$37</f>
        <v>1.8072831102435891E-2</v>
      </c>
      <c r="P292" s="572"/>
      <c r="Q292" s="1038"/>
    </row>
    <row r="293" spans="2:17" ht="15">
      <c r="B293" s="763"/>
      <c r="C293" s="1587">
        <v>4</v>
      </c>
      <c r="D293" s="1325" t="s">
        <v>671</v>
      </c>
      <c r="E293" s="1291" t="s">
        <v>187</v>
      </c>
      <c r="F293" s="1154">
        <f t="shared" si="49"/>
        <v>1.0415039876862099E-2</v>
      </c>
      <c r="G293" s="1154">
        <f>0.0104150398768621*(1/Unit.TWh)</f>
        <v>1.0415039876862099E-2</v>
      </c>
      <c r="H293" s="1588">
        <f>0.0109713940084016*(1/Unit.TWh)</f>
        <v>1.0971394008401599E-2</v>
      </c>
      <c r="I293" s="1588">
        <f>0.0109713937489954*(1/Unit.TWh)</f>
        <v>1.09713937489954E-2</v>
      </c>
      <c r="J293" s="1588">
        <f>0.0109713943405242*(1/Unit.TWh)</f>
        <v>1.09713943405242E-2</v>
      </c>
      <c r="K293" s="1588">
        <f>0.0109713942526951*(1/Unit.TWh)</f>
        <v>1.09713942526951E-2</v>
      </c>
      <c r="L293" s="1588">
        <f>0.0109713942526951*(1/Unit.TWh)</f>
        <v>1.09713942526951E-2</v>
      </c>
      <c r="M293" s="1588">
        <f>0.0109713942526951*(1/Unit.TWh)</f>
        <v>1.09713942526951E-2</v>
      </c>
      <c r="N293" s="1588">
        <f>0.0109713942526951*(1/Unit.TWh)</f>
        <v>1.09713942526951E-2</v>
      </c>
      <c r="O293" s="1588">
        <f>0.0109713942526951*(1/Unit.TWh)</f>
        <v>1.09713942526951E-2</v>
      </c>
      <c r="P293" s="572"/>
      <c r="Q293" s="1038"/>
    </row>
    <row r="294" spans="2:17" ht="15">
      <c r="B294" s="763"/>
      <c r="C294" s="1587">
        <v>4</v>
      </c>
      <c r="D294" s="1325" t="s">
        <v>671</v>
      </c>
      <c r="E294" s="1291" t="s">
        <v>1797</v>
      </c>
      <c r="F294" s="1154">
        <f>F293*Constants!$F$36</f>
        <v>4.8789074952175125E-2</v>
      </c>
      <c r="G294" s="1154">
        <f>G293*Constants!$F$36</f>
        <v>4.8789074952175125E-2</v>
      </c>
      <c r="H294" s="1154">
        <f>H293*Constants!$F$36</f>
        <v>5.1395306300740164E-2</v>
      </c>
      <c r="I294" s="1154">
        <f>I293*Constants!$F$36</f>
        <v>5.1395305085556293E-2</v>
      </c>
      <c r="J294" s="1154">
        <f>J293*Constants!$F$36</f>
        <v>5.1395307856562766E-2</v>
      </c>
      <c r="K294" s="1154">
        <f>K293*Constants!$F$36</f>
        <v>5.1395307445128866E-2</v>
      </c>
      <c r="L294" s="1154">
        <f>L293*Constants!$F$36</f>
        <v>5.1395307445128866E-2</v>
      </c>
      <c r="M294" s="1154">
        <f>M293*Constants!$F$36</f>
        <v>5.1395307445128866E-2</v>
      </c>
      <c r="N294" s="1154">
        <f>N293*Constants!$F$36</f>
        <v>5.1395307445128866E-2</v>
      </c>
      <c r="O294" s="1154">
        <f>O293*Constants!$F$36</f>
        <v>5.1395307445128866E-2</v>
      </c>
      <c r="P294" s="572"/>
      <c r="Q294" s="1038"/>
    </row>
    <row r="295" spans="2:17" ht="15">
      <c r="B295" s="763"/>
      <c r="C295" s="1587">
        <v>5</v>
      </c>
      <c r="D295" s="1325" t="s">
        <v>670</v>
      </c>
      <c r="E295" s="1291" t="s">
        <v>126</v>
      </c>
      <c r="F295" s="1154">
        <f t="shared" si="49"/>
        <v>0.71700855328619895</v>
      </c>
      <c r="G295" s="1154">
        <f>0.717008553286199*(1/Unit.TWh)</f>
        <v>0.71700855328619895</v>
      </c>
      <c r="H295" s="1588">
        <f>0.561656414964649*(1/Unit.TWh)</f>
        <v>0.56165641496464902</v>
      </c>
      <c r="I295" s="1588">
        <f>0.4063042766431*(1/Unit.TWh)</f>
        <v>0.40630427664309998</v>
      </c>
      <c r="J295" s="1588">
        <f>0.25095213832155*(1/Unit.TWh)</f>
        <v>0.25095213832155</v>
      </c>
      <c r="K295" s="1588">
        <f>0.0956*(1/Unit.TWh)</f>
        <v>9.5600000000000004E-2</v>
      </c>
      <c r="L295" s="1588">
        <f>0.0956*(1/Unit.TWh)</f>
        <v>9.5600000000000004E-2</v>
      </c>
      <c r="M295" s="1588">
        <f>0.0956*(1/Unit.TWh)</f>
        <v>9.5600000000000004E-2</v>
      </c>
      <c r="N295" s="1588">
        <f>0.0956*(1/Unit.TWh)</f>
        <v>9.5600000000000004E-2</v>
      </c>
      <c r="O295" s="1588">
        <f>0.0956*(1/Unit.TWh)</f>
        <v>9.5600000000000004E-2</v>
      </c>
      <c r="P295" s="572"/>
      <c r="Q295" s="1038"/>
    </row>
    <row r="296" spans="2:17" ht="15">
      <c r="B296" s="763"/>
      <c r="C296" s="1587">
        <v>5</v>
      </c>
      <c r="D296" s="1325" t="s">
        <v>670</v>
      </c>
      <c r="E296" s="1291" t="s">
        <v>1284</v>
      </c>
      <c r="F296" s="1154">
        <f>F295*Constants!$F$35</f>
        <v>3.0030781432413249</v>
      </c>
      <c r="G296" s="1154">
        <f>G295*Constants!$F$35</f>
        <v>3.0030781432413249</v>
      </c>
      <c r="H296" s="1154">
        <f>H295*Constants!$F$35</f>
        <v>2.3524100180690035</v>
      </c>
      <c r="I296" s="1154">
        <f>I295*Constants!$F$35</f>
        <v>1.7017418928966856</v>
      </c>
      <c r="J296" s="1154">
        <f>J295*Constants!$F$35</f>
        <v>1.051073767724364</v>
      </c>
      <c r="K296" s="1154">
        <f>K295*Constants!$F$35</f>
        <v>0.4004056425520422</v>
      </c>
      <c r="L296" s="1154">
        <f>L295*Constants!$F$35</f>
        <v>0.4004056425520422</v>
      </c>
      <c r="M296" s="1154">
        <f>M295*Constants!$F$35</f>
        <v>0.4004056425520422</v>
      </c>
      <c r="N296" s="1154">
        <f>N295*Constants!$F$35</f>
        <v>0.4004056425520422</v>
      </c>
      <c r="O296" s="1154">
        <f>O295*Constants!$F$35</f>
        <v>0.4004056425520422</v>
      </c>
      <c r="P296" s="572"/>
      <c r="Q296" s="1038"/>
    </row>
    <row r="297" spans="2:17" ht="15">
      <c r="B297" s="763"/>
      <c r="C297" s="1587">
        <v>6</v>
      </c>
      <c r="D297" s="1325" t="s">
        <v>929</v>
      </c>
      <c r="E297" s="1291" t="s">
        <v>260</v>
      </c>
      <c r="F297" s="1154">
        <f t="shared" si="49"/>
        <v>1.80010469224528E-3</v>
      </c>
      <c r="G297" s="1154">
        <f>0.00180010469224528*(1/Unit.TWh)</f>
        <v>1.80010469224528E-3</v>
      </c>
      <c r="H297" s="1588">
        <f t="shared" ref="H297:O297" si="52">0.00180010469224529*(1/Unit.TWh)</f>
        <v>1.80010469224529E-3</v>
      </c>
      <c r="I297" s="1588">
        <f t="shared" si="52"/>
        <v>1.80010469224529E-3</v>
      </c>
      <c r="J297" s="1588">
        <f t="shared" si="52"/>
        <v>1.80010469224529E-3</v>
      </c>
      <c r="K297" s="1588">
        <f t="shared" si="52"/>
        <v>1.80010469224529E-3</v>
      </c>
      <c r="L297" s="1588">
        <f t="shared" si="52"/>
        <v>1.80010469224529E-3</v>
      </c>
      <c r="M297" s="1588">
        <f t="shared" si="52"/>
        <v>1.80010469224529E-3</v>
      </c>
      <c r="N297" s="1588">
        <f t="shared" si="52"/>
        <v>1.80010469224529E-3</v>
      </c>
      <c r="O297" s="1588">
        <f t="shared" si="52"/>
        <v>1.80010469224529E-3</v>
      </c>
      <c r="P297" s="572"/>
      <c r="Q297" s="1038"/>
    </row>
    <row r="298" spans="2:17" ht="15">
      <c r="B298" s="763"/>
      <c r="C298" s="1587">
        <v>6</v>
      </c>
      <c r="D298" s="1325" t="s">
        <v>929</v>
      </c>
      <c r="E298" s="1291" t="s">
        <v>1806</v>
      </c>
      <c r="F298" s="1154">
        <f>F297*Constants!$F$37</f>
        <v>1.807283110243579E-2</v>
      </c>
      <c r="G298" s="1154">
        <f>G297*Constants!$F$37</f>
        <v>1.807283110243579E-2</v>
      </c>
      <c r="H298" s="1154">
        <f>H297*Constants!$F$37</f>
        <v>1.8072831102435891E-2</v>
      </c>
      <c r="I298" s="1154">
        <f>I297*Constants!$F$37</f>
        <v>1.8072831102435891E-2</v>
      </c>
      <c r="J298" s="1154">
        <f>J297*Constants!$F$37</f>
        <v>1.8072831102435891E-2</v>
      </c>
      <c r="K298" s="1154">
        <f>K297*Constants!$F$37</f>
        <v>1.8072831102435891E-2</v>
      </c>
      <c r="L298" s="1154">
        <f>L297*Constants!$F$37</f>
        <v>1.8072831102435891E-2</v>
      </c>
      <c r="M298" s="1154">
        <f>M297*Constants!$F$37</f>
        <v>1.8072831102435891E-2</v>
      </c>
      <c r="N298" s="1154">
        <f>N297*Constants!$F$37</f>
        <v>1.8072831102435891E-2</v>
      </c>
      <c r="O298" s="1154">
        <f>O297*Constants!$F$37</f>
        <v>1.8072831102435891E-2</v>
      </c>
      <c r="P298" s="572"/>
      <c r="Q298" s="1038"/>
    </row>
    <row r="299" spans="2:17" ht="15">
      <c r="B299" s="763"/>
      <c r="C299" s="1587">
        <v>7</v>
      </c>
      <c r="D299" s="1325" t="s">
        <v>1587</v>
      </c>
      <c r="E299" s="1291" t="s">
        <v>260</v>
      </c>
      <c r="F299" s="1154">
        <f t="shared" si="49"/>
        <v>0</v>
      </c>
      <c r="G299" s="1154">
        <f t="shared" ref="G299:O299" si="53">0*(1/Unit.TWh)</f>
        <v>0</v>
      </c>
      <c r="H299" s="1154">
        <f t="shared" si="53"/>
        <v>0</v>
      </c>
      <c r="I299" s="1154">
        <f t="shared" si="53"/>
        <v>0</v>
      </c>
      <c r="J299" s="1154">
        <f t="shared" si="53"/>
        <v>0</v>
      </c>
      <c r="K299" s="1154">
        <f t="shared" si="53"/>
        <v>0</v>
      </c>
      <c r="L299" s="1154">
        <f t="shared" si="53"/>
        <v>0</v>
      </c>
      <c r="M299" s="1154">
        <f t="shared" si="53"/>
        <v>0</v>
      </c>
      <c r="N299" s="1154">
        <f t="shared" si="53"/>
        <v>0</v>
      </c>
      <c r="O299" s="1154">
        <f t="shared" si="53"/>
        <v>0</v>
      </c>
      <c r="P299" s="572"/>
      <c r="Q299" s="1038"/>
    </row>
    <row r="300" spans="2:17" ht="15">
      <c r="B300" s="763"/>
      <c r="C300" s="1587">
        <v>7</v>
      </c>
      <c r="D300" s="1325" t="s">
        <v>1587</v>
      </c>
      <c r="E300" s="1291" t="s">
        <v>1806</v>
      </c>
      <c r="F300" s="1154">
        <f>F299*Constants!$F$37</f>
        <v>0</v>
      </c>
      <c r="G300" s="1154">
        <f>G299*Constants!$F$37</f>
        <v>0</v>
      </c>
      <c r="H300" s="1154">
        <f>H299*Constants!$F$37</f>
        <v>0</v>
      </c>
      <c r="I300" s="1154">
        <f>I299*Constants!$F$37</f>
        <v>0</v>
      </c>
      <c r="J300" s="1154">
        <f>J299*Constants!$F$37</f>
        <v>0</v>
      </c>
      <c r="K300" s="1154">
        <f>K299*Constants!$F$37</f>
        <v>0</v>
      </c>
      <c r="L300" s="1154">
        <f>L299*Constants!$F$37</f>
        <v>0</v>
      </c>
      <c r="M300" s="1154">
        <f>M299*Constants!$F$37</f>
        <v>0</v>
      </c>
      <c r="N300" s="1154">
        <f>N299*Constants!$F$37</f>
        <v>0</v>
      </c>
      <c r="O300" s="1154">
        <f>O299*Constants!$F$37</f>
        <v>0</v>
      </c>
      <c r="P300" s="572"/>
      <c r="Q300" s="1038"/>
    </row>
    <row r="301" spans="2:17" ht="15">
      <c r="B301" s="763"/>
      <c r="C301" s="1587">
        <v>11</v>
      </c>
      <c r="D301" s="1325" t="s">
        <v>1102</v>
      </c>
      <c r="E301" s="1291" t="s">
        <v>260</v>
      </c>
      <c r="F301" s="1154">
        <f t="shared" si="49"/>
        <v>3.1982062566335199E-3</v>
      </c>
      <c r="G301" s="1154">
        <f>0.00319820625663352*(1/Unit.TWh)</f>
        <v>3.1982062566335199E-3</v>
      </c>
      <c r="H301" s="1588">
        <f>0.00319622522930352*(1/Unit.TWh)</f>
        <v>3.1962252293035202E-3</v>
      </c>
      <c r="I301" s="1588">
        <f>0.00318545414263802*(1/Unit.TWh)</f>
        <v>3.1854541426380202E-3</v>
      </c>
      <c r="J301" s="1588">
        <f>0.00318367741134261*(1/Unit.TWh)</f>
        <v>3.1836774113426099E-3</v>
      </c>
      <c r="K301" s="1588">
        <f>0.0031870230559918*(1/Unit.TWh)</f>
        <v>3.1870230559917999E-3</v>
      </c>
      <c r="L301" s="1588">
        <f>0.0031870230559918*(1/Unit.TWh)</f>
        <v>3.1870230559917999E-3</v>
      </c>
      <c r="M301" s="1588">
        <f>0.0031870230559918*(1/Unit.TWh)</f>
        <v>3.1870230559917999E-3</v>
      </c>
      <c r="N301" s="1588">
        <f>0.0031870230559918*(1/Unit.TWh)</f>
        <v>3.1870230559917999E-3</v>
      </c>
      <c r="O301" s="1588">
        <f>0.0031870230559918*(1/Unit.TWh)</f>
        <v>3.1870230559917999E-3</v>
      </c>
      <c r="P301" s="572"/>
      <c r="Q301" s="1038"/>
    </row>
    <row r="302" spans="2:17" ht="15">
      <c r="B302" s="763"/>
      <c r="C302" s="1587">
        <v>11</v>
      </c>
      <c r="D302" s="1325" t="s">
        <v>1102</v>
      </c>
      <c r="E302" s="1291" t="s">
        <v>1806</v>
      </c>
      <c r="F302" s="1154">
        <f>F301*Constants!$F$37</f>
        <v>3.210959993376606E-2</v>
      </c>
      <c r="G302" s="1154">
        <f>G301*Constants!$F$37</f>
        <v>3.210959993376606E-2</v>
      </c>
      <c r="H302" s="1154">
        <f>H301*Constants!$F$37</f>
        <v>3.2089710661492826E-2</v>
      </c>
      <c r="I302" s="1154">
        <f>I301*Constants!$F$37</f>
        <v>3.1981570267806902E-2</v>
      </c>
      <c r="J302" s="1154">
        <f>J301*Constants!$F$37</f>
        <v>3.196373210275201E-2</v>
      </c>
      <c r="K302" s="1154">
        <f>K301*Constants!$F$37</f>
        <v>3.1997321966127208E-2</v>
      </c>
      <c r="L302" s="1154">
        <f>L301*Constants!$F$37</f>
        <v>3.1997321966127208E-2</v>
      </c>
      <c r="M302" s="1154">
        <f>M301*Constants!$F$37</f>
        <v>3.1997321966127208E-2</v>
      </c>
      <c r="N302" s="1154">
        <f>N301*Constants!$F$37</f>
        <v>3.1997321966127208E-2</v>
      </c>
      <c r="O302" s="1154">
        <f>O301*Constants!$F$37</f>
        <v>3.1997321966127208E-2</v>
      </c>
      <c r="P302" s="572"/>
      <c r="Q302" s="1038"/>
    </row>
    <row r="303" spans="2:17" ht="15">
      <c r="B303" s="763"/>
      <c r="C303" s="1587">
        <v>12</v>
      </c>
      <c r="D303" s="1325" t="s">
        <v>1103</v>
      </c>
      <c r="E303" s="1291" t="s">
        <v>126</v>
      </c>
      <c r="F303" s="1154">
        <f t="shared" si="49"/>
        <v>0.35624924609497899</v>
      </c>
      <c r="G303" s="1154">
        <f>0.356249246094979*(1/Unit.TWh)</f>
        <v>0.35624924609497899</v>
      </c>
      <c r="H303" s="1588">
        <f>0.291086934571234*(1/Unit.TWh)</f>
        <v>0.29108693457123402</v>
      </c>
      <c r="I303" s="1588">
        <f>0.22592462304749*(1/Unit.TWh)</f>
        <v>0.22592462304749</v>
      </c>
      <c r="J303" s="1588">
        <f>0.160762311523745*(1/Unit.TWh)</f>
        <v>0.16076231152374501</v>
      </c>
      <c r="K303" s="1588">
        <f>0.0956*(1/Unit.TWh)</f>
        <v>9.5600000000000004E-2</v>
      </c>
      <c r="L303" s="1588">
        <f>0.0956*(1/Unit.TWh)</f>
        <v>9.5600000000000004E-2</v>
      </c>
      <c r="M303" s="1588">
        <f>0.0956*(1/Unit.TWh)</f>
        <v>9.5600000000000004E-2</v>
      </c>
      <c r="N303" s="1588">
        <f>0.0956*(1/Unit.TWh)</f>
        <v>9.5600000000000004E-2</v>
      </c>
      <c r="O303" s="1588">
        <f>0.0956*(1/Unit.TWh)</f>
        <v>9.5600000000000004E-2</v>
      </c>
      <c r="P303" s="572"/>
      <c r="Q303" s="1038"/>
    </row>
    <row r="304" spans="2:17" ht="15">
      <c r="B304" s="763"/>
      <c r="C304" s="1716">
        <v>12</v>
      </c>
      <c r="D304" s="1601" t="s">
        <v>1103</v>
      </c>
      <c r="E304" s="580" t="s">
        <v>1284</v>
      </c>
      <c r="F304" s="1717">
        <f>F303*Constants!$F$35</f>
        <v>1.4920942289889192</v>
      </c>
      <c r="G304" s="1717">
        <f>G303*Constants!$F$35</f>
        <v>1.4920942289889192</v>
      </c>
      <c r="H304" s="1717">
        <f>H303*Constants!$F$35</f>
        <v>1.219172082379699</v>
      </c>
      <c r="I304" s="1717">
        <f>I303*Constants!$F$35</f>
        <v>0.94624993577048278</v>
      </c>
      <c r="J304" s="1717">
        <f>J303*Constants!$F$35</f>
        <v>0.67332778916126257</v>
      </c>
      <c r="K304" s="1717">
        <f>K303*Constants!$F$35</f>
        <v>0.4004056425520422</v>
      </c>
      <c r="L304" s="1717">
        <f>L303*Constants!$F$35</f>
        <v>0.4004056425520422</v>
      </c>
      <c r="M304" s="1717">
        <f>M303*Constants!$F$35</f>
        <v>0.4004056425520422</v>
      </c>
      <c r="N304" s="1717">
        <f>N303*Constants!$F$35</f>
        <v>0.4004056425520422</v>
      </c>
      <c r="O304" s="1717">
        <f>O303*Constants!$F$35</f>
        <v>0.4004056425520422</v>
      </c>
      <c r="P304" s="572"/>
      <c r="Q304" s="1038"/>
    </row>
    <row r="305" spans="2:17" ht="15">
      <c r="B305" s="763"/>
      <c r="C305" s="1391"/>
      <c r="D305" s="1391"/>
      <c r="E305" s="717"/>
      <c r="F305" s="1378"/>
      <c r="G305" s="583"/>
      <c r="H305" s="1585"/>
      <c r="I305" s="1585"/>
      <c r="J305" s="1585"/>
      <c r="K305" s="1585"/>
      <c r="L305" s="1585"/>
      <c r="M305" s="1585"/>
      <c r="N305" s="1585"/>
      <c r="O305" s="1585"/>
      <c r="P305" s="572"/>
      <c r="Q305" s="1038"/>
    </row>
    <row r="306" spans="2:17" ht="15">
      <c r="B306" s="763"/>
      <c r="C306" s="1586" t="s">
        <v>1767</v>
      </c>
      <c r="D306" s="1391"/>
      <c r="E306" s="717"/>
      <c r="F306" s="1378"/>
      <c r="G306" s="583"/>
      <c r="H306" s="1585"/>
      <c r="I306" s="1585"/>
      <c r="J306" s="1585"/>
      <c r="K306" s="1585"/>
      <c r="L306" s="1585"/>
      <c r="M306" s="1585"/>
      <c r="N306" s="1585"/>
      <c r="O306" s="1715" t="str">
        <f>"kt/"&amp;Preferences.EnergyUnits</f>
        <v>kt/TWh</v>
      </c>
      <c r="P306" s="572"/>
      <c r="Q306" s="1038"/>
    </row>
    <row r="307" spans="2:17" ht="4.5" customHeight="1">
      <c r="B307" s="763"/>
      <c r="C307" s="1586"/>
      <c r="D307" s="1391"/>
      <c r="E307" s="717"/>
      <c r="F307" s="1378"/>
      <c r="G307" s="583"/>
      <c r="H307" s="1585"/>
      <c r="I307" s="1585"/>
      <c r="J307" s="1585"/>
      <c r="K307" s="1585"/>
      <c r="L307" s="1585"/>
      <c r="M307" s="1585"/>
      <c r="N307" s="1585"/>
      <c r="O307" s="1585"/>
      <c r="P307" s="572"/>
      <c r="Q307" s="1038"/>
    </row>
    <row r="308" spans="2:17" ht="15">
      <c r="B308" s="763"/>
      <c r="C308" s="1347" t="s">
        <v>77</v>
      </c>
      <c r="D308" s="1347" t="s">
        <v>620</v>
      </c>
      <c r="E308" s="1347" t="s">
        <v>602</v>
      </c>
      <c r="F308" s="1348" t="s">
        <v>578</v>
      </c>
      <c r="G308" s="1349" t="s">
        <v>579</v>
      </c>
      <c r="H308" s="1348" t="s">
        <v>604</v>
      </c>
      <c r="I308" s="1348" t="s">
        <v>605</v>
      </c>
      <c r="J308" s="1348" t="s">
        <v>606</v>
      </c>
      <c r="K308" s="1348" t="s">
        <v>607</v>
      </c>
      <c r="L308" s="1348" t="s">
        <v>608</v>
      </c>
      <c r="M308" s="1348" t="s">
        <v>609</v>
      </c>
      <c r="N308" s="1348" t="s">
        <v>610</v>
      </c>
      <c r="O308" s="1348" t="s">
        <v>611</v>
      </c>
      <c r="P308" s="572"/>
      <c r="Q308" s="1038"/>
    </row>
    <row r="309" spans="2:17" ht="15">
      <c r="B309" s="763"/>
      <c r="C309" s="1587">
        <v>1</v>
      </c>
      <c r="D309" s="1325" t="s">
        <v>1764</v>
      </c>
      <c r="E309" s="1291" t="s">
        <v>260</v>
      </c>
      <c r="F309" s="1154">
        <f t="shared" ref="F309:F323" si="54">G309</f>
        <v>8.6400000000000005E-2</v>
      </c>
      <c r="G309" s="1154">
        <f t="shared" ref="G309:O309" si="55">0.0864*(1/Unit.TWh)</f>
        <v>8.6400000000000005E-2</v>
      </c>
      <c r="H309" s="1588">
        <f t="shared" si="55"/>
        <v>8.6400000000000005E-2</v>
      </c>
      <c r="I309" s="1588">
        <f t="shared" si="55"/>
        <v>8.6400000000000005E-2</v>
      </c>
      <c r="J309" s="1588">
        <f t="shared" si="55"/>
        <v>8.6400000000000005E-2</v>
      </c>
      <c r="K309" s="1588">
        <f t="shared" si="55"/>
        <v>8.6400000000000005E-2</v>
      </c>
      <c r="L309" s="1588">
        <f t="shared" si="55"/>
        <v>8.6400000000000005E-2</v>
      </c>
      <c r="M309" s="1588">
        <f t="shared" si="55"/>
        <v>8.6400000000000005E-2</v>
      </c>
      <c r="N309" s="1588">
        <f t="shared" si="55"/>
        <v>8.6400000000000005E-2</v>
      </c>
      <c r="O309" s="1588">
        <f t="shared" si="55"/>
        <v>8.6400000000000005E-2</v>
      </c>
      <c r="P309" s="572"/>
      <c r="Q309" s="1038"/>
    </row>
    <row r="310" spans="2:17" ht="15">
      <c r="B310" s="763"/>
      <c r="C310" s="1587">
        <v>1</v>
      </c>
      <c r="D310" s="1325" t="s">
        <v>1764</v>
      </c>
      <c r="E310" s="1291" t="s">
        <v>1806</v>
      </c>
      <c r="F310" s="1154">
        <f>F309*Constants!$G$37</f>
        <v>4.9577751483547268E-2</v>
      </c>
      <c r="G310" s="1154">
        <f>G309*Constants!$G$37</f>
        <v>4.9577751483547268E-2</v>
      </c>
      <c r="H310" s="1154">
        <f>H309*Constants!$G$37</f>
        <v>4.9577751483547268E-2</v>
      </c>
      <c r="I310" s="1154">
        <f>I309*Constants!$G$37</f>
        <v>4.9577751483547268E-2</v>
      </c>
      <c r="J310" s="1154">
        <f>J309*Constants!$G$37</f>
        <v>4.9577751483547268E-2</v>
      </c>
      <c r="K310" s="1154">
        <f>K309*Constants!$G$37</f>
        <v>4.9577751483547268E-2</v>
      </c>
      <c r="L310" s="1154">
        <f>L309*Constants!$G$37</f>
        <v>4.9577751483547268E-2</v>
      </c>
      <c r="M310" s="1154">
        <f>M309*Constants!$G$37</f>
        <v>4.9577751483547268E-2</v>
      </c>
      <c r="N310" s="1154">
        <f>N309*Constants!$G$37</f>
        <v>4.9577751483547268E-2</v>
      </c>
      <c r="O310" s="1154">
        <f>O309*Constants!$G$37</f>
        <v>4.9577751483547268E-2</v>
      </c>
      <c r="P310" s="572"/>
      <c r="Q310" s="1038"/>
    </row>
    <row r="311" spans="2:17" ht="15">
      <c r="B311" s="763"/>
      <c r="C311" s="1587">
        <v>2</v>
      </c>
      <c r="D311" s="1325" t="s">
        <v>1765</v>
      </c>
      <c r="E311" s="1291" t="s">
        <v>260</v>
      </c>
      <c r="F311" s="1154">
        <f t="shared" si="54"/>
        <v>7.0000000000000007E-2</v>
      </c>
      <c r="G311" s="1154">
        <f t="shared" ref="G311:O311" si="56">0.07*(1/Unit.TWh)</f>
        <v>7.0000000000000007E-2</v>
      </c>
      <c r="H311" s="1588">
        <f t="shared" si="56"/>
        <v>7.0000000000000007E-2</v>
      </c>
      <c r="I311" s="1588">
        <f t="shared" si="56"/>
        <v>7.0000000000000007E-2</v>
      </c>
      <c r="J311" s="1588">
        <f t="shared" si="56"/>
        <v>7.0000000000000007E-2</v>
      </c>
      <c r="K311" s="1588">
        <f t="shared" si="56"/>
        <v>7.0000000000000007E-2</v>
      </c>
      <c r="L311" s="1588">
        <f t="shared" si="56"/>
        <v>7.0000000000000007E-2</v>
      </c>
      <c r="M311" s="1588">
        <f t="shared" si="56"/>
        <v>7.0000000000000007E-2</v>
      </c>
      <c r="N311" s="1588">
        <f t="shared" si="56"/>
        <v>7.0000000000000007E-2</v>
      </c>
      <c r="O311" s="1588">
        <f t="shared" si="56"/>
        <v>7.0000000000000007E-2</v>
      </c>
      <c r="P311" s="572"/>
      <c r="Q311" s="1038"/>
    </row>
    <row r="312" spans="2:17" ht="15">
      <c r="B312" s="763"/>
      <c r="C312" s="1587">
        <v>2</v>
      </c>
      <c r="D312" s="1325" t="s">
        <v>1765</v>
      </c>
      <c r="E312" s="1291" t="s">
        <v>1806</v>
      </c>
      <c r="F312" s="1154">
        <f>F311*Constants!$G$37</f>
        <v>4.0167159766762835E-2</v>
      </c>
      <c r="G312" s="1154">
        <f>G311*Constants!$G$37</f>
        <v>4.0167159766762835E-2</v>
      </c>
      <c r="H312" s="1154">
        <f>H311*Constants!$G$37</f>
        <v>4.0167159766762835E-2</v>
      </c>
      <c r="I312" s="1154">
        <f>I311*Constants!$G$37</f>
        <v>4.0167159766762835E-2</v>
      </c>
      <c r="J312" s="1154">
        <f>J311*Constants!$G$37</f>
        <v>4.0167159766762835E-2</v>
      </c>
      <c r="K312" s="1154">
        <f>K311*Constants!$G$37</f>
        <v>4.0167159766762835E-2</v>
      </c>
      <c r="L312" s="1154">
        <f>L311*Constants!$G$37</f>
        <v>4.0167159766762835E-2</v>
      </c>
      <c r="M312" s="1154">
        <f>M311*Constants!$G$37</f>
        <v>4.0167159766762835E-2</v>
      </c>
      <c r="N312" s="1154">
        <f>N311*Constants!$G$37</f>
        <v>4.0167159766762835E-2</v>
      </c>
      <c r="O312" s="1154">
        <f>O311*Constants!$G$37</f>
        <v>4.0167159766762835E-2</v>
      </c>
      <c r="P312" s="572"/>
      <c r="Q312" s="1038"/>
    </row>
    <row r="313" spans="2:17" ht="15">
      <c r="B313" s="763"/>
      <c r="C313" s="1587">
        <v>4</v>
      </c>
      <c r="D313" s="1325" t="s">
        <v>671</v>
      </c>
      <c r="E313" s="1291" t="s">
        <v>187</v>
      </c>
      <c r="F313" s="1154">
        <f t="shared" si="54"/>
        <v>0.24898342940320001</v>
      </c>
      <c r="G313" s="1154">
        <f>0.2489834294032*(1/Unit.TWh)</f>
        <v>0.24898342940320001</v>
      </c>
      <c r="H313" s="1588">
        <f>0.2489834294032*(1/Unit.TWh)</f>
        <v>0.24898342940320001</v>
      </c>
      <c r="I313" s="1588">
        <f>0.214587848229014*(1/Unit.TWh)</f>
        <v>0.214587848229014</v>
      </c>
      <c r="J313" s="1588">
        <f>0.17159337176128*(1/Unit.TWh)</f>
        <v>0.17159337176128001</v>
      </c>
      <c r="K313" s="1588">
        <f>0.128598895293547*(1/Unit.TWh)</f>
        <v>0.12859889529354701</v>
      </c>
      <c r="L313" s="1588">
        <f>0.12*(1/Unit.TWh)</f>
        <v>0.12</v>
      </c>
      <c r="M313" s="1588">
        <f>0.12*(1/Unit.TWh)</f>
        <v>0.12</v>
      </c>
      <c r="N313" s="1588">
        <f>0.12*(1/Unit.TWh)</f>
        <v>0.12</v>
      </c>
      <c r="O313" s="1588">
        <f>0.12*(1/Unit.TWh)</f>
        <v>0.12</v>
      </c>
      <c r="P313" s="572"/>
      <c r="Q313" s="1038"/>
    </row>
    <row r="314" spans="2:17" ht="15">
      <c r="B314" s="763"/>
      <c r="C314" s="1587">
        <v>4</v>
      </c>
      <c r="D314" s="1325" t="s">
        <v>671</v>
      </c>
      <c r="E314" s="1291" t="s">
        <v>1797</v>
      </c>
      <c r="F314" s="1154">
        <f>F313*Constants!$G$36</f>
        <v>5.7384975626051271E-2</v>
      </c>
      <c r="G314" s="1154">
        <f>G313*Constants!$G$36</f>
        <v>5.7384975626051271E-2</v>
      </c>
      <c r="H314" s="1154">
        <f>H313*Constants!$G$36</f>
        <v>5.7384975626051271E-2</v>
      </c>
      <c r="I314" s="1154">
        <f>I313*Constants!$G$36</f>
        <v>4.9457582256719021E-2</v>
      </c>
      <c r="J314" s="1154">
        <f>J313*Constants!$G$36</f>
        <v>3.9548340545053365E-2</v>
      </c>
      <c r="K314" s="1154">
        <f>K313*Constants!$G$36</f>
        <v>2.9639098833387945E-2</v>
      </c>
      <c r="L314" s="1154">
        <f>L313*Constants!$G$36</f>
        <v>2.7657250491054764E-2</v>
      </c>
      <c r="M314" s="1154">
        <f>M313*Constants!$G$36</f>
        <v>2.7657250491054764E-2</v>
      </c>
      <c r="N314" s="1154">
        <f>N313*Constants!$G$36</f>
        <v>2.7657250491054764E-2</v>
      </c>
      <c r="O314" s="1154">
        <f>O313*Constants!$G$36</f>
        <v>2.7657250491054764E-2</v>
      </c>
      <c r="P314" s="572"/>
      <c r="Q314" s="1038"/>
    </row>
    <row r="315" spans="2:17" ht="15">
      <c r="B315" s="763"/>
      <c r="C315" s="1587">
        <v>5</v>
      </c>
      <c r="D315" s="1325" t="s">
        <v>670</v>
      </c>
      <c r="E315" s="1291" t="s">
        <v>126</v>
      </c>
      <c r="F315" s="1154">
        <f t="shared" si="54"/>
        <v>0.247805398161068</v>
      </c>
      <c r="G315" s="1154">
        <f>0.247805398161068*(1/Unit.TWh)</f>
        <v>0.247805398161068</v>
      </c>
      <c r="H315" s="1588">
        <f>0.201851146833343*(1/Unit.TWh)</f>
        <v>0.20185114683334299</v>
      </c>
      <c r="I315" s="1588">
        <f>0.143375838944877*(1/Unit.TWh)</f>
        <v>0.14337583894487699</v>
      </c>
      <c r="J315" s="1588">
        <f t="shared" ref="J315:O315" si="57">0.0315855859973605*(1/Unit.TWh)</f>
        <v>3.1585585997360499E-2</v>
      </c>
      <c r="K315" s="1588">
        <f t="shared" si="57"/>
        <v>3.1585585997360499E-2</v>
      </c>
      <c r="L315" s="1588">
        <f t="shared" si="57"/>
        <v>3.1585585997360499E-2</v>
      </c>
      <c r="M315" s="1588">
        <f t="shared" si="57"/>
        <v>3.1585585997360499E-2</v>
      </c>
      <c r="N315" s="1588">
        <f t="shared" si="57"/>
        <v>3.1585585997360499E-2</v>
      </c>
      <c r="O315" s="1588">
        <f t="shared" si="57"/>
        <v>3.1585585997360499E-2</v>
      </c>
      <c r="P315" s="572"/>
      <c r="Q315" s="1038"/>
    </row>
    <row r="316" spans="2:17" ht="15">
      <c r="B316" s="763"/>
      <c r="C316" s="1587">
        <v>5</v>
      </c>
      <c r="D316" s="1325" t="s">
        <v>670</v>
      </c>
      <c r="E316" s="1291" t="s">
        <v>1284</v>
      </c>
      <c r="F316" s="1154">
        <f>F315*Constants!$G$35</f>
        <v>0.19052487950607594</v>
      </c>
      <c r="G316" s="1154">
        <f>G315*Constants!$G$35</f>
        <v>0.19052487950607594</v>
      </c>
      <c r="H316" s="1154">
        <f>H315*Constants!$G$35</f>
        <v>0.15519300916757789</v>
      </c>
      <c r="I316" s="1154">
        <f>I315*Constants!$G$35</f>
        <v>0.1102343396946503</v>
      </c>
      <c r="J316" s="1154">
        <f>J315*Constants!$G$35</f>
        <v>2.4284539444796301E-2</v>
      </c>
      <c r="K316" s="1154">
        <f>K315*Constants!$G$35</f>
        <v>2.4284539444796301E-2</v>
      </c>
      <c r="L316" s="1154">
        <f>L315*Constants!$G$35</f>
        <v>2.4284539444796301E-2</v>
      </c>
      <c r="M316" s="1154">
        <f>M315*Constants!$G$35</f>
        <v>2.4284539444796301E-2</v>
      </c>
      <c r="N316" s="1154">
        <f>N315*Constants!$G$35</f>
        <v>2.4284539444796301E-2</v>
      </c>
      <c r="O316" s="1154">
        <f>O315*Constants!$G$35</f>
        <v>2.4284539444796301E-2</v>
      </c>
      <c r="P316" s="572"/>
      <c r="Q316" s="1038"/>
    </row>
    <row r="317" spans="2:17" ht="15">
      <c r="B317" s="763"/>
      <c r="C317" s="1587">
        <v>6</v>
      </c>
      <c r="D317" s="1325" t="s">
        <v>929</v>
      </c>
      <c r="E317" s="1291" t="s">
        <v>260</v>
      </c>
      <c r="F317" s="1154">
        <f t="shared" si="54"/>
        <v>7.9839999999999994E-2</v>
      </c>
      <c r="G317" s="1154">
        <f>0.07984*(1/Unit.TWh)</f>
        <v>7.9839999999999994E-2</v>
      </c>
      <c r="H317" s="1588">
        <f>0.0743733333333333*(1/Unit.TWh)</f>
        <v>7.4373333333333305E-2</v>
      </c>
      <c r="I317" s="1588">
        <f t="shared" ref="I317:O317" si="58">0.07*(1/Unit.TWh)</f>
        <v>7.0000000000000007E-2</v>
      </c>
      <c r="J317" s="1588">
        <f t="shared" si="58"/>
        <v>7.0000000000000007E-2</v>
      </c>
      <c r="K317" s="1588">
        <f t="shared" si="58"/>
        <v>7.0000000000000007E-2</v>
      </c>
      <c r="L317" s="1588">
        <f t="shared" si="58"/>
        <v>7.0000000000000007E-2</v>
      </c>
      <c r="M317" s="1588">
        <f t="shared" si="58"/>
        <v>7.0000000000000007E-2</v>
      </c>
      <c r="N317" s="1588">
        <f t="shared" si="58"/>
        <v>7.0000000000000007E-2</v>
      </c>
      <c r="O317" s="1588">
        <f t="shared" si="58"/>
        <v>7.0000000000000007E-2</v>
      </c>
      <c r="P317" s="572"/>
      <c r="Q317" s="1038"/>
    </row>
    <row r="318" spans="2:17" ht="15">
      <c r="B318" s="763"/>
      <c r="C318" s="1587">
        <v>6</v>
      </c>
      <c r="D318" s="1325" t="s">
        <v>929</v>
      </c>
      <c r="E318" s="1291" t="s">
        <v>1806</v>
      </c>
      <c r="F318" s="1154">
        <f>F317*Constants!$G$37</f>
        <v>4.5813514796833488E-2</v>
      </c>
      <c r="G318" s="1154">
        <f>G317*Constants!$G$37</f>
        <v>4.5813514796833488E-2</v>
      </c>
      <c r="H318" s="1154">
        <f>H317*Constants!$G$37</f>
        <v>4.2676650891238663E-2</v>
      </c>
      <c r="I318" s="1154">
        <f>I317*Constants!$G$37</f>
        <v>4.0167159766762835E-2</v>
      </c>
      <c r="J318" s="1154">
        <f>J317*Constants!$G$37</f>
        <v>4.0167159766762835E-2</v>
      </c>
      <c r="K318" s="1154">
        <f>K317*Constants!$G$37</f>
        <v>4.0167159766762835E-2</v>
      </c>
      <c r="L318" s="1154">
        <f>L317*Constants!$G$37</f>
        <v>4.0167159766762835E-2</v>
      </c>
      <c r="M318" s="1154">
        <f>M317*Constants!$G$37</f>
        <v>4.0167159766762835E-2</v>
      </c>
      <c r="N318" s="1154">
        <f>N317*Constants!$G$37</f>
        <v>4.0167159766762835E-2</v>
      </c>
      <c r="O318" s="1154">
        <f>O317*Constants!$G$37</f>
        <v>4.0167159766762835E-2</v>
      </c>
      <c r="P318" s="572"/>
      <c r="Q318" s="1038"/>
    </row>
    <row r="319" spans="2:17" ht="15">
      <c r="B319" s="763"/>
      <c r="C319" s="1587">
        <v>7</v>
      </c>
      <c r="D319" s="1325" t="s">
        <v>1587</v>
      </c>
      <c r="E319" s="1291" t="s">
        <v>260</v>
      </c>
      <c r="F319" s="1154">
        <f t="shared" si="54"/>
        <v>0</v>
      </c>
      <c r="G319" s="1154">
        <f t="shared" ref="G319:O319" si="59">0*(1/Unit.GWh)</f>
        <v>0</v>
      </c>
      <c r="H319" s="1588">
        <f t="shared" si="59"/>
        <v>0</v>
      </c>
      <c r="I319" s="1588">
        <f t="shared" si="59"/>
        <v>0</v>
      </c>
      <c r="J319" s="1588">
        <f t="shared" si="59"/>
        <v>0</v>
      </c>
      <c r="K319" s="1588">
        <f t="shared" si="59"/>
        <v>0</v>
      </c>
      <c r="L319" s="1588">
        <f t="shared" si="59"/>
        <v>0</v>
      </c>
      <c r="M319" s="1588">
        <f t="shared" si="59"/>
        <v>0</v>
      </c>
      <c r="N319" s="1588">
        <f t="shared" si="59"/>
        <v>0</v>
      </c>
      <c r="O319" s="1588">
        <f t="shared" si="59"/>
        <v>0</v>
      </c>
      <c r="P319" s="572"/>
      <c r="Q319" s="1038"/>
    </row>
    <row r="320" spans="2:17" ht="15">
      <c r="B320" s="763"/>
      <c r="C320" s="1587">
        <v>7</v>
      </c>
      <c r="D320" s="1325" t="s">
        <v>1587</v>
      </c>
      <c r="E320" s="1291" t="s">
        <v>1806</v>
      </c>
      <c r="F320" s="1154">
        <f>F319*Constants!$G$37</f>
        <v>0</v>
      </c>
      <c r="G320" s="1154">
        <f>G319*Constants!$G$37</f>
        <v>0</v>
      </c>
      <c r="H320" s="1154">
        <f>H319*Constants!$G$37</f>
        <v>0</v>
      </c>
      <c r="I320" s="1154">
        <f>I319*Constants!$G$37</f>
        <v>0</v>
      </c>
      <c r="J320" s="1154">
        <f>J319*Constants!$G$37</f>
        <v>0</v>
      </c>
      <c r="K320" s="1154">
        <f>K319*Constants!$G$37</f>
        <v>0</v>
      </c>
      <c r="L320" s="1154">
        <f>L319*Constants!$G$37</f>
        <v>0</v>
      </c>
      <c r="M320" s="1154">
        <f>M319*Constants!$G$37</f>
        <v>0</v>
      </c>
      <c r="N320" s="1154">
        <f>N319*Constants!$G$37</f>
        <v>0</v>
      </c>
      <c r="O320" s="1154">
        <f>O319*Constants!$G$37</f>
        <v>0</v>
      </c>
      <c r="P320" s="572"/>
      <c r="Q320" s="1038"/>
    </row>
    <row r="321" spans="2:17" ht="15">
      <c r="B321" s="763"/>
      <c r="C321" s="1587">
        <v>11</v>
      </c>
      <c r="D321" s="1325" t="s">
        <v>1102</v>
      </c>
      <c r="E321" s="1291" t="s">
        <v>260</v>
      </c>
      <c r="F321" s="1154">
        <f t="shared" si="54"/>
        <v>0.37773230375426597</v>
      </c>
      <c r="G321" s="1154">
        <f t="shared" ref="G321:O321" si="60">0.377732303754266*(1/Unit.TWh)</f>
        <v>0.37773230375426597</v>
      </c>
      <c r="H321" s="1588">
        <f t="shared" si="60"/>
        <v>0.37773230375426597</v>
      </c>
      <c r="I321" s="1588">
        <f t="shared" si="60"/>
        <v>0.37773230375426597</v>
      </c>
      <c r="J321" s="1588">
        <f t="shared" si="60"/>
        <v>0.37773230375426597</v>
      </c>
      <c r="K321" s="1588">
        <f t="shared" si="60"/>
        <v>0.37773230375426597</v>
      </c>
      <c r="L321" s="1588">
        <f t="shared" si="60"/>
        <v>0.37773230375426597</v>
      </c>
      <c r="M321" s="1588">
        <f t="shared" si="60"/>
        <v>0.37773230375426597</v>
      </c>
      <c r="N321" s="1588">
        <f t="shared" si="60"/>
        <v>0.37773230375426597</v>
      </c>
      <c r="O321" s="1588">
        <f t="shared" si="60"/>
        <v>0.37773230375426597</v>
      </c>
      <c r="P321" s="572"/>
      <c r="Q321" s="1038"/>
    </row>
    <row r="322" spans="2:17" ht="15">
      <c r="B322" s="763"/>
      <c r="C322" s="1587">
        <v>11</v>
      </c>
      <c r="D322" s="1325" t="s">
        <v>1102</v>
      </c>
      <c r="E322" s="1291" t="s">
        <v>1806</v>
      </c>
      <c r="F322" s="1154">
        <f>F321*Constants!$G$37</f>
        <v>0.21674905419949983</v>
      </c>
      <c r="G322" s="1154">
        <f>G321*Constants!$G$37</f>
        <v>0.21674905419949983</v>
      </c>
      <c r="H322" s="1154">
        <f>H321*Constants!$G$37</f>
        <v>0.21674905419949983</v>
      </c>
      <c r="I322" s="1154">
        <f>I321*Constants!$G$37</f>
        <v>0.21674905419949983</v>
      </c>
      <c r="J322" s="1154">
        <f>J321*Constants!$G$37</f>
        <v>0.21674905419949983</v>
      </c>
      <c r="K322" s="1154">
        <f>K321*Constants!$G$37</f>
        <v>0.21674905419949983</v>
      </c>
      <c r="L322" s="1154">
        <f>L321*Constants!$G$37</f>
        <v>0.21674905419949983</v>
      </c>
      <c r="M322" s="1154">
        <f>M321*Constants!$G$37</f>
        <v>0.21674905419949983</v>
      </c>
      <c r="N322" s="1154">
        <f>N321*Constants!$G$37</f>
        <v>0.21674905419949983</v>
      </c>
      <c r="O322" s="1154">
        <f>O321*Constants!$G$37</f>
        <v>0.21674905419949983</v>
      </c>
      <c r="P322" s="572"/>
      <c r="Q322" s="1038"/>
    </row>
    <row r="323" spans="2:17" ht="15">
      <c r="B323" s="763"/>
      <c r="C323" s="1587">
        <v>12</v>
      </c>
      <c r="D323" s="1325" t="s">
        <v>1103</v>
      </c>
      <c r="E323" s="1291" t="s">
        <v>126</v>
      </c>
      <c r="F323" s="1154">
        <f t="shared" si="54"/>
        <v>0.71440723243497695</v>
      </c>
      <c r="G323" s="1154">
        <f>0.714407232434977*(1/Unit.TWh)</f>
        <v>0.71440723243497695</v>
      </c>
      <c r="H323" s="1588">
        <f>0.655055424326233*(1/Unit.TWh)</f>
        <v>0.65505542432623298</v>
      </c>
      <c r="I323" s="1588">
        <f>0.595703616217489*(1/Unit.TWh)</f>
        <v>0.59570361621748902</v>
      </c>
      <c r="J323" s="1588">
        <f>0.536351808108744*(1/Unit.TWh)</f>
        <v>0.53635180810874405</v>
      </c>
      <c r="K323" s="1588">
        <f>0.477*(1/Unit.TWh)</f>
        <v>0.47699999999999998</v>
      </c>
      <c r="L323" s="1588">
        <f>0.477*(1/Unit.TWh)</f>
        <v>0.47699999999999998</v>
      </c>
      <c r="M323" s="1588">
        <f>0.477*(1/Unit.TWh)</f>
        <v>0.47699999999999998</v>
      </c>
      <c r="N323" s="1588">
        <f>0.477*(1/Unit.TWh)</f>
        <v>0.47699999999999998</v>
      </c>
      <c r="O323" s="1588">
        <f>0.477*(1/Unit.TWh)</f>
        <v>0.47699999999999998</v>
      </c>
      <c r="P323" s="572"/>
      <c r="Q323" s="1038"/>
    </row>
    <row r="324" spans="2:17" ht="15">
      <c r="B324" s="763"/>
      <c r="C324" s="1716">
        <v>12</v>
      </c>
      <c r="D324" s="1601" t="s">
        <v>1103</v>
      </c>
      <c r="E324" s="580" t="s">
        <v>1284</v>
      </c>
      <c r="F324" s="1717">
        <f>F323*Constants!$G$35</f>
        <v>0.54927113326834454</v>
      </c>
      <c r="G324" s="1717">
        <f>G323*Constants!$G$35</f>
        <v>0.54927113326834454</v>
      </c>
      <c r="H324" s="1717">
        <f>H323*Constants!$G$35</f>
        <v>0.50363856766524884</v>
      </c>
      <c r="I324" s="1717">
        <f>I323*Constants!$G$35</f>
        <v>0.45800600206215319</v>
      </c>
      <c r="J324" s="1717">
        <f>J323*Constants!$G$35</f>
        <v>0.41237343645905672</v>
      </c>
      <c r="K324" s="1717">
        <f>K323*Constants!$G$35</f>
        <v>0.36674087085596097</v>
      </c>
      <c r="L324" s="1717">
        <f>L323*Constants!$G$35</f>
        <v>0.36674087085596097</v>
      </c>
      <c r="M324" s="1717">
        <f>M323*Constants!$G$35</f>
        <v>0.36674087085596097</v>
      </c>
      <c r="N324" s="1717">
        <f>N323*Constants!$G$35</f>
        <v>0.36674087085596097</v>
      </c>
      <c r="O324" s="1717">
        <f>O323*Constants!$G$35</f>
        <v>0.36674087085596097</v>
      </c>
      <c r="P324" s="572"/>
      <c r="Q324" s="1038"/>
    </row>
    <row r="325" spans="2:17" ht="15">
      <c r="B325" s="763"/>
      <c r="C325" s="1391"/>
      <c r="D325" s="1391"/>
      <c r="E325" s="717"/>
      <c r="F325" s="1378"/>
      <c r="G325" s="583"/>
      <c r="H325" s="1585"/>
      <c r="I325" s="1585"/>
      <c r="J325" s="1585"/>
      <c r="K325" s="1585"/>
      <c r="L325" s="1585"/>
      <c r="M325" s="1585"/>
      <c r="N325" s="1585"/>
      <c r="O325" s="1585"/>
      <c r="P325" s="572"/>
      <c r="Q325" s="1038"/>
    </row>
    <row r="326" spans="2:17" ht="15">
      <c r="B326" s="763"/>
      <c r="C326" s="1586" t="s">
        <v>1768</v>
      </c>
      <c r="D326" s="1391"/>
      <c r="E326" s="717"/>
      <c r="F326" s="1378"/>
      <c r="G326" s="583"/>
      <c r="H326" s="1585"/>
      <c r="I326" s="1585"/>
      <c r="J326" s="1585"/>
      <c r="K326" s="1585"/>
      <c r="L326" s="1585"/>
      <c r="M326" s="1585"/>
      <c r="N326" s="1585"/>
      <c r="O326" s="1715" t="str">
        <f>"kt/"&amp;Preferences.EnergyUnits</f>
        <v>kt/TWh</v>
      </c>
      <c r="P326" s="572"/>
      <c r="Q326" s="1038"/>
    </row>
    <row r="327" spans="2:17" ht="4.5" customHeight="1">
      <c r="B327" s="763"/>
      <c r="C327" s="1586"/>
      <c r="D327" s="1391"/>
      <c r="E327" s="717"/>
      <c r="F327" s="1378"/>
      <c r="G327" s="583"/>
      <c r="H327" s="1585"/>
      <c r="I327" s="1585"/>
      <c r="J327" s="1585"/>
      <c r="K327" s="1585"/>
      <c r="L327" s="1585"/>
      <c r="M327" s="1585"/>
      <c r="N327" s="1585"/>
      <c r="O327" s="1585"/>
      <c r="P327" s="572"/>
      <c r="Q327" s="1038"/>
    </row>
    <row r="328" spans="2:17" ht="15">
      <c r="B328" s="763"/>
      <c r="C328" s="1347" t="s">
        <v>77</v>
      </c>
      <c r="D328" s="1347" t="s">
        <v>620</v>
      </c>
      <c r="E328" s="1347" t="s">
        <v>602</v>
      </c>
      <c r="F328" s="1348" t="s">
        <v>578</v>
      </c>
      <c r="G328" s="1349" t="s">
        <v>579</v>
      </c>
      <c r="H328" s="1348" t="s">
        <v>604</v>
      </c>
      <c r="I328" s="1348" t="s">
        <v>605</v>
      </c>
      <c r="J328" s="1348" t="s">
        <v>606</v>
      </c>
      <c r="K328" s="1348" t="s">
        <v>607</v>
      </c>
      <c r="L328" s="1348" t="s">
        <v>608</v>
      </c>
      <c r="M328" s="1348" t="s">
        <v>609</v>
      </c>
      <c r="N328" s="1348" t="s">
        <v>610</v>
      </c>
      <c r="O328" s="1348" t="s">
        <v>611</v>
      </c>
      <c r="P328" s="572"/>
      <c r="Q328" s="1038"/>
    </row>
    <row r="329" spans="2:17" ht="15">
      <c r="B329" s="763"/>
      <c r="C329" s="1587">
        <v>1</v>
      </c>
      <c r="D329" s="1325" t="s">
        <v>1764</v>
      </c>
      <c r="E329" s="1291" t="s">
        <v>260</v>
      </c>
      <c r="F329" s="1154">
        <f t="shared" ref="F329:F343" si="61">G329</f>
        <v>0</v>
      </c>
      <c r="G329" s="1154">
        <f t="shared" ref="G329:O331" si="62">0*(1/Unit.GWh)</f>
        <v>0</v>
      </c>
      <c r="H329" s="1588">
        <f t="shared" si="62"/>
        <v>0</v>
      </c>
      <c r="I329" s="1588">
        <f t="shared" si="62"/>
        <v>0</v>
      </c>
      <c r="J329" s="1588">
        <f t="shared" si="62"/>
        <v>0</v>
      </c>
      <c r="K329" s="1588">
        <f t="shared" si="62"/>
        <v>0</v>
      </c>
      <c r="L329" s="1588">
        <f t="shared" si="62"/>
        <v>0</v>
      </c>
      <c r="M329" s="1588">
        <f t="shared" si="62"/>
        <v>0</v>
      </c>
      <c r="N329" s="1588">
        <f t="shared" si="62"/>
        <v>0</v>
      </c>
      <c r="O329" s="1588">
        <f t="shared" si="62"/>
        <v>0</v>
      </c>
      <c r="P329" s="572"/>
      <c r="Q329" s="1038"/>
    </row>
    <row r="330" spans="2:17" ht="15">
      <c r="B330" s="763"/>
      <c r="C330" s="1587">
        <v>1</v>
      </c>
      <c r="D330" s="1325" t="s">
        <v>1764</v>
      </c>
      <c r="E330" s="1291" t="s">
        <v>1806</v>
      </c>
      <c r="F330" s="1154">
        <f>F329*Constants!$H$37</f>
        <v>0</v>
      </c>
      <c r="G330" s="1154">
        <f>G329*Constants!$H$37</f>
        <v>0</v>
      </c>
      <c r="H330" s="1154">
        <f>H329*Constants!$H$37</f>
        <v>0</v>
      </c>
      <c r="I330" s="1154">
        <f>I329*Constants!$H$37</f>
        <v>0</v>
      </c>
      <c r="J330" s="1154">
        <f>J329*Constants!$H$37</f>
        <v>0</v>
      </c>
      <c r="K330" s="1154">
        <f>K329*Constants!$H$37</f>
        <v>0</v>
      </c>
      <c r="L330" s="1154">
        <f>L329*Constants!$H$37</f>
        <v>0</v>
      </c>
      <c r="M330" s="1154">
        <f>M329*Constants!$H$37</f>
        <v>0</v>
      </c>
      <c r="N330" s="1154">
        <f>N329*Constants!$H$37</f>
        <v>0</v>
      </c>
      <c r="O330" s="1154">
        <f>O329*Constants!$H$37</f>
        <v>0</v>
      </c>
      <c r="P330" s="572"/>
      <c r="Q330" s="1038"/>
    </row>
    <row r="331" spans="2:17" ht="15">
      <c r="B331" s="763"/>
      <c r="C331" s="1587">
        <v>2</v>
      </c>
      <c r="D331" s="1325" t="s">
        <v>1765</v>
      </c>
      <c r="E331" s="1291" t="s">
        <v>260</v>
      </c>
      <c r="F331" s="1154">
        <f t="shared" si="61"/>
        <v>0</v>
      </c>
      <c r="G331" s="1154">
        <f t="shared" si="62"/>
        <v>0</v>
      </c>
      <c r="H331" s="1588">
        <f t="shared" si="62"/>
        <v>0</v>
      </c>
      <c r="I331" s="1588">
        <f t="shared" si="62"/>
        <v>0</v>
      </c>
      <c r="J331" s="1588">
        <f t="shared" si="62"/>
        <v>0</v>
      </c>
      <c r="K331" s="1588">
        <f t="shared" si="62"/>
        <v>0</v>
      </c>
      <c r="L331" s="1588">
        <f t="shared" si="62"/>
        <v>0</v>
      </c>
      <c r="M331" s="1588">
        <f t="shared" si="62"/>
        <v>0</v>
      </c>
      <c r="N331" s="1588">
        <f t="shared" si="62"/>
        <v>0</v>
      </c>
      <c r="O331" s="1588">
        <f t="shared" si="62"/>
        <v>0</v>
      </c>
      <c r="P331" s="572"/>
      <c r="Q331" s="1038"/>
    </row>
    <row r="332" spans="2:17" ht="15">
      <c r="B332" s="763"/>
      <c r="C332" s="1587">
        <v>2</v>
      </c>
      <c r="D332" s="1325" t="s">
        <v>1765</v>
      </c>
      <c r="E332" s="1291" t="s">
        <v>1806</v>
      </c>
      <c r="F332" s="1154">
        <f>F331*Constants!$H$37</f>
        <v>0</v>
      </c>
      <c r="G332" s="1154">
        <f>G331*Constants!$H$37</f>
        <v>0</v>
      </c>
      <c r="H332" s="1154">
        <f>H331*Constants!$H$37</f>
        <v>0</v>
      </c>
      <c r="I332" s="1154">
        <f>I331*Constants!$H$37</f>
        <v>0</v>
      </c>
      <c r="J332" s="1154">
        <f>J331*Constants!$H$37</f>
        <v>0</v>
      </c>
      <c r="K332" s="1154">
        <f>K331*Constants!$H$37</f>
        <v>0</v>
      </c>
      <c r="L332" s="1154">
        <f>L331*Constants!$H$37</f>
        <v>0</v>
      </c>
      <c r="M332" s="1154">
        <f>M331*Constants!$H$37</f>
        <v>0</v>
      </c>
      <c r="N332" s="1154">
        <f>N331*Constants!$H$37</f>
        <v>0</v>
      </c>
      <c r="O332" s="1154">
        <f>O331*Constants!$H$37</f>
        <v>0</v>
      </c>
      <c r="P332" s="572"/>
      <c r="Q332" s="1038"/>
    </row>
    <row r="333" spans="2:17" ht="15">
      <c r="B333" s="763"/>
      <c r="C333" s="1587">
        <v>4</v>
      </c>
      <c r="D333" s="1325" t="s">
        <v>671</v>
      </c>
      <c r="E333" s="1291" t="s">
        <v>187</v>
      </c>
      <c r="F333" s="1154">
        <f t="shared" si="61"/>
        <v>3.79854823852755E-2</v>
      </c>
      <c r="G333" s="1154">
        <f>0.0379854823852755*(1/Unit.TWh)</f>
        <v>3.79854823852755E-2</v>
      </c>
      <c r="H333" s="1588">
        <f>0.0347178357689945*(1/Unit.TWh)</f>
        <v>3.4717835768994502E-2</v>
      </c>
      <c r="I333" s="1588">
        <f>0.0347178445498301*(1/Unit.TWh)</f>
        <v>3.4717844549830103E-2</v>
      </c>
      <c r="J333" s="1588">
        <f>0.0347178245267267*(1/Unit.TWh)</f>
        <v>3.4717824526726698E-2</v>
      </c>
      <c r="K333" s="1588">
        <f>0.0347178274997203*(1/Unit.TWh)</f>
        <v>3.47178274997203E-2</v>
      </c>
      <c r="L333" s="1588">
        <f>0.0347178274997203*(1/Unit.TWh)</f>
        <v>3.47178274997203E-2</v>
      </c>
      <c r="M333" s="1588">
        <f>0.0347178274997203*(1/Unit.TWh)</f>
        <v>3.47178274997203E-2</v>
      </c>
      <c r="N333" s="1588">
        <f>0.0347178274997203*(1/Unit.TWh)</f>
        <v>3.47178274997203E-2</v>
      </c>
      <c r="O333" s="1588">
        <f>0.0347178274997203*(1/Unit.TWh)</f>
        <v>3.47178274997203E-2</v>
      </c>
      <c r="P333" s="572"/>
      <c r="Q333" s="1038"/>
    </row>
    <row r="334" spans="2:17" ht="15">
      <c r="B334" s="763"/>
      <c r="C334" s="1587">
        <v>4</v>
      </c>
      <c r="D334" s="1325" t="s">
        <v>671</v>
      </c>
      <c r="E334" s="1291" t="s">
        <v>1797</v>
      </c>
      <c r="F334" s="1154">
        <f>F333*Constants!$H$36</f>
        <v>4.9628598089003462E-4</v>
      </c>
      <c r="G334" s="1154">
        <f>G333*Constants!$H$36</f>
        <v>4.9628598089003462E-4</v>
      </c>
      <c r="H334" s="1154">
        <f>H333*Constants!$H$36</f>
        <v>4.5359369151182628E-4</v>
      </c>
      <c r="I334" s="1154">
        <f>I333*Constants!$H$36</f>
        <v>4.5359380623475026E-4</v>
      </c>
      <c r="J334" s="1154">
        <f>J333*Constants!$H$36</f>
        <v>4.5359354462992419E-4</v>
      </c>
      <c r="K334" s="1154">
        <f>K333*Constants!$H$36</f>
        <v>4.5359358347252807E-4</v>
      </c>
      <c r="L334" s="1154">
        <f>L333*Constants!$H$36</f>
        <v>4.5359358347252807E-4</v>
      </c>
      <c r="M334" s="1154">
        <f>M333*Constants!$H$36</f>
        <v>4.5359358347252807E-4</v>
      </c>
      <c r="N334" s="1154">
        <f>N333*Constants!$H$36</f>
        <v>4.5359358347252807E-4</v>
      </c>
      <c r="O334" s="1154">
        <f>O333*Constants!$H$36</f>
        <v>4.5359358347252807E-4</v>
      </c>
      <c r="P334" s="572"/>
      <c r="Q334" s="1038"/>
    </row>
    <row r="335" spans="2:17" ht="15">
      <c r="B335" s="763"/>
      <c r="C335" s="1587">
        <v>5</v>
      </c>
      <c r="D335" s="1325" t="s">
        <v>670</v>
      </c>
      <c r="E335" s="1291" t="s">
        <v>126</v>
      </c>
      <c r="F335" s="1154">
        <f t="shared" si="61"/>
        <v>3.3005713096006</v>
      </c>
      <c r="G335" s="1154">
        <f>3.3005713096006*(1/Unit.TWh)</f>
        <v>3.3005713096006</v>
      </c>
      <c r="H335" s="1588">
        <f>3.08098712866453*(1/Unit.TWh)</f>
        <v>3.0809871286645301</v>
      </c>
      <c r="I335" s="1588">
        <f>3.07906537743703*(1/Unit.TWh)</f>
        <v>3.07906537743703</v>
      </c>
      <c r="J335" s="1588">
        <f>3.08133554383413*(1/Unit.TWh)</f>
        <v>3.0813355438341299</v>
      </c>
      <c r="K335" s="1588">
        <f>3.09006832741821*(1/Unit.TWh)</f>
        <v>3.0900683274182099</v>
      </c>
      <c r="L335" s="1588">
        <f>3.09006832741821*(1/Unit.TWh)</f>
        <v>3.0900683274182099</v>
      </c>
      <c r="M335" s="1588">
        <f>3.09006832741821*(1/Unit.TWh)</f>
        <v>3.0900683274182099</v>
      </c>
      <c r="N335" s="1588">
        <f>3.09006832741821*(1/Unit.TWh)</f>
        <v>3.0900683274182099</v>
      </c>
      <c r="O335" s="1588">
        <f>3.09006832741821*(1/Unit.TWh)</f>
        <v>3.0900683274182099</v>
      </c>
      <c r="P335" s="572"/>
      <c r="Q335" s="1038"/>
    </row>
    <row r="336" spans="2:17" ht="15">
      <c r="B336" s="763"/>
      <c r="C336" s="1587">
        <v>5</v>
      </c>
      <c r="D336" s="1325" t="s">
        <v>670</v>
      </c>
      <c r="E336" s="1291" t="s">
        <v>1284</v>
      </c>
      <c r="F336" s="1154">
        <f>F335*Constants!$H$35</f>
        <v>3.8431273423793967E-2</v>
      </c>
      <c r="G336" s="1154">
        <f>G335*Constants!$H$35</f>
        <v>3.8431273423793967E-2</v>
      </c>
      <c r="H336" s="1154">
        <f>H335*Constants!$H$35</f>
        <v>3.5874473735040949E-2</v>
      </c>
      <c r="I336" s="1154">
        <f>I335*Constants!$H$35</f>
        <v>3.5852097200814365E-2</v>
      </c>
      <c r="J336" s="1154">
        <f>J335*Constants!$H$35</f>
        <v>3.5878530620165335E-2</v>
      </c>
      <c r="K336" s="1154">
        <f>K335*Constants!$H$35</f>
        <v>3.5980213620527841E-2</v>
      </c>
      <c r="L336" s="1154">
        <f>L335*Constants!$H$35</f>
        <v>3.5980213620527841E-2</v>
      </c>
      <c r="M336" s="1154">
        <f>M335*Constants!$H$35</f>
        <v>3.5980213620527841E-2</v>
      </c>
      <c r="N336" s="1154">
        <f>N335*Constants!$H$35</f>
        <v>3.5980213620527841E-2</v>
      </c>
      <c r="O336" s="1154">
        <f>O335*Constants!$H$35</f>
        <v>3.5980213620527841E-2</v>
      </c>
      <c r="P336" s="572"/>
      <c r="Q336" s="1038"/>
    </row>
    <row r="337" spans="2:17" ht="15">
      <c r="B337" s="763"/>
      <c r="C337" s="1587">
        <v>6</v>
      </c>
      <c r="D337" s="1325" t="s">
        <v>929</v>
      </c>
      <c r="E337" s="1291" t="s">
        <v>260</v>
      </c>
      <c r="F337" s="1154">
        <f t="shared" si="61"/>
        <v>0</v>
      </c>
      <c r="G337" s="1154">
        <f t="shared" ref="G337:O341" si="63">0*(1/Unit.GWh)</f>
        <v>0</v>
      </c>
      <c r="H337" s="1588">
        <f t="shared" si="63"/>
        <v>0</v>
      </c>
      <c r="I337" s="1588">
        <f t="shared" si="63"/>
        <v>0</v>
      </c>
      <c r="J337" s="1588">
        <f t="shared" si="63"/>
        <v>0</v>
      </c>
      <c r="K337" s="1588">
        <f t="shared" si="63"/>
        <v>0</v>
      </c>
      <c r="L337" s="1588">
        <f t="shared" si="63"/>
        <v>0</v>
      </c>
      <c r="M337" s="1588">
        <f t="shared" si="63"/>
        <v>0</v>
      </c>
      <c r="N337" s="1588">
        <f t="shared" si="63"/>
        <v>0</v>
      </c>
      <c r="O337" s="1588">
        <f t="shared" si="63"/>
        <v>0</v>
      </c>
      <c r="P337" s="572"/>
      <c r="Q337" s="1038"/>
    </row>
    <row r="338" spans="2:17" ht="15">
      <c r="B338" s="763"/>
      <c r="C338" s="1587">
        <v>6</v>
      </c>
      <c r="D338" s="1325" t="s">
        <v>929</v>
      </c>
      <c r="E338" s="1291" t="s">
        <v>1806</v>
      </c>
      <c r="F338" s="1154">
        <f>F337*Constants!$H$37</f>
        <v>0</v>
      </c>
      <c r="G338" s="1154">
        <f>G337*Constants!$H$37</f>
        <v>0</v>
      </c>
      <c r="H338" s="1154">
        <f>H337*Constants!$H$37</f>
        <v>0</v>
      </c>
      <c r="I338" s="1154">
        <f>I337*Constants!$H$37</f>
        <v>0</v>
      </c>
      <c r="J338" s="1154">
        <f>J337*Constants!$H$37</f>
        <v>0</v>
      </c>
      <c r="K338" s="1154">
        <f>K337*Constants!$H$37</f>
        <v>0</v>
      </c>
      <c r="L338" s="1154">
        <f>L337*Constants!$H$37</f>
        <v>0</v>
      </c>
      <c r="M338" s="1154">
        <f>M337*Constants!$H$37</f>
        <v>0</v>
      </c>
      <c r="N338" s="1154">
        <f>N337*Constants!$H$37</f>
        <v>0</v>
      </c>
      <c r="O338" s="1154">
        <f>O337*Constants!$H$37</f>
        <v>0</v>
      </c>
      <c r="P338" s="572"/>
      <c r="Q338" s="1038"/>
    </row>
    <row r="339" spans="2:17" ht="15">
      <c r="B339" s="763"/>
      <c r="C339" s="1587">
        <v>7</v>
      </c>
      <c r="D339" s="1325" t="s">
        <v>1587</v>
      </c>
      <c r="E339" s="1291" t="s">
        <v>260</v>
      </c>
      <c r="F339" s="1154">
        <f t="shared" si="61"/>
        <v>0</v>
      </c>
      <c r="G339" s="1154">
        <f t="shared" si="63"/>
        <v>0</v>
      </c>
      <c r="H339" s="1588">
        <f t="shared" si="63"/>
        <v>0</v>
      </c>
      <c r="I339" s="1588">
        <f t="shared" si="63"/>
        <v>0</v>
      </c>
      <c r="J339" s="1588">
        <f t="shared" si="63"/>
        <v>0</v>
      </c>
      <c r="K339" s="1588">
        <f t="shared" si="63"/>
        <v>0</v>
      </c>
      <c r="L339" s="1588">
        <f t="shared" si="63"/>
        <v>0</v>
      </c>
      <c r="M339" s="1588">
        <f t="shared" si="63"/>
        <v>0</v>
      </c>
      <c r="N339" s="1588">
        <f t="shared" si="63"/>
        <v>0</v>
      </c>
      <c r="O339" s="1588">
        <f t="shared" si="63"/>
        <v>0</v>
      </c>
      <c r="P339" s="572"/>
      <c r="Q339" s="1038"/>
    </row>
    <row r="340" spans="2:17" ht="15">
      <c r="B340" s="763"/>
      <c r="C340" s="1587">
        <v>7</v>
      </c>
      <c r="D340" s="1325" t="s">
        <v>1587</v>
      </c>
      <c r="E340" s="1291" t="s">
        <v>1806</v>
      </c>
      <c r="F340" s="1154">
        <f>F339*Constants!$H$37</f>
        <v>0</v>
      </c>
      <c r="G340" s="1154">
        <f>G339*Constants!$H$37</f>
        <v>0</v>
      </c>
      <c r="H340" s="1154">
        <f>H339*Constants!$H$37</f>
        <v>0</v>
      </c>
      <c r="I340" s="1154">
        <f>I339*Constants!$H$37</f>
        <v>0</v>
      </c>
      <c r="J340" s="1154">
        <f>J339*Constants!$H$37</f>
        <v>0</v>
      </c>
      <c r="K340" s="1154">
        <f>K339*Constants!$H$37</f>
        <v>0</v>
      </c>
      <c r="L340" s="1154">
        <f>L339*Constants!$H$37</f>
        <v>0</v>
      </c>
      <c r="M340" s="1154">
        <f>M339*Constants!$H$37</f>
        <v>0</v>
      </c>
      <c r="N340" s="1154">
        <f>N339*Constants!$H$37</f>
        <v>0</v>
      </c>
      <c r="O340" s="1154">
        <f>O339*Constants!$H$37</f>
        <v>0</v>
      </c>
      <c r="P340" s="572"/>
      <c r="Q340" s="1038"/>
    </row>
    <row r="341" spans="2:17" ht="15">
      <c r="B341" s="763"/>
      <c r="C341" s="1587">
        <v>11</v>
      </c>
      <c r="D341" s="1325" t="s">
        <v>1102</v>
      </c>
      <c r="E341" s="1291" t="s">
        <v>260</v>
      </c>
      <c r="F341" s="1154">
        <f t="shared" si="61"/>
        <v>0</v>
      </c>
      <c r="G341" s="1154">
        <f t="shared" si="63"/>
        <v>0</v>
      </c>
      <c r="H341" s="1588">
        <f t="shared" si="63"/>
        <v>0</v>
      </c>
      <c r="I341" s="1588">
        <f t="shared" si="63"/>
        <v>0</v>
      </c>
      <c r="J341" s="1588">
        <f t="shared" si="63"/>
        <v>0</v>
      </c>
      <c r="K341" s="1588">
        <f t="shared" si="63"/>
        <v>0</v>
      </c>
      <c r="L341" s="1588">
        <f t="shared" si="63"/>
        <v>0</v>
      </c>
      <c r="M341" s="1588">
        <f t="shared" si="63"/>
        <v>0</v>
      </c>
      <c r="N341" s="1588">
        <f t="shared" si="63"/>
        <v>0</v>
      </c>
      <c r="O341" s="1588">
        <f t="shared" si="63"/>
        <v>0</v>
      </c>
      <c r="P341" s="572"/>
      <c r="Q341" s="1038"/>
    </row>
    <row r="342" spans="2:17" ht="15">
      <c r="B342" s="763"/>
      <c r="C342" s="1587">
        <v>11</v>
      </c>
      <c r="D342" s="1325" t="s">
        <v>1102</v>
      </c>
      <c r="E342" s="1291" t="s">
        <v>1806</v>
      </c>
      <c r="F342" s="1154">
        <f>F341*Constants!$H$37</f>
        <v>0</v>
      </c>
      <c r="G342" s="1154">
        <f>G341*Constants!$H$37</f>
        <v>0</v>
      </c>
      <c r="H342" s="1154">
        <f>H341*Constants!$H$37</f>
        <v>0</v>
      </c>
      <c r="I342" s="1154">
        <f>I341*Constants!$H$37</f>
        <v>0</v>
      </c>
      <c r="J342" s="1154">
        <f>J341*Constants!$H$37</f>
        <v>0</v>
      </c>
      <c r="K342" s="1154">
        <f>K341*Constants!$H$37</f>
        <v>0</v>
      </c>
      <c r="L342" s="1154">
        <f>L341*Constants!$H$37</f>
        <v>0</v>
      </c>
      <c r="M342" s="1154">
        <f>M341*Constants!$H$37</f>
        <v>0</v>
      </c>
      <c r="N342" s="1154">
        <f>N341*Constants!$H$37</f>
        <v>0</v>
      </c>
      <c r="O342" s="1154">
        <f>O341*Constants!$H$37</f>
        <v>0</v>
      </c>
      <c r="P342" s="572"/>
      <c r="Q342" s="1038"/>
    </row>
    <row r="343" spans="2:17" ht="15">
      <c r="B343" s="763"/>
      <c r="C343" s="1587">
        <v>12</v>
      </c>
      <c r="D343" s="1325" t="s">
        <v>1103</v>
      </c>
      <c r="E343" s="1291" t="s">
        <v>126</v>
      </c>
      <c r="F343" s="1154">
        <f t="shared" si="61"/>
        <v>2.4002322387354602</v>
      </c>
      <c r="G343" s="1154">
        <f>2.40023223873546*(1/Unit.TWh)</f>
        <v>2.4002322387354602</v>
      </c>
      <c r="H343" s="1588">
        <f t="shared" ref="H343:O343" si="64">2.40240299468999*(1/Unit.TWh)</f>
        <v>2.4024029946899899</v>
      </c>
      <c r="I343" s="1588">
        <f t="shared" si="64"/>
        <v>2.4024029946899899</v>
      </c>
      <c r="J343" s="1588">
        <f t="shared" si="64"/>
        <v>2.4024029946899899</v>
      </c>
      <c r="K343" s="1588">
        <f t="shared" si="64"/>
        <v>2.4024029946899899</v>
      </c>
      <c r="L343" s="1588">
        <f t="shared" si="64"/>
        <v>2.4024029946899899</v>
      </c>
      <c r="M343" s="1588">
        <f t="shared" si="64"/>
        <v>2.4024029946899899</v>
      </c>
      <c r="N343" s="1588">
        <f t="shared" si="64"/>
        <v>2.4024029946899899</v>
      </c>
      <c r="O343" s="1588">
        <f t="shared" si="64"/>
        <v>2.4024029946899899</v>
      </c>
      <c r="P343" s="572"/>
      <c r="Q343" s="1038"/>
    </row>
    <row r="344" spans="2:17" ht="15">
      <c r="B344" s="763"/>
      <c r="C344" s="1716">
        <v>12</v>
      </c>
      <c r="D344" s="1601" t="s">
        <v>1103</v>
      </c>
      <c r="E344" s="580" t="s">
        <v>1284</v>
      </c>
      <c r="F344" s="1717">
        <f>F343*Constants!$H$35</f>
        <v>2.7947883198018216E-2</v>
      </c>
      <c r="G344" s="1717">
        <f>G343*Constants!$H$35</f>
        <v>2.7947883198018216E-2</v>
      </c>
      <c r="H344" s="1717">
        <f>H343*Constants!$H$35</f>
        <v>2.7973159099612038E-2</v>
      </c>
      <c r="I344" s="1717">
        <f>I343*Constants!$H$35</f>
        <v>2.7973159099612038E-2</v>
      </c>
      <c r="J344" s="1717">
        <f>J343*Constants!$H$35</f>
        <v>2.7973159099612038E-2</v>
      </c>
      <c r="K344" s="1717">
        <f>K343*Constants!$H$35</f>
        <v>2.7973159099612038E-2</v>
      </c>
      <c r="L344" s="1717">
        <f>L343*Constants!$H$35</f>
        <v>2.7973159099612038E-2</v>
      </c>
      <c r="M344" s="1717">
        <f>M343*Constants!$H$35</f>
        <v>2.7973159099612038E-2</v>
      </c>
      <c r="N344" s="1717">
        <f>N343*Constants!$H$35</f>
        <v>2.7973159099612038E-2</v>
      </c>
      <c r="O344" s="1717">
        <f>O343*Constants!$H$35</f>
        <v>2.7973159099612038E-2</v>
      </c>
      <c r="P344" s="572"/>
      <c r="Q344" s="1038"/>
    </row>
    <row r="345" spans="2:17" ht="15">
      <c r="B345" s="763"/>
      <c r="C345" s="1391"/>
      <c r="D345" s="1391"/>
      <c r="E345" s="717"/>
      <c r="F345" s="1378"/>
      <c r="G345" s="583"/>
      <c r="H345" s="1585"/>
      <c r="I345" s="1585"/>
      <c r="J345" s="1585"/>
      <c r="K345" s="1585"/>
      <c r="L345" s="1585"/>
      <c r="M345" s="1585"/>
      <c r="N345" s="1585"/>
      <c r="O345" s="1585"/>
      <c r="P345" s="572"/>
      <c r="Q345" s="1038"/>
    </row>
    <row r="346" spans="2:17" ht="15">
      <c r="B346" s="763"/>
      <c r="C346" s="1586" t="s">
        <v>1769</v>
      </c>
      <c r="D346" s="1391"/>
      <c r="E346" s="717"/>
      <c r="F346" s="1378"/>
      <c r="G346" s="583"/>
      <c r="H346" s="1585"/>
      <c r="I346" s="1585"/>
      <c r="J346" s="1585"/>
      <c r="K346" s="1585"/>
      <c r="L346" s="1585"/>
      <c r="M346" s="1585"/>
      <c r="N346" s="1585"/>
      <c r="O346" s="1715" t="str">
        <f>"kt/"&amp;Preferences.EnergyUnits</f>
        <v>kt/TWh</v>
      </c>
      <c r="P346" s="572"/>
      <c r="Q346" s="1038"/>
    </row>
    <row r="347" spans="2:17" ht="4.5" customHeight="1">
      <c r="B347" s="763"/>
      <c r="C347" s="1586"/>
      <c r="D347" s="1391"/>
      <c r="E347" s="717"/>
      <c r="F347" s="1378"/>
      <c r="G347" s="583"/>
      <c r="H347" s="1585"/>
      <c r="I347" s="1585"/>
      <c r="J347" s="1585"/>
      <c r="K347" s="1585"/>
      <c r="L347" s="1585"/>
      <c r="M347" s="1585"/>
      <c r="N347" s="1585"/>
      <c r="O347" s="1585"/>
      <c r="P347" s="572"/>
      <c r="Q347" s="1038"/>
    </row>
    <row r="348" spans="2:17" ht="15">
      <c r="B348" s="763"/>
      <c r="C348" s="1347" t="s">
        <v>77</v>
      </c>
      <c r="D348" s="1347" t="s">
        <v>620</v>
      </c>
      <c r="E348" s="1347" t="s">
        <v>602</v>
      </c>
      <c r="F348" s="1348" t="s">
        <v>578</v>
      </c>
      <c r="G348" s="1349" t="s">
        <v>579</v>
      </c>
      <c r="H348" s="1348" t="s">
        <v>604</v>
      </c>
      <c r="I348" s="1348" t="s">
        <v>605</v>
      </c>
      <c r="J348" s="1348" t="s">
        <v>606</v>
      </c>
      <c r="K348" s="1348" t="s">
        <v>607</v>
      </c>
      <c r="L348" s="1348" t="s">
        <v>608</v>
      </c>
      <c r="M348" s="1348" t="s">
        <v>609</v>
      </c>
      <c r="N348" s="1348" t="s">
        <v>610</v>
      </c>
      <c r="O348" s="1348" t="s">
        <v>611</v>
      </c>
      <c r="P348" s="572"/>
      <c r="Q348" s="1038"/>
    </row>
    <row r="349" spans="2:17" ht="15">
      <c r="B349" s="763"/>
      <c r="C349" s="1587">
        <v>1</v>
      </c>
      <c r="D349" s="1325" t="s">
        <v>1764</v>
      </c>
      <c r="E349" s="1291" t="s">
        <v>260</v>
      </c>
      <c r="F349" s="1154">
        <f t="shared" ref="F349:F363" si="65">G349</f>
        <v>8.0207196413967109E-3</v>
      </c>
      <c r="G349" s="1154">
        <f>0.00802071964139671*(1/Unit.TWh)</f>
        <v>8.0207196413967109E-3</v>
      </c>
      <c r="H349" s="1588">
        <f t="shared" ref="H349:O349" si="66">0.00802071964139672*(1/Unit.TWh)</f>
        <v>8.0207196413967195E-3</v>
      </c>
      <c r="I349" s="1588">
        <f t="shared" si="66"/>
        <v>8.0207196413967195E-3</v>
      </c>
      <c r="J349" s="1588">
        <f t="shared" si="66"/>
        <v>8.0207196413967195E-3</v>
      </c>
      <c r="K349" s="1588">
        <f t="shared" si="66"/>
        <v>8.0207196413967195E-3</v>
      </c>
      <c r="L349" s="1588">
        <f t="shared" si="66"/>
        <v>8.0207196413967195E-3</v>
      </c>
      <c r="M349" s="1588">
        <f t="shared" si="66"/>
        <v>8.0207196413967195E-3</v>
      </c>
      <c r="N349" s="1588">
        <f t="shared" si="66"/>
        <v>8.0207196413967195E-3</v>
      </c>
      <c r="O349" s="1588">
        <f t="shared" si="66"/>
        <v>8.0207196413967195E-3</v>
      </c>
      <c r="P349" s="572"/>
      <c r="Q349" s="1038"/>
    </row>
    <row r="350" spans="2:17" ht="15">
      <c r="B350" s="763"/>
      <c r="C350" s="1587">
        <v>1</v>
      </c>
      <c r="D350" s="1325" t="s">
        <v>1764</v>
      </c>
      <c r="E350" s="1291" t="s">
        <v>1806</v>
      </c>
      <c r="F350" s="1154">
        <f>F349*Constants!$I$37</f>
        <v>1.3055577325261407E-2</v>
      </c>
      <c r="G350" s="1154">
        <f>G349*Constants!$I$37</f>
        <v>1.3055577325261407E-2</v>
      </c>
      <c r="H350" s="1154">
        <f>H349*Constants!$I$37</f>
        <v>1.3055577325261421E-2</v>
      </c>
      <c r="I350" s="1154">
        <f>I349*Constants!$I$37</f>
        <v>1.3055577325261421E-2</v>
      </c>
      <c r="J350" s="1154">
        <f>J349*Constants!$I$37</f>
        <v>1.3055577325261421E-2</v>
      </c>
      <c r="K350" s="1154">
        <f>K349*Constants!$I$37</f>
        <v>1.3055577325261421E-2</v>
      </c>
      <c r="L350" s="1154">
        <f>L349*Constants!$I$37</f>
        <v>1.3055577325261421E-2</v>
      </c>
      <c r="M350" s="1154">
        <f>M349*Constants!$I$37</f>
        <v>1.3055577325261421E-2</v>
      </c>
      <c r="N350" s="1154">
        <f>N349*Constants!$I$37</f>
        <v>1.3055577325261421E-2</v>
      </c>
      <c r="O350" s="1154">
        <f>O349*Constants!$I$37</f>
        <v>1.3055577325261421E-2</v>
      </c>
      <c r="P350" s="572"/>
      <c r="Q350" s="1038"/>
    </row>
    <row r="351" spans="2:17" ht="15">
      <c r="B351" s="763"/>
      <c r="C351" s="1587">
        <v>2</v>
      </c>
      <c r="D351" s="1325" t="s">
        <v>1765</v>
      </c>
      <c r="E351" s="1291" t="s">
        <v>260</v>
      </c>
      <c r="F351" s="1154">
        <f t="shared" si="65"/>
        <v>8.0207196413967109E-3</v>
      </c>
      <c r="G351" s="1154">
        <f>0.00802071964139671*(1/Unit.TWh)</f>
        <v>8.0207196413967109E-3</v>
      </c>
      <c r="H351" s="1588">
        <f t="shared" ref="H351:O351" si="67">0.00802071964139672*(1/Unit.TWh)</f>
        <v>8.0207196413967195E-3</v>
      </c>
      <c r="I351" s="1588">
        <f t="shared" si="67"/>
        <v>8.0207196413967195E-3</v>
      </c>
      <c r="J351" s="1588">
        <f t="shared" si="67"/>
        <v>8.0207196413967195E-3</v>
      </c>
      <c r="K351" s="1588">
        <f t="shared" si="67"/>
        <v>8.0207196413967195E-3</v>
      </c>
      <c r="L351" s="1588">
        <f t="shared" si="67"/>
        <v>8.0207196413967195E-3</v>
      </c>
      <c r="M351" s="1588">
        <f t="shared" si="67"/>
        <v>8.0207196413967195E-3</v>
      </c>
      <c r="N351" s="1588">
        <f t="shared" si="67"/>
        <v>8.0207196413967195E-3</v>
      </c>
      <c r="O351" s="1588">
        <f t="shared" si="67"/>
        <v>8.0207196413967195E-3</v>
      </c>
      <c r="P351" s="572"/>
      <c r="Q351" s="1038"/>
    </row>
    <row r="352" spans="2:17" ht="15">
      <c r="B352" s="763"/>
      <c r="C352" s="1587">
        <v>2</v>
      </c>
      <c r="D352" s="1325" t="s">
        <v>1765</v>
      </c>
      <c r="E352" s="1291" t="s">
        <v>1806</v>
      </c>
      <c r="F352" s="1154">
        <f>F351*Constants!$I$37</f>
        <v>1.3055577325261407E-2</v>
      </c>
      <c r="G352" s="1154">
        <f>G351*Constants!$I$37</f>
        <v>1.3055577325261407E-2</v>
      </c>
      <c r="H352" s="1154">
        <f>H351*Constants!$I$37</f>
        <v>1.3055577325261421E-2</v>
      </c>
      <c r="I352" s="1154">
        <f>I351*Constants!$I$37</f>
        <v>1.3055577325261421E-2</v>
      </c>
      <c r="J352" s="1154">
        <f>J351*Constants!$I$37</f>
        <v>1.3055577325261421E-2</v>
      </c>
      <c r="K352" s="1154">
        <f>K351*Constants!$I$37</f>
        <v>1.3055577325261421E-2</v>
      </c>
      <c r="L352" s="1154">
        <f>L351*Constants!$I$37</f>
        <v>1.3055577325261421E-2</v>
      </c>
      <c r="M352" s="1154">
        <f>M351*Constants!$I$37</f>
        <v>1.3055577325261421E-2</v>
      </c>
      <c r="N352" s="1154">
        <f>N351*Constants!$I$37</f>
        <v>1.3055577325261421E-2</v>
      </c>
      <c r="O352" s="1154">
        <f>O351*Constants!$I$37</f>
        <v>1.3055577325261421E-2</v>
      </c>
      <c r="P352" s="572"/>
      <c r="Q352" s="1038"/>
    </row>
    <row r="353" spans="2:26" ht="15">
      <c r="B353" s="763"/>
      <c r="C353" s="1587">
        <v>4</v>
      </c>
      <c r="D353" s="1325" t="s">
        <v>671</v>
      </c>
      <c r="E353" s="1291" t="s">
        <v>187</v>
      </c>
      <c r="F353" s="1154">
        <f t="shared" si="65"/>
        <v>4.9947684894622504E-3</v>
      </c>
      <c r="G353" s="1154">
        <f>0.00499476848946225*(1/Unit.TWh)</f>
        <v>4.9947684894622504E-3</v>
      </c>
      <c r="H353" s="1588">
        <f>0.00509648406608366*(1/Unit.TWh)</f>
        <v>5.0964840660836603E-3</v>
      </c>
      <c r="I353" s="1588">
        <f>0.00509648191492745*(1/Unit.TWh)</f>
        <v>5.0964819149274497E-3</v>
      </c>
      <c r="J353" s="1588">
        <f>0.00509648682024914*(1/Unit.TWh)</f>
        <v>5.0964868202491402E-3</v>
      </c>
      <c r="K353" s="1588">
        <f>0.00509648609191599*(1/Unit.TWh)</f>
        <v>5.0964860919159903E-3</v>
      </c>
      <c r="L353" s="1588">
        <f>0.00509648609191599*(1/Unit.TWh)</f>
        <v>5.0964860919159903E-3</v>
      </c>
      <c r="M353" s="1588">
        <f>0.00509648609191599*(1/Unit.TWh)</f>
        <v>5.0964860919159903E-3</v>
      </c>
      <c r="N353" s="1588">
        <f>0.00509648609191599*(1/Unit.TWh)</f>
        <v>5.0964860919159903E-3</v>
      </c>
      <c r="O353" s="1588">
        <f>0.00509648609191599*(1/Unit.TWh)</f>
        <v>5.0964860919159903E-3</v>
      </c>
      <c r="P353" s="572"/>
      <c r="Q353" s="1038"/>
    </row>
    <row r="354" spans="2:26" ht="15">
      <c r="B354" s="763"/>
      <c r="C354" s="1587">
        <v>4</v>
      </c>
      <c r="D354" s="1325" t="s">
        <v>671</v>
      </c>
      <c r="E354" s="1291" t="s">
        <v>1797</v>
      </c>
      <c r="F354" s="1154">
        <f>F353*Constants!$I$36</f>
        <v>4.2908333958702527E-2</v>
      </c>
      <c r="G354" s="1154">
        <f>G353*Constants!$I$36</f>
        <v>4.2908333958702527E-2</v>
      </c>
      <c r="H354" s="1154">
        <f>H353*Constants!$I$36</f>
        <v>4.378213740718695E-2</v>
      </c>
      <c r="I354" s="1154">
        <f>I353*Constants!$I$36</f>
        <v>4.378211892734564E-2</v>
      </c>
      <c r="J354" s="1154">
        <f>J353*Constants!$I$36</f>
        <v>4.3782161067272986E-2</v>
      </c>
      <c r="K354" s="1154">
        <f>K353*Constants!$I$36</f>
        <v>4.3782154810414017E-2</v>
      </c>
      <c r="L354" s="1154">
        <f>L353*Constants!$I$36</f>
        <v>4.3782154810414017E-2</v>
      </c>
      <c r="M354" s="1154">
        <f>M353*Constants!$I$36</f>
        <v>4.3782154810414017E-2</v>
      </c>
      <c r="N354" s="1154">
        <f>N353*Constants!$I$36</f>
        <v>4.3782154810414017E-2</v>
      </c>
      <c r="O354" s="1154">
        <f>O353*Constants!$I$36</f>
        <v>4.3782154810414017E-2</v>
      </c>
      <c r="P354" s="572"/>
      <c r="Q354" s="1038"/>
    </row>
    <row r="355" spans="2:26" ht="15">
      <c r="B355" s="763"/>
      <c r="C355" s="1587">
        <v>5</v>
      </c>
      <c r="D355" s="1325" t="s">
        <v>670</v>
      </c>
      <c r="E355" s="1291" t="s">
        <v>126</v>
      </c>
      <c r="F355" s="1154">
        <f t="shared" si="65"/>
        <v>0.93832803120343</v>
      </c>
      <c r="G355" s="1154">
        <f>0.93832803120343*(1/Unit.TWh)</f>
        <v>0.93832803120343</v>
      </c>
      <c r="H355" s="1588">
        <f>0.996275158149565*(1/Unit.TWh)</f>
        <v>0.99627515814956502</v>
      </c>
      <c r="I355" s="1588">
        <f>0.996894366498856*(1/Unit.TWh)</f>
        <v>0.99689436649885599</v>
      </c>
      <c r="J355" s="1588">
        <f>0.996162714039889*(1/Unit.TWh)</f>
        <v>0.99616271403988899</v>
      </c>
      <c r="K355" s="1588">
        <f>0.993348368303034*(1/Unit.TWh)</f>
        <v>0.99334836830303397</v>
      </c>
      <c r="L355" s="1588">
        <f>0.993348368303034*(1/Unit.TWh)</f>
        <v>0.99334836830303397</v>
      </c>
      <c r="M355" s="1588">
        <f>0.993348368303034*(1/Unit.TWh)</f>
        <v>0.99334836830303397</v>
      </c>
      <c r="N355" s="1588">
        <f>0.993348368303034*(1/Unit.TWh)</f>
        <v>0.99334836830303397</v>
      </c>
      <c r="O355" s="1588">
        <f>0.993348368303034*(1/Unit.TWh)</f>
        <v>0.99334836830303397</v>
      </c>
      <c r="P355" s="572"/>
      <c r="Q355" s="1038"/>
    </row>
    <row r="356" spans="2:26" ht="15">
      <c r="B356" s="763"/>
      <c r="C356" s="1587">
        <v>5</v>
      </c>
      <c r="D356" s="1325" t="s">
        <v>670</v>
      </c>
      <c r="E356" s="1291" t="s">
        <v>1284</v>
      </c>
      <c r="F356" s="1154">
        <f>F355*Constants!$I$35</f>
        <v>14.376135690353021</v>
      </c>
      <c r="G356" s="1154">
        <f>G355*Constants!$I$35</f>
        <v>14.376135690353021</v>
      </c>
      <c r="H356" s="1154">
        <f>H355*Constants!$I$35</f>
        <v>15.263944358687626</v>
      </c>
      <c r="I356" s="1154">
        <f>I355*Constants!$I$35</f>
        <v>15.273431257676021</v>
      </c>
      <c r="J356" s="1154">
        <f>J355*Constants!$I$35</f>
        <v>15.262221601054337</v>
      </c>
      <c r="K356" s="1154">
        <f>K355*Constants!$I$35</f>
        <v>15.219102974255238</v>
      </c>
      <c r="L356" s="1154">
        <f>L355*Constants!$I$35</f>
        <v>15.219102974255238</v>
      </c>
      <c r="M356" s="1154">
        <f>M355*Constants!$I$35</f>
        <v>15.219102974255238</v>
      </c>
      <c r="N356" s="1154">
        <f>N355*Constants!$I$35</f>
        <v>15.219102974255238</v>
      </c>
      <c r="O356" s="1154">
        <f>O355*Constants!$I$35</f>
        <v>15.219102974255238</v>
      </c>
      <c r="P356" s="572"/>
      <c r="Q356" s="1038"/>
    </row>
    <row r="357" spans="2:26" ht="15">
      <c r="B357" s="763"/>
      <c r="C357" s="1587">
        <v>6</v>
      </c>
      <c r="D357" s="1325" t="s">
        <v>929</v>
      </c>
      <c r="E357" s="1291" t="s">
        <v>260</v>
      </c>
      <c r="F357" s="1154">
        <f t="shared" si="65"/>
        <v>8.0207196413967109E-3</v>
      </c>
      <c r="G357" s="1154">
        <f>0.00802071964139671*(1/Unit.TWh)</f>
        <v>8.0207196413967109E-3</v>
      </c>
      <c r="H357" s="1588">
        <f t="shared" ref="H357:O357" si="68">0.00802071964139672*(1/Unit.TWh)</f>
        <v>8.0207196413967195E-3</v>
      </c>
      <c r="I357" s="1588">
        <f t="shared" si="68"/>
        <v>8.0207196413967195E-3</v>
      </c>
      <c r="J357" s="1588">
        <f t="shared" si="68"/>
        <v>8.0207196413967195E-3</v>
      </c>
      <c r="K357" s="1588">
        <f t="shared" si="68"/>
        <v>8.0207196413967195E-3</v>
      </c>
      <c r="L357" s="1588">
        <f t="shared" si="68"/>
        <v>8.0207196413967195E-3</v>
      </c>
      <c r="M357" s="1588">
        <f t="shared" si="68"/>
        <v>8.0207196413967195E-3</v>
      </c>
      <c r="N357" s="1588">
        <f t="shared" si="68"/>
        <v>8.0207196413967195E-3</v>
      </c>
      <c r="O357" s="1588">
        <f t="shared" si="68"/>
        <v>8.0207196413967195E-3</v>
      </c>
      <c r="P357" s="572"/>
      <c r="Q357" s="1038"/>
    </row>
    <row r="358" spans="2:26" ht="15">
      <c r="B358" s="763"/>
      <c r="C358" s="1587">
        <v>6</v>
      </c>
      <c r="D358" s="1325" t="s">
        <v>929</v>
      </c>
      <c r="E358" s="1291" t="s">
        <v>1806</v>
      </c>
      <c r="F358" s="1154">
        <f>F357*Constants!$I$37</f>
        <v>1.3055577325261407E-2</v>
      </c>
      <c r="G358" s="1154">
        <f>G357*Constants!$I$37</f>
        <v>1.3055577325261407E-2</v>
      </c>
      <c r="H358" s="1154">
        <f>H357*Constants!$I$37</f>
        <v>1.3055577325261421E-2</v>
      </c>
      <c r="I358" s="1154">
        <f>I357*Constants!$I$37</f>
        <v>1.3055577325261421E-2</v>
      </c>
      <c r="J358" s="1154">
        <f>J357*Constants!$I$37</f>
        <v>1.3055577325261421E-2</v>
      </c>
      <c r="K358" s="1154">
        <f>K357*Constants!$I$37</f>
        <v>1.3055577325261421E-2</v>
      </c>
      <c r="L358" s="1154">
        <f>L357*Constants!$I$37</f>
        <v>1.3055577325261421E-2</v>
      </c>
      <c r="M358" s="1154">
        <f>M357*Constants!$I$37</f>
        <v>1.3055577325261421E-2</v>
      </c>
      <c r="N358" s="1154">
        <f>N357*Constants!$I$37</f>
        <v>1.3055577325261421E-2</v>
      </c>
      <c r="O358" s="1154">
        <f>O357*Constants!$I$37</f>
        <v>1.3055577325261421E-2</v>
      </c>
      <c r="P358" s="572"/>
      <c r="Q358" s="1038"/>
    </row>
    <row r="359" spans="2:26" ht="15">
      <c r="B359" s="763"/>
      <c r="C359" s="1587">
        <v>7</v>
      </c>
      <c r="D359" s="1325" t="s">
        <v>1587</v>
      </c>
      <c r="E359" s="1291" t="s">
        <v>260</v>
      </c>
      <c r="F359" s="1154">
        <f t="shared" si="65"/>
        <v>0</v>
      </c>
      <c r="G359" s="1154">
        <f t="shared" ref="G359:O359" si="69">0*(1/Unit.GWh)</f>
        <v>0</v>
      </c>
      <c r="H359" s="1588">
        <f t="shared" si="69"/>
        <v>0</v>
      </c>
      <c r="I359" s="1588">
        <f t="shared" si="69"/>
        <v>0</v>
      </c>
      <c r="J359" s="1588">
        <f t="shared" si="69"/>
        <v>0</v>
      </c>
      <c r="K359" s="1588">
        <f t="shared" si="69"/>
        <v>0</v>
      </c>
      <c r="L359" s="1588">
        <f t="shared" si="69"/>
        <v>0</v>
      </c>
      <c r="M359" s="1588">
        <f t="shared" si="69"/>
        <v>0</v>
      </c>
      <c r="N359" s="1588">
        <f t="shared" si="69"/>
        <v>0</v>
      </c>
      <c r="O359" s="1588">
        <f t="shared" si="69"/>
        <v>0</v>
      </c>
      <c r="P359" s="572"/>
      <c r="Q359" s="1038"/>
    </row>
    <row r="360" spans="2:26" ht="15">
      <c r="B360" s="763"/>
      <c r="C360" s="1587">
        <v>7</v>
      </c>
      <c r="D360" s="1325" t="s">
        <v>1587</v>
      </c>
      <c r="E360" s="1291" t="s">
        <v>1806</v>
      </c>
      <c r="F360" s="1154">
        <f>F359*Constants!$I$37</f>
        <v>0</v>
      </c>
      <c r="G360" s="1154">
        <f>G359*Constants!$I$37</f>
        <v>0</v>
      </c>
      <c r="H360" s="1154">
        <f>H359*Constants!$I$37</f>
        <v>0</v>
      </c>
      <c r="I360" s="1154">
        <f>I359*Constants!$I$37</f>
        <v>0</v>
      </c>
      <c r="J360" s="1154">
        <f>J359*Constants!$I$37</f>
        <v>0</v>
      </c>
      <c r="K360" s="1154">
        <f>K359*Constants!$I$37</f>
        <v>0</v>
      </c>
      <c r="L360" s="1154">
        <f>L359*Constants!$I$37</f>
        <v>0</v>
      </c>
      <c r="M360" s="1154">
        <f>M359*Constants!$I$37</f>
        <v>0</v>
      </c>
      <c r="N360" s="1154">
        <f>N359*Constants!$I$37</f>
        <v>0</v>
      </c>
      <c r="O360" s="1154">
        <f>O359*Constants!$I$37</f>
        <v>0</v>
      </c>
      <c r="P360" s="572"/>
      <c r="Q360" s="1038"/>
    </row>
    <row r="361" spans="2:26" ht="15">
      <c r="B361" s="763"/>
      <c r="C361" s="1587">
        <v>11</v>
      </c>
      <c r="D361" s="1325" t="s">
        <v>1102</v>
      </c>
      <c r="E361" s="1291" t="s">
        <v>260</v>
      </c>
      <c r="F361" s="1154">
        <f t="shared" si="65"/>
        <v>8.0207196413967109E-3</v>
      </c>
      <c r="G361" s="1154">
        <f>0.00802071964139671*(1/Unit.TWh)</f>
        <v>8.0207196413967109E-3</v>
      </c>
      <c r="H361" s="1588">
        <f t="shared" ref="H361:O361" si="70">0.00802071964139672*(1/Unit.TWh)</f>
        <v>8.0207196413967195E-3</v>
      </c>
      <c r="I361" s="1588">
        <f t="shared" si="70"/>
        <v>8.0207196413967195E-3</v>
      </c>
      <c r="J361" s="1588">
        <f t="shared" si="70"/>
        <v>8.0207196413967195E-3</v>
      </c>
      <c r="K361" s="1588">
        <f t="shared" si="70"/>
        <v>8.0207196413967195E-3</v>
      </c>
      <c r="L361" s="1588">
        <f t="shared" si="70"/>
        <v>8.0207196413967195E-3</v>
      </c>
      <c r="M361" s="1588">
        <f t="shared" si="70"/>
        <v>8.0207196413967195E-3</v>
      </c>
      <c r="N361" s="1588">
        <f t="shared" si="70"/>
        <v>8.0207196413967195E-3</v>
      </c>
      <c r="O361" s="1588">
        <f t="shared" si="70"/>
        <v>8.0207196413967195E-3</v>
      </c>
      <c r="P361" s="572"/>
      <c r="Q361" s="1038"/>
    </row>
    <row r="362" spans="2:26" ht="15">
      <c r="B362" s="763"/>
      <c r="C362" s="1587">
        <v>11</v>
      </c>
      <c r="D362" s="1325" t="s">
        <v>1102</v>
      </c>
      <c r="E362" s="1291" t="s">
        <v>1806</v>
      </c>
      <c r="F362" s="1154">
        <f>F361*Constants!$I$37</f>
        <v>1.3055577325261407E-2</v>
      </c>
      <c r="G362" s="1154">
        <f>G361*Constants!$I$37</f>
        <v>1.3055577325261407E-2</v>
      </c>
      <c r="H362" s="1154">
        <f>H361*Constants!$I$37</f>
        <v>1.3055577325261421E-2</v>
      </c>
      <c r="I362" s="1154">
        <f>I361*Constants!$I$37</f>
        <v>1.3055577325261421E-2</v>
      </c>
      <c r="J362" s="1154">
        <f>J361*Constants!$I$37</f>
        <v>1.3055577325261421E-2</v>
      </c>
      <c r="K362" s="1154">
        <f>K361*Constants!$I$37</f>
        <v>1.3055577325261421E-2</v>
      </c>
      <c r="L362" s="1154">
        <f>L361*Constants!$I$37</f>
        <v>1.3055577325261421E-2</v>
      </c>
      <c r="M362" s="1154">
        <f>M361*Constants!$I$37</f>
        <v>1.3055577325261421E-2</v>
      </c>
      <c r="N362" s="1154">
        <f>N361*Constants!$I$37</f>
        <v>1.3055577325261421E-2</v>
      </c>
      <c r="O362" s="1154">
        <f>O361*Constants!$I$37</f>
        <v>1.3055577325261421E-2</v>
      </c>
      <c r="P362" s="572"/>
      <c r="Q362" s="1038"/>
    </row>
    <row r="363" spans="2:26" ht="15">
      <c r="B363" s="763"/>
      <c r="C363" s="1587">
        <v>12</v>
      </c>
      <c r="D363" s="1325" t="s">
        <v>1103</v>
      </c>
      <c r="E363" s="1291" t="s">
        <v>126</v>
      </c>
      <c r="F363" s="1154">
        <f t="shared" si="65"/>
        <v>7.0588235294117598E-3</v>
      </c>
      <c r="G363" s="1154">
        <f t="shared" ref="G363:O363" si="71">0.00705882352941176*(1/Unit.TWh)</f>
        <v>7.0588235294117598E-3</v>
      </c>
      <c r="H363" s="1588">
        <f t="shared" si="71"/>
        <v>7.0588235294117598E-3</v>
      </c>
      <c r="I363" s="1588">
        <f t="shared" si="71"/>
        <v>7.0588235294117598E-3</v>
      </c>
      <c r="J363" s="1588">
        <f t="shared" si="71"/>
        <v>7.0588235294117598E-3</v>
      </c>
      <c r="K363" s="1588">
        <f t="shared" si="71"/>
        <v>7.0588235294117598E-3</v>
      </c>
      <c r="L363" s="1588">
        <f t="shared" si="71"/>
        <v>7.0588235294117598E-3</v>
      </c>
      <c r="M363" s="1588">
        <f t="shared" si="71"/>
        <v>7.0588235294117598E-3</v>
      </c>
      <c r="N363" s="1588">
        <f t="shared" si="71"/>
        <v>7.0588235294117598E-3</v>
      </c>
      <c r="O363" s="1588">
        <f t="shared" si="71"/>
        <v>7.0588235294117598E-3</v>
      </c>
      <c r="P363" s="572"/>
      <c r="Q363" s="1038"/>
    </row>
    <row r="364" spans="2:26" ht="15">
      <c r="B364" s="763"/>
      <c r="C364" s="1716">
        <v>12</v>
      </c>
      <c r="D364" s="1601" t="s">
        <v>1103</v>
      </c>
      <c r="E364" s="580" t="s">
        <v>1284</v>
      </c>
      <c r="F364" s="1717">
        <f>F363*Constants!$I$35</f>
        <v>0.10814832499774214</v>
      </c>
      <c r="G364" s="1717">
        <f>G363*Constants!$I$35</f>
        <v>0.10814832499774214</v>
      </c>
      <c r="H364" s="1717">
        <f>H363*Constants!$I$35</f>
        <v>0.10814832499774214</v>
      </c>
      <c r="I364" s="1717">
        <f>I363*Constants!$I$35</f>
        <v>0.10814832499774214</v>
      </c>
      <c r="J364" s="1717">
        <f>J363*Constants!$I$35</f>
        <v>0.10814832499774214</v>
      </c>
      <c r="K364" s="1717">
        <f>K363*Constants!$I$35</f>
        <v>0.10814832499774214</v>
      </c>
      <c r="L364" s="1717">
        <f>L363*Constants!$I$35</f>
        <v>0.10814832499774214</v>
      </c>
      <c r="M364" s="1717">
        <f>M363*Constants!$I$35</f>
        <v>0.10814832499774214</v>
      </c>
      <c r="N364" s="1717">
        <f>N363*Constants!$I$35</f>
        <v>0.10814832499774214</v>
      </c>
      <c r="O364" s="1717">
        <f>O363*Constants!$I$35</f>
        <v>0.10814832499774214</v>
      </c>
      <c r="P364" s="572"/>
      <c r="Q364" s="1038"/>
    </row>
    <row r="365" spans="2:26" ht="15">
      <c r="B365" s="763"/>
      <c r="C365" s="1391"/>
      <c r="D365" s="1391"/>
      <c r="E365" s="717"/>
      <c r="F365" s="1378"/>
      <c r="G365" s="583"/>
      <c r="H365" s="1585"/>
      <c r="I365" s="1585"/>
      <c r="J365" s="1585"/>
      <c r="K365" s="1585"/>
      <c r="L365" s="1585"/>
      <c r="M365" s="1585"/>
      <c r="N365" s="1585"/>
      <c r="O365" s="1585"/>
      <c r="P365" s="572"/>
      <c r="Q365" s="1038"/>
    </row>
    <row r="366" spans="2:26">
      <c r="B366" s="764"/>
      <c r="C366" s="968" t="s">
        <v>422</v>
      </c>
      <c r="D366" s="786"/>
      <c r="E366" s="968"/>
      <c r="F366" s="968"/>
      <c r="G366" s="968"/>
      <c r="H366" s="968"/>
      <c r="I366" s="968"/>
      <c r="J366" s="968"/>
      <c r="K366" s="968"/>
      <c r="L366" s="968"/>
      <c r="M366" s="968"/>
      <c r="N366" s="968"/>
      <c r="O366" s="968"/>
      <c r="P366" s="968"/>
      <c r="Q366" s="1038"/>
    </row>
    <row r="367" spans="2:26">
      <c r="B367" s="764"/>
      <c r="C367" s="783" t="s">
        <v>102</v>
      </c>
      <c r="D367" s="786" t="s">
        <v>680</v>
      </c>
      <c r="E367" s="968"/>
      <c r="F367" s="968"/>
      <c r="G367" s="968"/>
      <c r="H367" s="968"/>
      <c r="I367" s="968"/>
      <c r="J367" s="968"/>
      <c r="K367" s="968"/>
      <c r="L367" s="968"/>
      <c r="M367" s="968"/>
      <c r="N367" s="968"/>
      <c r="O367" s="968"/>
      <c r="P367" s="968"/>
      <c r="Q367" s="1038"/>
    </row>
    <row r="368" spans="2:26" s="521" customFormat="1">
      <c r="B368" s="1402"/>
      <c r="C368" s="1403"/>
      <c r="D368" s="786" t="s">
        <v>660</v>
      </c>
      <c r="E368" s="1404"/>
      <c r="F368" s="1404"/>
      <c r="G368" s="1404"/>
      <c r="H368" s="1404"/>
      <c r="I368" s="1404"/>
      <c r="J368" s="1404"/>
      <c r="K368" s="1404"/>
      <c r="L368" s="1404"/>
      <c r="M368" s="1404"/>
      <c r="N368" s="1404"/>
      <c r="O368" s="1404"/>
      <c r="P368" s="1404"/>
      <c r="Q368" s="1405"/>
      <c r="R368" s="18"/>
      <c r="Z368" s="18"/>
    </row>
    <row r="369" spans="1:31" s="521" customFormat="1">
      <c r="B369" s="1402"/>
      <c r="C369" s="1403"/>
      <c r="D369" s="786" t="s">
        <v>974</v>
      </c>
      <c r="E369" s="1404"/>
      <c r="F369" s="1404"/>
      <c r="G369" s="1404"/>
      <c r="H369" s="1404"/>
      <c r="I369" s="1404"/>
      <c r="J369" s="1404"/>
      <c r="K369" s="1404"/>
      <c r="L369" s="1404"/>
      <c r="M369" s="1404"/>
      <c r="N369" s="1404"/>
      <c r="O369" s="1404"/>
      <c r="P369" s="1404"/>
      <c r="Q369" s="1405"/>
      <c r="R369" s="18"/>
    </row>
    <row r="370" spans="1:31" s="521" customFormat="1">
      <c r="B370" s="1402"/>
      <c r="C370" s="783" t="s">
        <v>109</v>
      </c>
      <c r="D370" s="786" t="s">
        <v>933</v>
      </c>
      <c r="E370" s="1404"/>
      <c r="F370" s="1404"/>
      <c r="G370" s="1404"/>
      <c r="H370" s="1404"/>
      <c r="I370" s="1404"/>
      <c r="J370" s="1404"/>
      <c r="K370" s="1404"/>
      <c r="L370" s="1404"/>
      <c r="M370" s="1404"/>
      <c r="N370" s="1404"/>
      <c r="O370" s="1404"/>
      <c r="P370" s="1404"/>
      <c r="Q370" s="1405"/>
      <c r="R370" s="18"/>
    </row>
    <row r="371" spans="1:31" s="521" customFormat="1">
      <c r="B371" s="1402"/>
      <c r="C371" s="783" t="s">
        <v>110</v>
      </c>
      <c r="D371" s="786" t="s">
        <v>934</v>
      </c>
      <c r="E371" s="1404"/>
      <c r="F371" s="1404"/>
      <c r="G371" s="1404"/>
      <c r="H371" s="1404"/>
      <c r="I371" s="1404"/>
      <c r="J371" s="1404"/>
      <c r="K371" s="1404"/>
      <c r="L371" s="1404"/>
      <c r="M371" s="1404"/>
      <c r="N371" s="1404"/>
      <c r="O371" s="1404"/>
      <c r="P371" s="1404"/>
      <c r="Q371" s="1405"/>
      <c r="R371" s="18"/>
    </row>
    <row r="372" spans="1:31" s="521" customFormat="1">
      <c r="B372" s="1402"/>
      <c r="C372" s="783" t="s">
        <v>421</v>
      </c>
      <c r="D372" s="786" t="s">
        <v>949</v>
      </c>
      <c r="E372" s="1404"/>
      <c r="F372" s="1404"/>
      <c r="G372" s="1404"/>
      <c r="H372" s="1404"/>
      <c r="I372" s="1404"/>
      <c r="J372" s="1404"/>
      <c r="K372" s="1404"/>
      <c r="L372" s="1404"/>
      <c r="M372" s="1404"/>
      <c r="N372" s="1404"/>
      <c r="O372" s="1404"/>
      <c r="P372" s="1404"/>
      <c r="Q372" s="1405"/>
      <c r="R372" s="18"/>
    </row>
    <row r="373" spans="1:31" s="521" customFormat="1">
      <c r="B373" s="1402"/>
      <c r="C373" s="783" t="s">
        <v>425</v>
      </c>
      <c r="D373" s="786" t="s">
        <v>938</v>
      </c>
      <c r="E373" s="1404"/>
      <c r="F373" s="1404"/>
      <c r="G373" s="1404"/>
      <c r="H373" s="1404"/>
      <c r="I373" s="1404"/>
      <c r="J373" s="1404"/>
      <c r="K373" s="1404"/>
      <c r="L373" s="1404"/>
      <c r="M373" s="1404"/>
      <c r="N373" s="1404"/>
      <c r="O373" s="1404"/>
      <c r="P373" s="1404"/>
      <c r="Q373" s="1405"/>
      <c r="R373" s="18"/>
    </row>
    <row r="374" spans="1:31" s="521" customFormat="1">
      <c r="B374" s="1402"/>
      <c r="C374" s="783" t="s">
        <v>427</v>
      </c>
      <c r="D374" s="786" t="s">
        <v>948</v>
      </c>
      <c r="E374" s="1404"/>
      <c r="F374" s="1404"/>
      <c r="G374" s="1404"/>
      <c r="H374" s="1404"/>
      <c r="I374" s="1404"/>
      <c r="J374" s="1404"/>
      <c r="K374" s="1404"/>
      <c r="L374" s="1404"/>
      <c r="M374" s="1404"/>
      <c r="N374" s="1404"/>
      <c r="O374" s="1404"/>
      <c r="P374" s="1404"/>
      <c r="Q374" s="1405"/>
      <c r="R374" s="18"/>
    </row>
    <row r="375" spans="1:31" s="521" customFormat="1">
      <c r="B375" s="1402"/>
      <c r="C375" s="783" t="s">
        <v>428</v>
      </c>
      <c r="D375" s="786" t="s">
        <v>998</v>
      </c>
      <c r="E375" s="1404"/>
      <c r="F375" s="1404"/>
      <c r="G375" s="1404"/>
      <c r="H375" s="1404"/>
      <c r="I375" s="1404"/>
      <c r="J375" s="1404"/>
      <c r="K375" s="1404"/>
      <c r="L375" s="1404"/>
      <c r="M375" s="1404"/>
      <c r="N375" s="1404"/>
      <c r="O375" s="1404"/>
      <c r="P375" s="1404"/>
      <c r="Q375" s="1405"/>
      <c r="R375" s="18"/>
    </row>
    <row r="376" spans="1:31" s="521" customFormat="1">
      <c r="B376" s="1402"/>
      <c r="C376" s="783" t="s">
        <v>997</v>
      </c>
      <c r="D376" s="786" t="s">
        <v>935</v>
      </c>
      <c r="E376" s="1404"/>
      <c r="F376" s="1404"/>
      <c r="G376" s="1404"/>
      <c r="H376" s="1404"/>
      <c r="I376" s="1404"/>
      <c r="J376" s="1404"/>
      <c r="K376" s="1404"/>
      <c r="L376" s="1404"/>
      <c r="M376" s="1404"/>
      <c r="N376" s="1404"/>
      <c r="O376" s="1404"/>
      <c r="P376" s="1404"/>
      <c r="Q376" s="1405"/>
      <c r="R376" s="18"/>
    </row>
    <row r="377" spans="1:31" s="521" customFormat="1">
      <c r="B377" s="1402"/>
      <c r="C377" s="783" t="s">
        <v>995</v>
      </c>
      <c r="D377" s="786" t="s">
        <v>999</v>
      </c>
      <c r="E377" s="1404"/>
      <c r="F377" s="1404"/>
      <c r="G377" s="1404"/>
      <c r="H377" s="1404"/>
      <c r="I377" s="1404"/>
      <c r="J377" s="1404"/>
      <c r="K377" s="1404"/>
      <c r="L377" s="1404"/>
      <c r="M377" s="1404"/>
      <c r="N377" s="1404"/>
      <c r="O377" s="1404"/>
      <c r="P377" s="1404"/>
      <c r="Q377" s="1405"/>
      <c r="R377" s="18"/>
    </row>
    <row r="378" spans="1:31">
      <c r="B378" s="781"/>
      <c r="C378" s="1039"/>
      <c r="D378" s="786"/>
      <c r="E378" s="1039"/>
      <c r="F378" s="1039"/>
      <c r="G378" s="1039"/>
      <c r="H378" s="1039"/>
      <c r="I378" s="1039"/>
      <c r="J378" s="1039"/>
      <c r="K378" s="1039"/>
      <c r="L378" s="1039"/>
      <c r="M378" s="1039"/>
      <c r="N378" s="1039"/>
      <c r="O378" s="1039"/>
      <c r="P378" s="1039"/>
      <c r="Q378" s="1040"/>
      <c r="W378" s="521"/>
      <c r="X378" s="521"/>
      <c r="Y378" s="521"/>
      <c r="Z378" s="521"/>
    </row>
    <row r="380" spans="1:31" s="16" customFormat="1" ht="22">
      <c r="A380" s="765"/>
      <c r="B380" s="1344" t="s">
        <v>1557</v>
      </c>
      <c r="C380" s="1345"/>
      <c r="D380" s="1345"/>
      <c r="E380" s="1345"/>
      <c r="F380" s="1345"/>
      <c r="G380" s="1345"/>
      <c r="H380" s="1345"/>
      <c r="I380" s="1345"/>
      <c r="J380" s="1345"/>
      <c r="K380" s="1345"/>
      <c r="L380" s="1345"/>
      <c r="M380" s="1345"/>
      <c r="N380" s="1345"/>
      <c r="O380" s="1345"/>
      <c r="P380" s="1345"/>
      <c r="Q380" s="495"/>
      <c r="R380" s="495"/>
      <c r="S380" s="495"/>
      <c r="T380" s="495"/>
      <c r="U380" s="495"/>
      <c r="V380" s="495"/>
      <c r="W380" s="495"/>
      <c r="X380" s="495"/>
      <c r="Y380" s="495"/>
      <c r="Z380" s="495"/>
      <c r="AA380" s="495"/>
      <c r="AB380" s="495"/>
      <c r="AC380" s="495"/>
      <c r="AD380" s="495"/>
      <c r="AE380" s="495"/>
    </row>
    <row r="381" spans="1:31" ht="5.25" customHeight="1">
      <c r="B381" s="764"/>
      <c r="C381" s="968"/>
      <c r="D381" s="968"/>
      <c r="E381" s="968"/>
      <c r="F381" s="968"/>
      <c r="G381" s="968"/>
      <c r="H381" s="968"/>
      <c r="I381" s="968"/>
      <c r="J381" s="968"/>
      <c r="K381" s="1389"/>
      <c r="L381" s="1389"/>
      <c r="M381" s="1389"/>
      <c r="N381" s="1389"/>
      <c r="O381" s="1389"/>
      <c r="P381" s="1389"/>
      <c r="Q381" s="1606"/>
      <c r="R381" s="1261"/>
      <c r="S381" s="1261"/>
      <c r="T381" s="1261"/>
      <c r="U381" s="1261"/>
      <c r="V381" s="1261"/>
      <c r="W381" s="1261"/>
      <c r="X381" s="1261"/>
      <c r="Y381" s="1261"/>
      <c r="Z381" s="1261"/>
      <c r="AA381" s="1261"/>
      <c r="AB381" s="1261"/>
      <c r="AC381" s="1261"/>
      <c r="AD381" s="1261"/>
      <c r="AE381" s="1261"/>
    </row>
    <row r="382" spans="1:31">
      <c r="B382" s="764"/>
      <c r="C382" s="1293" t="s">
        <v>1577</v>
      </c>
      <c r="D382" s="968"/>
      <c r="E382" s="968"/>
      <c r="F382" s="968"/>
      <c r="G382" s="1389"/>
      <c r="H382" s="1389"/>
      <c r="I382" s="1389"/>
      <c r="J382" s="1389"/>
      <c r="K382" s="1389"/>
      <c r="L382" s="1389"/>
      <c r="M382" s="1389"/>
      <c r="N382" s="1389"/>
      <c r="O382" s="1389"/>
      <c r="P382" s="1389"/>
      <c r="Q382" s="1261"/>
      <c r="R382" s="1608"/>
      <c r="S382" s="1261"/>
      <c r="T382" s="1261"/>
      <c r="U382" s="1261"/>
      <c r="V382" s="1261"/>
      <c r="W382" s="1261"/>
      <c r="X382" s="1261"/>
      <c r="Y382" s="1261"/>
      <c r="Z382" s="1261"/>
      <c r="AA382" s="1261"/>
      <c r="AB382" s="1261"/>
      <c r="AC382" s="1261"/>
      <c r="AD382" s="1261"/>
      <c r="AE382" s="1261"/>
    </row>
    <row r="383" spans="1:31" ht="5.25" customHeight="1">
      <c r="B383" s="764"/>
      <c r="C383" s="1293"/>
      <c r="D383" s="968"/>
      <c r="E383" s="968"/>
      <c r="F383" s="968"/>
      <c r="G383" s="783"/>
      <c r="H383" s="1389"/>
      <c r="I383" s="1389"/>
      <c r="J383" s="1389"/>
      <c r="K383" s="1389"/>
      <c r="L383" s="1389"/>
      <c r="M383" s="1389"/>
      <c r="N383" s="1389"/>
      <c r="O383" s="1389"/>
      <c r="P383" s="1389"/>
      <c r="Q383" s="1261"/>
      <c r="R383" s="1608"/>
      <c r="S383" s="1261"/>
      <c r="T383" s="1261"/>
      <c r="U383" s="1261"/>
      <c r="V383" s="1261"/>
      <c r="W383" s="1261"/>
      <c r="X383" s="1261"/>
      <c r="Y383" s="1261"/>
      <c r="Z383" s="1261"/>
      <c r="AA383" s="1261"/>
      <c r="AB383" s="1261"/>
      <c r="AC383" s="1261"/>
      <c r="AD383" s="1261"/>
      <c r="AE383" s="1261"/>
    </row>
    <row r="384" spans="1:31">
      <c r="B384" s="764"/>
      <c r="C384" s="1293" t="s">
        <v>1107</v>
      </c>
      <c r="D384" s="968"/>
      <c r="E384" s="968"/>
      <c r="F384" s="968"/>
      <c r="G384" s="968"/>
      <c r="H384" s="1389"/>
      <c r="I384" s="1389"/>
      <c r="J384" s="1389"/>
      <c r="K384" s="1389"/>
      <c r="L384" s="1389"/>
      <c r="M384" s="1389"/>
      <c r="N384" s="1389"/>
      <c r="O384" s="783" t="str">
        <f>Preferences.moneyunits&amp;"/household"</f>
        <v>£m/household</v>
      </c>
      <c r="P384" s="1389"/>
      <c r="Q384" s="1261"/>
      <c r="R384" s="1261"/>
      <c r="S384" s="1261"/>
      <c r="T384" s="1261"/>
      <c r="U384" s="1261"/>
      <c r="V384" s="1261"/>
      <c r="W384" s="1261"/>
      <c r="X384" s="1261"/>
      <c r="Y384" s="1261"/>
      <c r="Z384" s="1261"/>
      <c r="AA384" s="1261"/>
      <c r="AB384" s="1261"/>
      <c r="AC384" s="1261"/>
      <c r="AD384" s="1261"/>
      <c r="AE384" s="1261"/>
    </row>
    <row r="385" spans="2:31">
      <c r="B385" s="764"/>
      <c r="C385" s="1633"/>
      <c r="D385" s="1633" t="s">
        <v>1576</v>
      </c>
      <c r="E385" s="1650" t="s">
        <v>1404</v>
      </c>
      <c r="F385" s="1649">
        <v>2007</v>
      </c>
      <c r="G385" s="1649">
        <v>2010</v>
      </c>
      <c r="H385" s="1649">
        <v>2015</v>
      </c>
      <c r="I385" s="1649">
        <v>2020</v>
      </c>
      <c r="J385" s="1649">
        <v>2025</v>
      </c>
      <c r="K385" s="1649">
        <v>2030</v>
      </c>
      <c r="L385" s="1649">
        <v>2035</v>
      </c>
      <c r="M385" s="1649">
        <v>2040</v>
      </c>
      <c r="N385" s="1649">
        <v>2045</v>
      </c>
      <c r="O385" s="1649">
        <v>2050</v>
      </c>
      <c r="P385" s="1389"/>
      <c r="Q385" s="1609"/>
      <c r="R385" s="1609"/>
      <c r="S385" s="1261"/>
      <c r="T385" s="1261"/>
      <c r="U385" s="1261"/>
      <c r="V385" s="1261"/>
      <c r="W385" s="1261"/>
      <c r="X385" s="1261"/>
      <c r="Y385" s="1261"/>
      <c r="Z385" s="1261"/>
      <c r="AA385" s="1261"/>
      <c r="AB385" s="1261"/>
      <c r="AC385" s="1261"/>
      <c r="AD385" s="1261"/>
      <c r="AE385" s="1261"/>
    </row>
    <row r="386" spans="2:31">
      <c r="B386" s="764"/>
      <c r="C386" s="1634"/>
      <c r="D386" s="1634" t="s">
        <v>1301</v>
      </c>
      <c r="E386" s="1635">
        <f>(O386-G386)/(G$385-O$385)</f>
        <v>0</v>
      </c>
      <c r="F386" s="1636">
        <f>7600*GBP</f>
        <v>7.6E-3</v>
      </c>
      <c r="G386" s="1636">
        <f>7600*GBP</f>
        <v>7.6E-3</v>
      </c>
      <c r="H386" s="1635">
        <f>G386+(H$385-G$385)*$E386</f>
        <v>7.6E-3</v>
      </c>
      <c r="I386" s="1635">
        <f t="shared" ref="I386:N386" si="72">H386+(I$385-H$385)*$E386</f>
        <v>7.6E-3</v>
      </c>
      <c r="J386" s="1635">
        <f t="shared" si="72"/>
        <v>7.6E-3</v>
      </c>
      <c r="K386" s="1635">
        <f t="shared" si="72"/>
        <v>7.6E-3</v>
      </c>
      <c r="L386" s="1635">
        <f>K386+(L$385-K$385)*$E386</f>
        <v>7.6E-3</v>
      </c>
      <c r="M386" s="1635">
        <f t="shared" si="72"/>
        <v>7.6E-3</v>
      </c>
      <c r="N386" s="1635">
        <f t="shared" si="72"/>
        <v>7.6E-3</v>
      </c>
      <c r="O386" s="1692">
        <f>7600*GBP</f>
        <v>7.6E-3</v>
      </c>
      <c r="P386" s="1389"/>
    </row>
    <row r="387" spans="2:31">
      <c r="B387" s="764"/>
      <c r="C387" s="1637"/>
      <c r="D387" s="1637" t="s">
        <v>1302</v>
      </c>
      <c r="E387" s="1638">
        <f t="shared" ref="E387:E391" si="73">(O387-G387)/(G$385-O$385)</f>
        <v>0</v>
      </c>
      <c r="F387" s="1639">
        <f>1620*GBP</f>
        <v>1.6199999999999999E-3</v>
      </c>
      <c r="G387" s="1639">
        <f>1620*GBP</f>
        <v>1.6199999999999999E-3</v>
      </c>
      <c r="H387" s="1638">
        <f t="shared" ref="H387:N387" si="74">G387+(H$385-G$385)*$E387</f>
        <v>1.6199999999999999E-3</v>
      </c>
      <c r="I387" s="1638">
        <f t="shared" si="74"/>
        <v>1.6199999999999999E-3</v>
      </c>
      <c r="J387" s="1638">
        <f t="shared" si="74"/>
        <v>1.6199999999999999E-3</v>
      </c>
      <c r="K387" s="1638">
        <f t="shared" si="74"/>
        <v>1.6199999999999999E-3</v>
      </c>
      <c r="L387" s="1638">
        <f t="shared" si="74"/>
        <v>1.6199999999999999E-3</v>
      </c>
      <c r="M387" s="1638">
        <f t="shared" si="74"/>
        <v>1.6199999999999999E-3</v>
      </c>
      <c r="N387" s="1638">
        <f t="shared" si="74"/>
        <v>1.6199999999999999E-3</v>
      </c>
      <c r="O387" s="1693">
        <f>1620*GBP</f>
        <v>1.6199999999999999E-3</v>
      </c>
      <c r="P387" s="1389"/>
    </row>
    <row r="388" spans="2:31">
      <c r="B388" s="764"/>
      <c r="C388" s="1637"/>
      <c r="D388" s="1637" t="s">
        <v>1303</v>
      </c>
      <c r="E388" s="1638">
        <f t="shared" si="73"/>
        <v>0</v>
      </c>
      <c r="F388" s="1639">
        <f>1295*GBP</f>
        <v>1.2949999999999999E-3</v>
      </c>
      <c r="G388" s="1639">
        <f>1295*GBP</f>
        <v>1.2949999999999999E-3</v>
      </c>
      <c r="H388" s="1638">
        <f t="shared" ref="H388:N388" si="75">G388+(H$385-G$385)*$E388</f>
        <v>1.2949999999999999E-3</v>
      </c>
      <c r="I388" s="1638">
        <f t="shared" si="75"/>
        <v>1.2949999999999999E-3</v>
      </c>
      <c r="J388" s="1638">
        <f t="shared" si="75"/>
        <v>1.2949999999999999E-3</v>
      </c>
      <c r="K388" s="1638">
        <f t="shared" si="75"/>
        <v>1.2949999999999999E-3</v>
      </c>
      <c r="L388" s="1638">
        <f t="shared" si="75"/>
        <v>1.2949999999999999E-3</v>
      </c>
      <c r="M388" s="1638">
        <f t="shared" si="75"/>
        <v>1.2949999999999999E-3</v>
      </c>
      <c r="N388" s="1638">
        <f t="shared" si="75"/>
        <v>1.2949999999999999E-3</v>
      </c>
      <c r="O388" s="1693">
        <f>1295*GBP</f>
        <v>1.2949999999999999E-3</v>
      </c>
      <c r="P388" s="1389"/>
    </row>
    <row r="389" spans="2:31" ht="16.5" customHeight="1">
      <c r="B389" s="764"/>
      <c r="C389" s="1637"/>
      <c r="D389" s="1637" t="s">
        <v>1304</v>
      </c>
      <c r="E389" s="1638">
        <f t="shared" si="73"/>
        <v>0</v>
      </c>
      <c r="F389" s="1639">
        <f>5180*GBP</f>
        <v>5.1799999999999997E-3</v>
      </c>
      <c r="G389" s="1639">
        <f>5180*GBP</f>
        <v>5.1799999999999997E-3</v>
      </c>
      <c r="H389" s="1638">
        <f t="shared" ref="H389:N389" si="76">G389+(H$385-G$385)*$E389</f>
        <v>5.1799999999999997E-3</v>
      </c>
      <c r="I389" s="1638">
        <f t="shared" si="76"/>
        <v>5.1799999999999997E-3</v>
      </c>
      <c r="J389" s="1638">
        <f t="shared" si="76"/>
        <v>5.1799999999999997E-3</v>
      </c>
      <c r="K389" s="1638">
        <f t="shared" si="76"/>
        <v>5.1799999999999997E-3</v>
      </c>
      <c r="L389" s="1638">
        <f t="shared" si="76"/>
        <v>5.1799999999999997E-3</v>
      </c>
      <c r="M389" s="1638">
        <f t="shared" si="76"/>
        <v>5.1799999999999997E-3</v>
      </c>
      <c r="N389" s="1638">
        <f t="shared" si="76"/>
        <v>5.1799999999999997E-3</v>
      </c>
      <c r="O389" s="1693">
        <f>5180*GBP</f>
        <v>5.1799999999999997E-3</v>
      </c>
      <c r="P389" s="1389"/>
    </row>
    <row r="390" spans="2:31">
      <c r="B390" s="764"/>
      <c r="C390" s="1637"/>
      <c r="D390" s="1637" t="s">
        <v>1305</v>
      </c>
      <c r="E390" s="1638">
        <f t="shared" si="73"/>
        <v>0</v>
      </c>
      <c r="F390" s="1639">
        <f>354*GBP</f>
        <v>3.5399999999999999E-4</v>
      </c>
      <c r="G390" s="1639">
        <f>354*GBP</f>
        <v>3.5399999999999999E-4</v>
      </c>
      <c r="H390" s="1638">
        <f t="shared" ref="H390:N390" si="77">G390+(H$385-G$385)*$E390</f>
        <v>3.5399999999999999E-4</v>
      </c>
      <c r="I390" s="1638">
        <f t="shared" si="77"/>
        <v>3.5399999999999999E-4</v>
      </c>
      <c r="J390" s="1638">
        <f t="shared" si="77"/>
        <v>3.5399999999999999E-4</v>
      </c>
      <c r="K390" s="1638">
        <f t="shared" si="77"/>
        <v>3.5399999999999999E-4</v>
      </c>
      <c r="L390" s="1638">
        <f t="shared" si="77"/>
        <v>3.5399999999999999E-4</v>
      </c>
      <c r="M390" s="1638">
        <f t="shared" si="77"/>
        <v>3.5399999999999999E-4</v>
      </c>
      <c r="N390" s="1638">
        <f t="shared" si="77"/>
        <v>3.5399999999999999E-4</v>
      </c>
      <c r="O390" s="1693">
        <f>354*GBP</f>
        <v>3.5399999999999999E-4</v>
      </c>
      <c r="P390" s="1389"/>
    </row>
    <row r="391" spans="2:31">
      <c r="B391" s="764"/>
      <c r="C391" s="1640"/>
      <c r="D391" s="1640" t="s">
        <v>1306</v>
      </c>
      <c r="E391" s="1641">
        <f t="shared" si="73"/>
        <v>0</v>
      </c>
      <c r="F391" s="1642">
        <f>2000*GBP</f>
        <v>2E-3</v>
      </c>
      <c r="G391" s="1642">
        <f>2000*GBP</f>
        <v>2E-3</v>
      </c>
      <c r="H391" s="1641">
        <f t="shared" ref="H391:N391" si="78">G391+(H$385-G$385)*$E391</f>
        <v>2E-3</v>
      </c>
      <c r="I391" s="1641">
        <f t="shared" si="78"/>
        <v>2E-3</v>
      </c>
      <c r="J391" s="1641">
        <f t="shared" si="78"/>
        <v>2E-3</v>
      </c>
      <c r="K391" s="1641">
        <f t="shared" si="78"/>
        <v>2E-3</v>
      </c>
      <c r="L391" s="1641">
        <f t="shared" si="78"/>
        <v>2E-3</v>
      </c>
      <c r="M391" s="1641">
        <f t="shared" si="78"/>
        <v>2E-3</v>
      </c>
      <c r="N391" s="1641">
        <f t="shared" si="78"/>
        <v>2E-3</v>
      </c>
      <c r="O391" s="1694">
        <f>2000*GBP</f>
        <v>2E-3</v>
      </c>
      <c r="P391" s="1389"/>
    </row>
    <row r="392" spans="2:31">
      <c r="B392" s="764"/>
      <c r="C392" s="1638"/>
      <c r="D392" s="1638"/>
      <c r="E392" s="1638"/>
      <c r="F392" s="1638"/>
      <c r="G392" s="1638"/>
      <c r="H392" s="1638"/>
      <c r="I392" s="1638"/>
      <c r="J392" s="1638"/>
      <c r="K392" s="1643"/>
      <c r="L392" s="1643"/>
      <c r="M392" s="1643"/>
      <c r="N392" s="1643"/>
      <c r="O392" s="1682"/>
      <c r="P392" s="1389"/>
    </row>
    <row r="393" spans="2:31">
      <c r="B393" s="764"/>
      <c r="C393" s="1644" t="s">
        <v>1786</v>
      </c>
      <c r="D393" s="1638"/>
      <c r="E393" s="1638"/>
      <c r="F393" s="1638"/>
      <c r="G393" s="1638"/>
      <c r="H393" s="1643"/>
      <c r="I393" s="1643"/>
      <c r="J393" s="1643"/>
      <c r="K393" s="1643"/>
      <c r="L393" s="1643"/>
      <c r="M393" s="1643"/>
      <c r="N393" s="1643"/>
      <c r="O393" s="1683" t="str">
        <f>Preferences.moneyunits&amp;"/household"</f>
        <v>£m/household</v>
      </c>
      <c r="P393" s="1389"/>
    </row>
    <row r="394" spans="2:31">
      <c r="B394" s="764"/>
      <c r="C394" s="1633"/>
      <c r="D394" s="1633" t="s">
        <v>1576</v>
      </c>
      <c r="E394" s="1650" t="s">
        <v>1404</v>
      </c>
      <c r="F394" s="1649">
        <v>2007</v>
      </c>
      <c r="G394" s="1649">
        <v>2010</v>
      </c>
      <c r="H394" s="1649">
        <v>2015</v>
      </c>
      <c r="I394" s="1649">
        <v>2020</v>
      </c>
      <c r="J394" s="1649">
        <v>2025</v>
      </c>
      <c r="K394" s="1649">
        <v>2030</v>
      </c>
      <c r="L394" s="1649">
        <v>2035</v>
      </c>
      <c r="M394" s="1649">
        <v>2040</v>
      </c>
      <c r="N394" s="1649">
        <v>2045</v>
      </c>
      <c r="O394" s="1649">
        <v>2050</v>
      </c>
      <c r="P394" s="1389"/>
    </row>
    <row r="395" spans="2:31">
      <c r="B395" s="764"/>
      <c r="C395" s="1634"/>
      <c r="D395" s="1634" t="s">
        <v>1301</v>
      </c>
      <c r="E395" s="1635">
        <f>(O395-G395)/(G$394-O$394)</f>
        <v>0</v>
      </c>
      <c r="F395" s="1636">
        <f>2291*GBP*Price2000</f>
        <v>2.9673090871412291E-3</v>
      </c>
      <c r="G395" s="1636">
        <f>2291*GBP*Price2000</f>
        <v>2.9673090871412291E-3</v>
      </c>
      <c r="H395" s="1635">
        <f>G395+(H$394-G$394)*$E395</f>
        <v>2.9673090871412291E-3</v>
      </c>
      <c r="I395" s="1635">
        <f t="shared" ref="I395:N395" si="79">H395+(I$394-H$394)*$E395</f>
        <v>2.9673090871412291E-3</v>
      </c>
      <c r="J395" s="1635">
        <f t="shared" si="79"/>
        <v>2.9673090871412291E-3</v>
      </c>
      <c r="K395" s="1635">
        <f t="shared" si="79"/>
        <v>2.9673090871412291E-3</v>
      </c>
      <c r="L395" s="1635">
        <f t="shared" si="79"/>
        <v>2.9673090871412291E-3</v>
      </c>
      <c r="M395" s="1635">
        <f t="shared" si="79"/>
        <v>2.9673090871412291E-3</v>
      </c>
      <c r="N395" s="1635">
        <f t="shared" si="79"/>
        <v>2.9673090871412291E-3</v>
      </c>
      <c r="O395" s="1692">
        <f>2291*GBP*Price2000</f>
        <v>2.9673090871412291E-3</v>
      </c>
      <c r="P395" s="1280"/>
    </row>
    <row r="396" spans="2:31">
      <c r="B396" s="764"/>
      <c r="C396" s="1637"/>
      <c r="D396" s="1637" t="s">
        <v>1302</v>
      </c>
      <c r="E396" s="1638">
        <f t="shared" ref="E396:E400" si="80">(O396-G396)/(G$394-O$394)</f>
        <v>0</v>
      </c>
      <c r="F396" s="1639">
        <f>313*GBP*Price2000</f>
        <v>4.053984043104341E-4</v>
      </c>
      <c r="G396" s="1639">
        <f>313*GBP*Price2000</f>
        <v>4.053984043104341E-4</v>
      </c>
      <c r="H396" s="1638">
        <f t="shared" ref="H396:N396" si="81">G396+(H$394-G$394)*$E396</f>
        <v>4.053984043104341E-4</v>
      </c>
      <c r="I396" s="1638">
        <f t="shared" si="81"/>
        <v>4.053984043104341E-4</v>
      </c>
      <c r="J396" s="1638">
        <f t="shared" si="81"/>
        <v>4.053984043104341E-4</v>
      </c>
      <c r="K396" s="1638">
        <f t="shared" si="81"/>
        <v>4.053984043104341E-4</v>
      </c>
      <c r="L396" s="1638">
        <f t="shared" si="81"/>
        <v>4.053984043104341E-4</v>
      </c>
      <c r="M396" s="1638">
        <f t="shared" si="81"/>
        <v>4.053984043104341E-4</v>
      </c>
      <c r="N396" s="1638">
        <f t="shared" si="81"/>
        <v>4.053984043104341E-4</v>
      </c>
      <c r="O396" s="1693">
        <f>313*GBP*Price2000</f>
        <v>4.053984043104341E-4</v>
      </c>
      <c r="P396" s="1389"/>
    </row>
    <row r="397" spans="2:31">
      <c r="B397" s="764"/>
      <c r="C397" s="1637"/>
      <c r="D397" s="1637" t="s">
        <v>1303</v>
      </c>
      <c r="E397" s="1638">
        <f t="shared" si="80"/>
        <v>0</v>
      </c>
      <c r="F397" s="1639">
        <f>525*GBP*Price2000</f>
        <v>6.7998134908299653E-4</v>
      </c>
      <c r="G397" s="1639">
        <f>525*GBP*Price2000</f>
        <v>6.7998134908299653E-4</v>
      </c>
      <c r="H397" s="1638">
        <f t="shared" ref="H397:N397" si="82">G397+(H$394-G$394)*$E397</f>
        <v>6.7998134908299653E-4</v>
      </c>
      <c r="I397" s="1638">
        <f t="shared" si="82"/>
        <v>6.7998134908299653E-4</v>
      </c>
      <c r="J397" s="1638">
        <f t="shared" si="82"/>
        <v>6.7998134908299653E-4</v>
      </c>
      <c r="K397" s="1638">
        <f t="shared" si="82"/>
        <v>6.7998134908299653E-4</v>
      </c>
      <c r="L397" s="1638">
        <f t="shared" si="82"/>
        <v>6.7998134908299653E-4</v>
      </c>
      <c r="M397" s="1638">
        <f t="shared" si="82"/>
        <v>6.7998134908299653E-4</v>
      </c>
      <c r="N397" s="1638">
        <f t="shared" si="82"/>
        <v>6.7998134908299653E-4</v>
      </c>
      <c r="O397" s="1693">
        <f>525*GBP*Price2000</f>
        <v>6.7998134908299653E-4</v>
      </c>
      <c r="P397" s="1389"/>
    </row>
    <row r="398" spans="2:31">
      <c r="B398" s="968"/>
      <c r="C398" s="1637"/>
      <c r="D398" s="1637" t="s">
        <v>1304</v>
      </c>
      <c r="E398" s="1638">
        <f t="shared" si="80"/>
        <v>0</v>
      </c>
      <c r="F398" s="1639">
        <f>2000*GBP*Price2000</f>
        <v>2.5904051393637966E-3</v>
      </c>
      <c r="G398" s="1639">
        <f>2000*GBP*Price2000</f>
        <v>2.5904051393637966E-3</v>
      </c>
      <c r="H398" s="1638">
        <f t="shared" ref="H398:N398" si="83">G398+(H$394-G$394)*$E398</f>
        <v>2.5904051393637966E-3</v>
      </c>
      <c r="I398" s="1638">
        <f t="shared" si="83"/>
        <v>2.5904051393637966E-3</v>
      </c>
      <c r="J398" s="1638">
        <f t="shared" si="83"/>
        <v>2.5904051393637966E-3</v>
      </c>
      <c r="K398" s="1638">
        <f t="shared" si="83"/>
        <v>2.5904051393637966E-3</v>
      </c>
      <c r="L398" s="1638">
        <f t="shared" si="83"/>
        <v>2.5904051393637966E-3</v>
      </c>
      <c r="M398" s="1638">
        <f t="shared" si="83"/>
        <v>2.5904051393637966E-3</v>
      </c>
      <c r="N398" s="1638">
        <f t="shared" si="83"/>
        <v>2.5904051393637966E-3</v>
      </c>
      <c r="O398" s="1693">
        <f>2000*GBP*Price2000</f>
        <v>2.5904051393637966E-3</v>
      </c>
      <c r="P398" s="1389"/>
    </row>
    <row r="399" spans="2:31" ht="12.75" customHeight="1">
      <c r="B399" s="968"/>
      <c r="C399" s="1637"/>
      <c r="D399" s="1637" t="s">
        <v>1305</v>
      </c>
      <c r="E399" s="1638">
        <f t="shared" si="80"/>
        <v>0</v>
      </c>
      <c r="F399" s="1639">
        <f>354*GBP</f>
        <v>3.5399999999999999E-4</v>
      </c>
      <c r="G399" s="1639">
        <f>354*GBP</f>
        <v>3.5399999999999999E-4</v>
      </c>
      <c r="H399" s="1638">
        <f t="shared" ref="H399:N399" si="84">G399+(H$394-G$394)*$E399</f>
        <v>3.5399999999999999E-4</v>
      </c>
      <c r="I399" s="1638">
        <f t="shared" si="84"/>
        <v>3.5399999999999999E-4</v>
      </c>
      <c r="J399" s="1638">
        <f t="shared" si="84"/>
        <v>3.5399999999999999E-4</v>
      </c>
      <c r="K399" s="1638">
        <f t="shared" si="84"/>
        <v>3.5399999999999999E-4</v>
      </c>
      <c r="L399" s="1638">
        <f t="shared" si="84"/>
        <v>3.5399999999999999E-4</v>
      </c>
      <c r="M399" s="1638">
        <f t="shared" si="84"/>
        <v>3.5399999999999999E-4</v>
      </c>
      <c r="N399" s="1638">
        <f t="shared" si="84"/>
        <v>3.5399999999999999E-4</v>
      </c>
      <c r="O399" s="1693">
        <f>354*GBP</f>
        <v>3.5399999999999999E-4</v>
      </c>
      <c r="P399" s="1389"/>
    </row>
    <row r="400" spans="2:31">
      <c r="B400" s="968"/>
      <c r="C400" s="1640"/>
      <c r="D400" s="1640" t="s">
        <v>1306</v>
      </c>
      <c r="E400" s="1641">
        <f t="shared" si="80"/>
        <v>0</v>
      </c>
      <c r="F400" s="1694">
        <f>F409+((F391-F409)*0.35)</f>
        <v>7.2599999999999997E-4</v>
      </c>
      <c r="G400" s="1694">
        <f>G409+((G391-G409)*0.35)</f>
        <v>7.2599999999999997E-4</v>
      </c>
      <c r="H400" s="1641">
        <f t="shared" ref="H400:N400" si="85">G400+(H$394-G$394)*$E400</f>
        <v>7.2599999999999997E-4</v>
      </c>
      <c r="I400" s="1641">
        <f>H400+(I$394-H$394)*$E400</f>
        <v>7.2599999999999997E-4</v>
      </c>
      <c r="J400" s="1641">
        <f t="shared" si="85"/>
        <v>7.2599999999999997E-4</v>
      </c>
      <c r="K400" s="1641">
        <f t="shared" si="85"/>
        <v>7.2599999999999997E-4</v>
      </c>
      <c r="L400" s="1641">
        <f t="shared" si="85"/>
        <v>7.2599999999999997E-4</v>
      </c>
      <c r="M400" s="1641">
        <f t="shared" si="85"/>
        <v>7.2599999999999997E-4</v>
      </c>
      <c r="N400" s="1641">
        <f t="shared" si="85"/>
        <v>7.2599999999999997E-4</v>
      </c>
      <c r="O400" s="1694">
        <f>O409+((O391-O409)*0.35)</f>
        <v>7.2599999999999997E-4</v>
      </c>
      <c r="P400" s="1280"/>
    </row>
    <row r="401" spans="2:16">
      <c r="B401" s="968"/>
      <c r="C401" s="1637"/>
      <c r="D401" s="1637"/>
      <c r="E401" s="1645"/>
      <c r="F401" s="1646"/>
      <c r="G401" s="1646"/>
      <c r="H401" s="1647"/>
      <c r="I401" s="1647"/>
      <c r="J401" s="1638"/>
      <c r="K401" s="1643"/>
      <c r="L401" s="1643"/>
      <c r="M401" s="1643"/>
      <c r="N401" s="1643"/>
      <c r="O401" s="1682"/>
      <c r="P401" s="1389"/>
    </row>
    <row r="402" spans="2:16">
      <c r="B402" s="968"/>
      <c r="C402" s="1644" t="s">
        <v>1105</v>
      </c>
      <c r="D402" s="1638"/>
      <c r="E402" s="1638"/>
      <c r="F402" s="1638"/>
      <c r="G402" s="1638"/>
      <c r="H402" s="1643"/>
      <c r="I402" s="1643"/>
      <c r="J402" s="1643"/>
      <c r="K402" s="1643"/>
      <c r="L402" s="1643"/>
      <c r="M402" s="1643"/>
      <c r="N402" s="1643"/>
      <c r="O402" s="1683" t="str">
        <f>Preferences.moneyunits&amp;"/household"</f>
        <v>£m/household</v>
      </c>
      <c r="P402" s="1389"/>
    </row>
    <row r="403" spans="2:16">
      <c r="B403" s="968"/>
      <c r="C403" s="1633"/>
      <c r="D403" s="1633" t="s">
        <v>1576</v>
      </c>
      <c r="E403" s="1650" t="s">
        <v>1404</v>
      </c>
      <c r="F403" s="1649">
        <v>2007</v>
      </c>
      <c r="G403" s="1649">
        <v>2010</v>
      </c>
      <c r="H403" s="1649">
        <v>2015</v>
      </c>
      <c r="I403" s="1649">
        <v>2020</v>
      </c>
      <c r="J403" s="1649">
        <v>2025</v>
      </c>
      <c r="K403" s="1649">
        <v>2030</v>
      </c>
      <c r="L403" s="1649">
        <v>2035</v>
      </c>
      <c r="M403" s="1649">
        <v>2040</v>
      </c>
      <c r="N403" s="1649">
        <v>2045</v>
      </c>
      <c r="O403" s="1649">
        <v>2050</v>
      </c>
      <c r="P403" s="1389"/>
    </row>
    <row r="404" spans="2:16">
      <c r="B404" s="968"/>
      <c r="C404" s="1634"/>
      <c r="D404" s="1634" t="s">
        <v>1301</v>
      </c>
      <c r="E404" s="1635">
        <f>(O404-G404)/(G$403-O$403)</f>
        <v>0</v>
      </c>
      <c r="F404" s="1648">
        <f>1695.4201637136*GBP</f>
        <v>1.6954201637136E-3</v>
      </c>
      <c r="G404" s="1648">
        <f>1695.4201637136*GBP</f>
        <v>1.6954201637136E-3</v>
      </c>
      <c r="H404" s="1635">
        <f>G404+$E404*(H$403-$G$403)</f>
        <v>1.6954201637136E-3</v>
      </c>
      <c r="I404" s="1635">
        <f t="shared" ref="I404:N404" si="86">H404+$E404*(I$403-$G$403)</f>
        <v>1.6954201637136E-3</v>
      </c>
      <c r="J404" s="1635">
        <f t="shared" si="86"/>
        <v>1.6954201637136E-3</v>
      </c>
      <c r="K404" s="1635">
        <f t="shared" si="86"/>
        <v>1.6954201637136E-3</v>
      </c>
      <c r="L404" s="1635">
        <f t="shared" si="86"/>
        <v>1.6954201637136E-3</v>
      </c>
      <c r="M404" s="1635">
        <f t="shared" si="86"/>
        <v>1.6954201637136E-3</v>
      </c>
      <c r="N404" s="1635">
        <f t="shared" si="86"/>
        <v>1.6954201637136E-3</v>
      </c>
      <c r="O404" s="1629">
        <f>1695.4201637136*GBP</f>
        <v>1.6954201637136E-3</v>
      </c>
      <c r="P404" s="1389"/>
    </row>
    <row r="405" spans="2:16">
      <c r="B405" s="968"/>
      <c r="C405" s="1637"/>
      <c r="D405" s="1637" t="s">
        <v>1302</v>
      </c>
      <c r="E405" s="1638">
        <f t="shared" ref="E405:E409" si="87">(O405-G405)/(G$403-O$403)</f>
        <v>0</v>
      </c>
      <c r="F405" s="1639">
        <f>356.34375*GBP</f>
        <v>3.5634375E-4</v>
      </c>
      <c r="G405" s="1639">
        <f>356.34375*GBP</f>
        <v>3.5634375E-4</v>
      </c>
      <c r="H405" s="1638">
        <f t="shared" ref="H405:N405" si="88">G405+$E405*(H$403-$G$403)</f>
        <v>3.5634375E-4</v>
      </c>
      <c r="I405" s="1638">
        <f t="shared" si="88"/>
        <v>3.5634375E-4</v>
      </c>
      <c r="J405" s="1638">
        <f t="shared" si="88"/>
        <v>3.5634375E-4</v>
      </c>
      <c r="K405" s="1638">
        <f t="shared" si="88"/>
        <v>3.5634375E-4</v>
      </c>
      <c r="L405" s="1638">
        <f t="shared" si="88"/>
        <v>3.5634375E-4</v>
      </c>
      <c r="M405" s="1638">
        <f t="shared" si="88"/>
        <v>3.5634375E-4</v>
      </c>
      <c r="N405" s="1638">
        <f t="shared" si="88"/>
        <v>3.5634375E-4</v>
      </c>
      <c r="O405" s="1693">
        <f>356.34375*GBP</f>
        <v>3.5634375E-4</v>
      </c>
      <c r="P405" s="1389"/>
    </row>
    <row r="406" spans="2:16">
      <c r="B406" s="968"/>
      <c r="C406" s="1637"/>
      <c r="D406" s="1637" t="s">
        <v>1303</v>
      </c>
      <c r="E406" s="1638">
        <f t="shared" si="87"/>
        <v>0</v>
      </c>
      <c r="F406" s="1639">
        <f>64.7601284840949*GBP</f>
        <v>6.4760128484094901E-5</v>
      </c>
      <c r="G406" s="1639">
        <f>64.7601284840949*GBP</f>
        <v>6.4760128484094901E-5</v>
      </c>
      <c r="H406" s="1638">
        <f t="shared" ref="H406:N406" si="89">G406+$E406*(H$403-$G$403)</f>
        <v>6.4760128484094901E-5</v>
      </c>
      <c r="I406" s="1638">
        <f t="shared" si="89"/>
        <v>6.4760128484094901E-5</v>
      </c>
      <c r="J406" s="1638">
        <f t="shared" si="89"/>
        <v>6.4760128484094901E-5</v>
      </c>
      <c r="K406" s="1638">
        <f t="shared" si="89"/>
        <v>6.4760128484094901E-5</v>
      </c>
      <c r="L406" s="1638">
        <f t="shared" si="89"/>
        <v>6.4760128484094901E-5</v>
      </c>
      <c r="M406" s="1638">
        <f t="shared" si="89"/>
        <v>6.4760128484094901E-5</v>
      </c>
      <c r="N406" s="1638">
        <f t="shared" si="89"/>
        <v>6.4760128484094901E-5</v>
      </c>
      <c r="O406" s="1693">
        <f>64.7601284840949*GBP</f>
        <v>6.4760128484094901E-5</v>
      </c>
      <c r="P406" s="1389"/>
    </row>
    <row r="407" spans="2:16">
      <c r="B407" s="968"/>
      <c r="C407" s="1637"/>
      <c r="D407" s="1637" t="s">
        <v>1304</v>
      </c>
      <c r="E407" s="1638">
        <f t="shared" si="87"/>
        <v>0</v>
      </c>
      <c r="F407" s="1639">
        <f>0*GBP</f>
        <v>0</v>
      </c>
      <c r="G407" s="1639">
        <f>0*GBP</f>
        <v>0</v>
      </c>
      <c r="H407" s="1638">
        <f t="shared" ref="H407:N407" si="90">G407+$E407*(H$403-$G$403)</f>
        <v>0</v>
      </c>
      <c r="I407" s="1638">
        <f t="shared" si="90"/>
        <v>0</v>
      </c>
      <c r="J407" s="1638">
        <f t="shared" si="90"/>
        <v>0</v>
      </c>
      <c r="K407" s="1638">
        <f t="shared" si="90"/>
        <v>0</v>
      </c>
      <c r="L407" s="1638">
        <f t="shared" si="90"/>
        <v>0</v>
      </c>
      <c r="M407" s="1638">
        <f t="shared" si="90"/>
        <v>0</v>
      </c>
      <c r="N407" s="1638">
        <f t="shared" si="90"/>
        <v>0</v>
      </c>
      <c r="O407" s="1693">
        <f>0*GBP</f>
        <v>0</v>
      </c>
      <c r="P407" s="1389"/>
    </row>
    <row r="408" spans="2:16">
      <c r="B408" s="968"/>
      <c r="C408" s="1637"/>
      <c r="D408" s="1637" t="s">
        <v>1305</v>
      </c>
      <c r="E408" s="1638">
        <f t="shared" si="87"/>
        <v>0</v>
      </c>
      <c r="F408" s="1639">
        <f>163*GBP*Price2000</f>
        <v>2.1111801885814944E-4</v>
      </c>
      <c r="G408" s="1639">
        <f>128*GBP</f>
        <v>1.2799999999999999E-4</v>
      </c>
      <c r="H408" s="1638">
        <f t="shared" ref="H408:N408" si="91">G408+$E408*(H$403-$G$403)</f>
        <v>1.2799999999999999E-4</v>
      </c>
      <c r="I408" s="1638">
        <f t="shared" si="91"/>
        <v>1.2799999999999999E-4</v>
      </c>
      <c r="J408" s="1638">
        <f t="shared" si="91"/>
        <v>1.2799999999999999E-4</v>
      </c>
      <c r="K408" s="1638">
        <f t="shared" si="91"/>
        <v>1.2799999999999999E-4</v>
      </c>
      <c r="L408" s="1638">
        <f t="shared" si="91"/>
        <v>1.2799999999999999E-4</v>
      </c>
      <c r="M408" s="1638">
        <f t="shared" si="91"/>
        <v>1.2799999999999999E-4</v>
      </c>
      <c r="N408" s="1638">
        <f t="shared" si="91"/>
        <v>1.2799999999999999E-4</v>
      </c>
      <c r="O408" s="1693">
        <f>128*GBP</f>
        <v>1.2799999999999999E-4</v>
      </c>
      <c r="P408" s="1389"/>
    </row>
    <row r="409" spans="2:16">
      <c r="B409" s="968"/>
      <c r="C409" s="1640"/>
      <c r="D409" s="1640" t="s">
        <v>1306</v>
      </c>
      <c r="E409" s="1641">
        <f t="shared" si="87"/>
        <v>0</v>
      </c>
      <c r="F409" s="1642">
        <f>40*GBP</f>
        <v>3.9999999999999996E-5</v>
      </c>
      <c r="G409" s="1642">
        <f>40*GBP</f>
        <v>3.9999999999999996E-5</v>
      </c>
      <c r="H409" s="1641">
        <f t="shared" ref="H409:N409" si="92">G409+$E409*(H$403-$G$403)</f>
        <v>3.9999999999999996E-5</v>
      </c>
      <c r="I409" s="1641">
        <f t="shared" si="92"/>
        <v>3.9999999999999996E-5</v>
      </c>
      <c r="J409" s="1641">
        <f t="shared" si="92"/>
        <v>3.9999999999999996E-5</v>
      </c>
      <c r="K409" s="1641">
        <f t="shared" si="92"/>
        <v>3.9999999999999996E-5</v>
      </c>
      <c r="L409" s="1641">
        <f t="shared" si="92"/>
        <v>3.9999999999999996E-5</v>
      </c>
      <c r="M409" s="1641">
        <f t="shared" si="92"/>
        <v>3.9999999999999996E-5</v>
      </c>
      <c r="N409" s="1641">
        <f t="shared" si="92"/>
        <v>3.9999999999999996E-5</v>
      </c>
      <c r="O409" s="1694">
        <f>40*GBP</f>
        <v>3.9999999999999996E-5</v>
      </c>
      <c r="P409" s="1389"/>
    </row>
    <row r="410" spans="2:16">
      <c r="B410" s="968"/>
      <c r="C410" s="1632"/>
      <c r="D410" s="1632"/>
      <c r="E410" s="717"/>
      <c r="F410" s="1502"/>
      <c r="G410" s="1502"/>
      <c r="H410" s="1615"/>
      <c r="I410" s="1615"/>
      <c r="J410" s="968"/>
      <c r="K410" s="1389"/>
      <c r="L410" s="1389"/>
      <c r="M410" s="1389"/>
      <c r="N410" s="1389"/>
      <c r="O410" s="1389"/>
      <c r="P410" s="1389"/>
    </row>
    <row r="411" spans="2:16">
      <c r="B411" s="968"/>
      <c r="C411" s="1293" t="s">
        <v>1687</v>
      </c>
      <c r="D411" s="968"/>
      <c r="E411" s="968"/>
      <c r="F411" s="968"/>
      <c r="G411" s="783" t="str">
        <f>Preferences.moneyunits&amp;"/household"</f>
        <v>£m/household</v>
      </c>
      <c r="H411" s="968"/>
      <c r="I411" s="783" t="str">
        <f>"£/household"</f>
        <v>£/household</v>
      </c>
      <c r="J411" s="968"/>
      <c r="K411" s="1389"/>
      <c r="L411" s="1389"/>
      <c r="M411" s="1389"/>
      <c r="N411" s="1389"/>
      <c r="O411" s="1389"/>
      <c r="P411" s="1389"/>
    </row>
    <row r="412" spans="2:16">
      <c r="B412" s="968"/>
      <c r="C412" s="968"/>
      <c r="D412" s="968"/>
      <c r="E412" s="968"/>
      <c r="F412" s="968"/>
      <c r="G412" s="968"/>
      <c r="H412" s="968"/>
      <c r="I412" s="968"/>
      <c r="J412" s="968"/>
      <c r="K412" s="1389"/>
      <c r="L412" s="1389"/>
      <c r="M412" s="1389"/>
      <c r="N412" s="1389"/>
      <c r="O412" s="1389"/>
      <c r="P412" s="1389"/>
    </row>
    <row r="413" spans="2:16">
      <c r="B413" s="968"/>
      <c r="C413" s="1366" t="s">
        <v>970</v>
      </c>
      <c r="D413" s="1366"/>
      <c r="E413" s="1366"/>
      <c r="F413" s="1368" t="s">
        <v>1107</v>
      </c>
      <c r="G413" s="1367" t="s">
        <v>1105</v>
      </c>
      <c r="H413" s="1368" t="s">
        <v>1107</v>
      </c>
      <c r="I413" s="1348" t="s">
        <v>1105</v>
      </c>
      <c r="J413" s="1292" t="s">
        <v>1796</v>
      </c>
      <c r="K413" s="1280" t="s">
        <v>1844</v>
      </c>
      <c r="L413" s="1389"/>
      <c r="M413" s="1280"/>
      <c r="N413" s="1280"/>
      <c r="O413" s="1389"/>
      <c r="P413" s="1389"/>
    </row>
    <row r="414" spans="2:16">
      <c r="B414" s="968"/>
      <c r="C414" s="1499">
        <v>1</v>
      </c>
      <c r="D414" s="1369" t="s">
        <v>1673</v>
      </c>
      <c r="E414" s="1369"/>
      <c r="F414" s="1507">
        <f t="shared" ref="F414:G417" si="93">H414*GBP</f>
        <v>0</v>
      </c>
      <c r="G414" s="1501">
        <f t="shared" si="93"/>
        <v>0</v>
      </c>
      <c r="H414" s="1505">
        <v>0</v>
      </c>
      <c r="I414" s="1506">
        <v>0</v>
      </c>
      <c r="J414" s="1653">
        <f>((I414+(H414-I414)*0.35))</f>
        <v>0</v>
      </c>
      <c r="K414" s="1389"/>
      <c r="L414" s="1389"/>
      <c r="M414" s="1389"/>
      <c r="N414" s="1389"/>
      <c r="O414" s="1389"/>
      <c r="P414" s="1389"/>
    </row>
    <row r="415" spans="2:16">
      <c r="B415" s="968"/>
      <c r="C415" s="1390">
        <v>2</v>
      </c>
      <c r="D415" s="1390" t="s">
        <v>1672</v>
      </c>
      <c r="E415" s="717"/>
      <c r="F415" s="1508">
        <f t="shared" si="93"/>
        <v>6.9999999999999993E-2</v>
      </c>
      <c r="G415" s="1502">
        <f t="shared" si="93"/>
        <v>4.8000000000000001E-2</v>
      </c>
      <c r="H415" s="1502">
        <v>70000</v>
      </c>
      <c r="I415" s="1502">
        <v>48000</v>
      </c>
      <c r="J415" s="1653">
        <f>((I415+(H415-I415)*0.35))</f>
        <v>55700</v>
      </c>
      <c r="K415" s="1389"/>
      <c r="L415" s="1389"/>
      <c r="M415" s="1389"/>
      <c r="N415" s="1389"/>
      <c r="O415" s="1389"/>
      <c r="P415" s="1389"/>
    </row>
    <row r="416" spans="2:16">
      <c r="B416" s="968"/>
      <c r="C416" s="1390">
        <v>3</v>
      </c>
      <c r="D416" s="1390" t="s">
        <v>1672</v>
      </c>
      <c r="E416" s="717"/>
      <c r="F416" s="1508">
        <f t="shared" si="93"/>
        <v>6.9999999999999993E-2</v>
      </c>
      <c r="G416" s="1502">
        <f t="shared" si="93"/>
        <v>4.8000000000000001E-2</v>
      </c>
      <c r="H416" s="1502">
        <v>70000</v>
      </c>
      <c r="I416" s="1502">
        <v>48000</v>
      </c>
      <c r="J416" s="1653">
        <f>((I416+(H416-I416)*0.35))</f>
        <v>55700</v>
      </c>
      <c r="K416" s="1389"/>
      <c r="L416" s="1389"/>
      <c r="M416" s="1389"/>
      <c r="N416" s="1389"/>
      <c r="O416" s="1389"/>
      <c r="P416" s="1389"/>
    </row>
    <row r="417" spans="2:16">
      <c r="B417" s="968"/>
      <c r="C417" s="1393">
        <v>4</v>
      </c>
      <c r="D417" s="1393" t="s">
        <v>1671</v>
      </c>
      <c r="E417" s="720"/>
      <c r="F417" s="1509">
        <f t="shared" si="93"/>
        <v>7.6762999999999998E-2</v>
      </c>
      <c r="G417" s="1510">
        <f t="shared" si="93"/>
        <v>5.2600000000000001E-2</v>
      </c>
      <c r="H417" s="1503">
        <v>76763</v>
      </c>
      <c r="I417" s="1504">
        <v>52600</v>
      </c>
      <c r="J417" s="1653">
        <f>((I417+(H417-I417)*0.35))</f>
        <v>61057.05</v>
      </c>
      <c r="K417" s="1389"/>
      <c r="L417" s="1389"/>
      <c r="M417" s="1389"/>
      <c r="N417" s="1389"/>
      <c r="O417" s="1389"/>
      <c r="P417" s="1389"/>
    </row>
    <row r="418" spans="2:16">
      <c r="B418" s="968"/>
      <c r="C418" s="1632"/>
      <c r="D418" s="1632"/>
      <c r="E418" s="717"/>
      <c r="F418" s="1502"/>
      <c r="G418" s="1502"/>
      <c r="H418" s="1615"/>
      <c r="I418" s="1615"/>
      <c r="J418" s="968"/>
      <c r="K418" s="1389"/>
      <c r="L418" s="1389"/>
      <c r="M418" s="1389"/>
      <c r="N418" s="1389"/>
      <c r="O418" s="1389"/>
      <c r="P418" s="1389"/>
    </row>
    <row r="419" spans="2:16">
      <c r="B419" s="968"/>
      <c r="C419" s="1389"/>
      <c r="D419" s="1389"/>
      <c r="E419" s="1389"/>
      <c r="F419" s="1389"/>
      <c r="G419" s="1389"/>
      <c r="H419" s="1389"/>
      <c r="I419" s="1389"/>
      <c r="J419" s="1389"/>
      <c r="K419" s="1389"/>
      <c r="L419" s="1389"/>
      <c r="M419" s="1389"/>
      <c r="N419" s="1389"/>
      <c r="O419" s="1389"/>
      <c r="P419" s="1389"/>
    </row>
    <row r="420" spans="2:16" ht="17">
      <c r="B420" s="968"/>
      <c r="C420" s="1673" t="s">
        <v>1789</v>
      </c>
      <c r="D420" s="1389"/>
      <c r="E420" s="1389"/>
      <c r="F420" s="1389"/>
      <c r="G420" s="1389"/>
      <c r="H420" s="1389"/>
      <c r="I420" s="1389"/>
      <c r="J420" s="1389"/>
      <c r="K420" s="1389"/>
      <c r="L420" s="1389"/>
      <c r="M420" s="1389"/>
      <c r="N420" s="1389"/>
      <c r="O420" s="1389"/>
      <c r="P420" s="1389"/>
    </row>
    <row r="421" spans="2:16" ht="6" customHeight="1">
      <c r="B421" s="968"/>
      <c r="C421" s="1389"/>
      <c r="D421" s="1389"/>
      <c r="E421" s="1389"/>
      <c r="F421" s="1389"/>
      <c r="G421" s="1389"/>
      <c r="H421" s="1389"/>
      <c r="I421" s="1389"/>
      <c r="J421" s="1389"/>
      <c r="K421" s="1389"/>
      <c r="L421" s="1389"/>
      <c r="M421" s="1389"/>
      <c r="N421" s="1389"/>
      <c r="O421" s="1389"/>
      <c r="P421" s="1389"/>
    </row>
    <row r="422" spans="2:16">
      <c r="B422" s="968"/>
      <c r="C422" s="1311" t="s">
        <v>1558</v>
      </c>
      <c r="D422" s="1389"/>
      <c r="E422" s="1389"/>
      <c r="F422" s="1389"/>
      <c r="G422" s="1389"/>
      <c r="H422" s="1389"/>
      <c r="I422" s="1389"/>
      <c r="J422" s="1389"/>
      <c r="K422" s="1389"/>
      <c r="L422" s="1389"/>
      <c r="M422" s="1389"/>
      <c r="N422" s="1389"/>
      <c r="O422" s="1389"/>
      <c r="P422" s="1389"/>
    </row>
    <row r="423" spans="2:16" ht="6" customHeight="1">
      <c r="B423" s="968"/>
      <c r="C423" s="968"/>
      <c r="D423" s="1389"/>
      <c r="E423" s="1389"/>
      <c r="F423" s="1389"/>
      <c r="G423" s="1389"/>
      <c r="H423" s="1389"/>
      <c r="I423" s="1389"/>
      <c r="J423" s="1389"/>
      <c r="K423" s="1389"/>
      <c r="L423" s="1389"/>
      <c r="M423" s="1389"/>
      <c r="N423" s="1389"/>
      <c r="O423" s="1389"/>
      <c r="P423" s="1389"/>
    </row>
    <row r="424" spans="2:16">
      <c r="B424" s="968"/>
      <c r="C424" s="968" t="s">
        <v>1689</v>
      </c>
      <c r="D424" s="1389"/>
      <c r="E424" s="1389"/>
      <c r="F424" s="1389"/>
      <c r="G424" s="1389"/>
      <c r="H424" s="1389"/>
      <c r="I424" s="1389"/>
      <c r="J424" s="1389"/>
      <c r="K424" s="1389"/>
      <c r="L424" s="1389"/>
      <c r="M424" s="1389"/>
      <c r="N424" s="1389"/>
      <c r="O424" s="1389"/>
      <c r="P424" s="1389"/>
    </row>
    <row r="425" spans="2:16">
      <c r="B425" s="968"/>
      <c r="C425" s="1389"/>
      <c r="D425" s="1389"/>
      <c r="E425" s="1389"/>
      <c r="F425" s="1389"/>
      <c r="G425" s="1389"/>
      <c r="H425" s="1389"/>
      <c r="I425" s="1389"/>
      <c r="J425" s="1389"/>
      <c r="K425" s="1389"/>
      <c r="L425" s="1389"/>
      <c r="M425" s="1389"/>
      <c r="N425" s="1389"/>
      <c r="O425" s="968" t="str">
        <f>Preferences.moneyunits&amp;"/household"</f>
        <v>£m/household</v>
      </c>
      <c r="P425" s="1389"/>
    </row>
    <row r="426" spans="2:16">
      <c r="B426" s="968"/>
      <c r="C426" s="1547"/>
      <c r="D426" s="1547"/>
      <c r="E426" s="1651" t="s">
        <v>1404</v>
      </c>
      <c r="F426" s="1542">
        <v>2007</v>
      </c>
      <c r="G426" s="1543">
        <v>2010</v>
      </c>
      <c r="H426" s="1543">
        <v>2015</v>
      </c>
      <c r="I426" s="1543">
        <v>2020</v>
      </c>
      <c r="J426" s="1543">
        <v>2025</v>
      </c>
      <c r="K426" s="1543">
        <v>2030</v>
      </c>
      <c r="L426" s="1543">
        <v>2035</v>
      </c>
      <c r="M426" s="1543">
        <v>2040</v>
      </c>
      <c r="N426" s="1543">
        <v>2045</v>
      </c>
      <c r="O426" s="1543">
        <v>2050</v>
      </c>
      <c r="P426" s="1389"/>
    </row>
    <row r="427" spans="2:16">
      <c r="B427" s="968"/>
      <c r="C427" s="789">
        <v>1</v>
      </c>
      <c r="D427" s="1619" t="s">
        <v>926</v>
      </c>
      <c r="E427" s="1652">
        <f t="shared" ref="E427:E439" si="94">(O427-G427)/(O$426-G$426)</f>
        <v>0</v>
      </c>
      <c r="F427" s="1653">
        <f>3087.46796751984*GBP</f>
        <v>3.0874679675198398E-3</v>
      </c>
      <c r="G427" s="1653">
        <f>3087.46796751984*GBP</f>
        <v>3.0874679675198398E-3</v>
      </c>
      <c r="H427" s="1654">
        <f>G427+$E427*(H$426-G$426)</f>
        <v>3.0874679675198398E-3</v>
      </c>
      <c r="I427" s="1654">
        <f t="shared" ref="I427:N427" si="95">H427+$E427*(I$426-H$426)</f>
        <v>3.0874679675198398E-3</v>
      </c>
      <c r="J427" s="1654">
        <f t="shared" si="95"/>
        <v>3.0874679675198398E-3</v>
      </c>
      <c r="K427" s="1654">
        <f t="shared" si="95"/>
        <v>3.0874679675198398E-3</v>
      </c>
      <c r="L427" s="1654">
        <f t="shared" si="95"/>
        <v>3.0874679675198398E-3</v>
      </c>
      <c r="M427" s="1654">
        <f t="shared" si="95"/>
        <v>3.0874679675198398E-3</v>
      </c>
      <c r="N427" s="1654">
        <f t="shared" si="95"/>
        <v>3.0874679675198398E-3</v>
      </c>
      <c r="O427" s="1653">
        <f>3087.46796751984*GBP</f>
        <v>3.0874679675198398E-3</v>
      </c>
      <c r="P427" s="1389"/>
    </row>
    <row r="428" spans="2:16" ht="15">
      <c r="B428" s="763"/>
      <c r="C428" s="789">
        <v>2</v>
      </c>
      <c r="D428" s="1619" t="s">
        <v>927</v>
      </c>
      <c r="E428" s="1652">
        <f t="shared" si="94"/>
        <v>0</v>
      </c>
      <c r="F428" s="1653">
        <f>GBP*3087.46796751984</f>
        <v>3.0874679675198398E-3</v>
      </c>
      <c r="G428" s="1653">
        <f>GBP*3087.46796751984</f>
        <v>3.0874679675198398E-3</v>
      </c>
      <c r="H428" s="1654">
        <f t="shared" ref="H428:N428" si="96">G428+$E428*(H$426-G$426)</f>
        <v>3.0874679675198398E-3</v>
      </c>
      <c r="I428" s="1654">
        <f t="shared" si="96"/>
        <v>3.0874679675198398E-3</v>
      </c>
      <c r="J428" s="1654">
        <f t="shared" si="96"/>
        <v>3.0874679675198398E-3</v>
      </c>
      <c r="K428" s="1654">
        <f t="shared" si="96"/>
        <v>3.0874679675198398E-3</v>
      </c>
      <c r="L428" s="1654">
        <f t="shared" si="96"/>
        <v>3.0874679675198398E-3</v>
      </c>
      <c r="M428" s="1654">
        <f t="shared" si="96"/>
        <v>3.0874679675198398E-3</v>
      </c>
      <c r="N428" s="1654">
        <f t="shared" si="96"/>
        <v>3.0874679675198398E-3</v>
      </c>
      <c r="O428" s="1653">
        <f>GBP*3087.46796751984</f>
        <v>3.0874679675198398E-3</v>
      </c>
      <c r="P428" s="1389"/>
    </row>
    <row r="429" spans="2:16" ht="15">
      <c r="B429" s="763"/>
      <c r="C429" s="789">
        <v>3</v>
      </c>
      <c r="D429" s="1619" t="s">
        <v>669</v>
      </c>
      <c r="E429" s="1652">
        <f t="shared" si="94"/>
        <v>0</v>
      </c>
      <c r="F429" s="1653">
        <f>3500*1.2*GBP</f>
        <v>4.1999999999999997E-3</v>
      </c>
      <c r="G429" s="1653">
        <f>3500*1.2*GBP</f>
        <v>4.1999999999999997E-3</v>
      </c>
      <c r="H429" s="1654">
        <f t="shared" ref="H429:N429" si="97">G429+$E429*(H$426-G$426)</f>
        <v>4.1999999999999997E-3</v>
      </c>
      <c r="I429" s="1654">
        <f t="shared" si="97"/>
        <v>4.1999999999999997E-3</v>
      </c>
      <c r="J429" s="1654">
        <f t="shared" si="97"/>
        <v>4.1999999999999997E-3</v>
      </c>
      <c r="K429" s="1654">
        <f t="shared" si="97"/>
        <v>4.1999999999999997E-3</v>
      </c>
      <c r="L429" s="1654">
        <f t="shared" si="97"/>
        <v>4.1999999999999997E-3</v>
      </c>
      <c r="M429" s="1654">
        <f t="shared" si="97"/>
        <v>4.1999999999999997E-3</v>
      </c>
      <c r="N429" s="1654">
        <f t="shared" si="97"/>
        <v>4.1999999999999997E-3</v>
      </c>
      <c r="O429" s="1653">
        <f>3500*1.2*GBP</f>
        <v>4.1999999999999997E-3</v>
      </c>
      <c r="P429" s="1389"/>
    </row>
    <row r="430" spans="2:16" ht="15">
      <c r="B430" s="763"/>
      <c r="C430" s="789">
        <v>4</v>
      </c>
      <c r="D430" s="1619" t="s">
        <v>671</v>
      </c>
      <c r="E430" s="1652">
        <f t="shared" si="94"/>
        <v>0</v>
      </c>
      <c r="F430" s="1653">
        <f>6480*GBP</f>
        <v>6.4799999999999996E-3</v>
      </c>
      <c r="G430" s="1653">
        <f>6480*GBP</f>
        <v>6.4799999999999996E-3</v>
      </c>
      <c r="H430" s="1654">
        <f t="shared" ref="H430:N430" si="98">G430+$E430*(H$426-G$426)</f>
        <v>6.4799999999999996E-3</v>
      </c>
      <c r="I430" s="1654">
        <f t="shared" si="98"/>
        <v>6.4799999999999996E-3</v>
      </c>
      <c r="J430" s="1654">
        <f t="shared" si="98"/>
        <v>6.4799999999999996E-3</v>
      </c>
      <c r="K430" s="1654">
        <f t="shared" si="98"/>
        <v>6.4799999999999996E-3</v>
      </c>
      <c r="L430" s="1654">
        <f t="shared" si="98"/>
        <v>6.4799999999999996E-3</v>
      </c>
      <c r="M430" s="1654">
        <f t="shared" si="98"/>
        <v>6.4799999999999996E-3</v>
      </c>
      <c r="N430" s="1654">
        <f t="shared" si="98"/>
        <v>6.4799999999999996E-3</v>
      </c>
      <c r="O430" s="1653">
        <f>6480*GBP</f>
        <v>6.4799999999999996E-3</v>
      </c>
      <c r="P430" s="1389"/>
    </row>
    <row r="431" spans="2:16" ht="15">
      <c r="B431" s="763"/>
      <c r="C431" s="789">
        <v>5</v>
      </c>
      <c r="D431" s="1619" t="s">
        <v>670</v>
      </c>
      <c r="E431" s="1652">
        <f t="shared" si="94"/>
        <v>0</v>
      </c>
      <c r="F431" s="1653">
        <f>11320*GBP</f>
        <v>1.132E-2</v>
      </c>
      <c r="G431" s="1653">
        <f>11320*GBP</f>
        <v>1.132E-2</v>
      </c>
      <c r="H431" s="1654">
        <f t="shared" ref="H431:N431" si="99">G431+$E431*(H$426-G$426)</f>
        <v>1.132E-2</v>
      </c>
      <c r="I431" s="1654">
        <f t="shared" si="99"/>
        <v>1.132E-2</v>
      </c>
      <c r="J431" s="1654">
        <f t="shared" si="99"/>
        <v>1.132E-2</v>
      </c>
      <c r="K431" s="1654">
        <f t="shared" si="99"/>
        <v>1.132E-2</v>
      </c>
      <c r="L431" s="1654">
        <f t="shared" si="99"/>
        <v>1.132E-2</v>
      </c>
      <c r="M431" s="1654">
        <f t="shared" si="99"/>
        <v>1.132E-2</v>
      </c>
      <c r="N431" s="1654">
        <f t="shared" si="99"/>
        <v>1.132E-2</v>
      </c>
      <c r="O431" s="1653">
        <f>11320*GBP</f>
        <v>1.132E-2</v>
      </c>
      <c r="P431" s="1389"/>
    </row>
    <row r="432" spans="2:16" ht="15">
      <c r="B432" s="763"/>
      <c r="C432" s="789">
        <v>6</v>
      </c>
      <c r="D432" s="1619" t="s">
        <v>929</v>
      </c>
      <c r="E432" s="1652">
        <f t="shared" si="94"/>
        <v>0</v>
      </c>
      <c r="F432" s="1653">
        <f>11660*GBP</f>
        <v>1.166E-2</v>
      </c>
      <c r="G432" s="1653">
        <f>11660*GBP</f>
        <v>1.166E-2</v>
      </c>
      <c r="H432" s="1654">
        <f t="shared" ref="H432:N432" si="100">G432+$E432*(H$426-G$426)</f>
        <v>1.166E-2</v>
      </c>
      <c r="I432" s="1654">
        <f t="shared" si="100"/>
        <v>1.166E-2</v>
      </c>
      <c r="J432" s="1654">
        <f t="shared" si="100"/>
        <v>1.166E-2</v>
      </c>
      <c r="K432" s="1654">
        <f t="shared" si="100"/>
        <v>1.166E-2</v>
      </c>
      <c r="L432" s="1654">
        <f t="shared" si="100"/>
        <v>1.166E-2</v>
      </c>
      <c r="M432" s="1654">
        <f t="shared" si="100"/>
        <v>1.166E-2</v>
      </c>
      <c r="N432" s="1654">
        <f t="shared" si="100"/>
        <v>1.166E-2</v>
      </c>
      <c r="O432" s="1653">
        <f>11660*GBP</f>
        <v>1.166E-2</v>
      </c>
      <c r="P432" s="1389"/>
    </row>
    <row r="433" spans="2:16" ht="15">
      <c r="B433" s="763"/>
      <c r="C433" s="789">
        <v>7</v>
      </c>
      <c r="D433" s="1619" t="s">
        <v>1587</v>
      </c>
      <c r="E433" s="1652">
        <f t="shared" si="94"/>
        <v>0</v>
      </c>
      <c r="F433" s="1653">
        <f>12720*GBP</f>
        <v>1.2719999999999999E-2</v>
      </c>
      <c r="G433" s="1653">
        <f>12720*GBP</f>
        <v>1.2719999999999999E-2</v>
      </c>
      <c r="H433" s="1654">
        <f t="shared" ref="H433:N433" si="101">G433+$E433*(H$426-G$426)</f>
        <v>1.2719999999999999E-2</v>
      </c>
      <c r="I433" s="1654">
        <f t="shared" si="101"/>
        <v>1.2719999999999999E-2</v>
      </c>
      <c r="J433" s="1654">
        <f t="shared" si="101"/>
        <v>1.2719999999999999E-2</v>
      </c>
      <c r="K433" s="1654">
        <f t="shared" si="101"/>
        <v>1.2719999999999999E-2</v>
      </c>
      <c r="L433" s="1654">
        <f t="shared" si="101"/>
        <v>1.2719999999999999E-2</v>
      </c>
      <c r="M433" s="1654">
        <f t="shared" si="101"/>
        <v>1.2719999999999999E-2</v>
      </c>
      <c r="N433" s="1654">
        <f t="shared" si="101"/>
        <v>1.2719999999999999E-2</v>
      </c>
      <c r="O433" s="1653">
        <f>12720*GBP</f>
        <v>1.2719999999999999E-2</v>
      </c>
      <c r="P433" s="1389"/>
    </row>
    <row r="434" spans="2:16" ht="15">
      <c r="B434" s="763"/>
      <c r="C434" s="789">
        <v>8</v>
      </c>
      <c r="D434" s="1619" t="s">
        <v>930</v>
      </c>
      <c r="E434" s="1652">
        <f t="shared" si="94"/>
        <v>0</v>
      </c>
      <c r="F434" s="1653">
        <f>10808*GBP</f>
        <v>1.0808E-2</v>
      </c>
      <c r="G434" s="1653">
        <f>10808*GBP</f>
        <v>1.0808E-2</v>
      </c>
      <c r="H434" s="1654">
        <f t="shared" ref="H434:N434" si="102">G434+$E434*(H$426-G$426)</f>
        <v>1.0808E-2</v>
      </c>
      <c r="I434" s="1654">
        <f t="shared" si="102"/>
        <v>1.0808E-2</v>
      </c>
      <c r="J434" s="1654">
        <f t="shared" si="102"/>
        <v>1.0808E-2</v>
      </c>
      <c r="K434" s="1654">
        <f t="shared" si="102"/>
        <v>1.0808E-2</v>
      </c>
      <c r="L434" s="1654">
        <f t="shared" si="102"/>
        <v>1.0808E-2</v>
      </c>
      <c r="M434" s="1654">
        <f t="shared" si="102"/>
        <v>1.0808E-2</v>
      </c>
      <c r="N434" s="1654">
        <f t="shared" si="102"/>
        <v>1.0808E-2</v>
      </c>
      <c r="O434" s="1653">
        <f>10808*GBP</f>
        <v>1.0808E-2</v>
      </c>
      <c r="P434" s="1389"/>
    </row>
    <row r="435" spans="2:16" ht="15">
      <c r="B435" s="763"/>
      <c r="C435" s="789">
        <v>9</v>
      </c>
      <c r="D435" s="1619" t="s">
        <v>931</v>
      </c>
      <c r="E435" s="1652">
        <f t="shared" si="94"/>
        <v>0</v>
      </c>
      <c r="F435" s="1653">
        <f>14575*GBP</f>
        <v>1.4574999999999999E-2</v>
      </c>
      <c r="G435" s="1653">
        <f>14575*GBP</f>
        <v>1.4574999999999999E-2</v>
      </c>
      <c r="H435" s="1654">
        <f t="shared" ref="H435:N435" si="103">G435+$E435*(H$426-G$426)</f>
        <v>1.4574999999999999E-2</v>
      </c>
      <c r="I435" s="1654">
        <f t="shared" si="103"/>
        <v>1.4574999999999999E-2</v>
      </c>
      <c r="J435" s="1654">
        <f t="shared" si="103"/>
        <v>1.4574999999999999E-2</v>
      </c>
      <c r="K435" s="1654">
        <f t="shared" si="103"/>
        <v>1.4574999999999999E-2</v>
      </c>
      <c r="L435" s="1654">
        <f t="shared" si="103"/>
        <v>1.4574999999999999E-2</v>
      </c>
      <c r="M435" s="1654">
        <f t="shared" si="103"/>
        <v>1.4574999999999999E-2</v>
      </c>
      <c r="N435" s="1654">
        <f t="shared" si="103"/>
        <v>1.4574999999999999E-2</v>
      </c>
      <c r="O435" s="1653">
        <f>14575*GBP</f>
        <v>1.4574999999999999E-2</v>
      </c>
      <c r="P435" s="1389"/>
    </row>
    <row r="436" spans="2:16" ht="15">
      <c r="B436" s="763"/>
      <c r="C436" s="789">
        <v>10</v>
      </c>
      <c r="D436" s="1619" t="s">
        <v>3</v>
      </c>
      <c r="E436" s="1652">
        <f t="shared" si="94"/>
        <v>0</v>
      </c>
      <c r="F436" s="1653">
        <f>93019.459123407*GBP</f>
        <v>9.3019459123406992E-2</v>
      </c>
      <c r="G436" s="1653">
        <f>93019.459123407*GBP</f>
        <v>9.3019459123406992E-2</v>
      </c>
      <c r="H436" s="1654">
        <f t="shared" ref="H436:N436" si="104">G436+$E436*(H$426-G$426)</f>
        <v>9.3019459123406992E-2</v>
      </c>
      <c r="I436" s="1654">
        <f t="shared" si="104"/>
        <v>9.3019459123406992E-2</v>
      </c>
      <c r="J436" s="1654">
        <f t="shared" si="104"/>
        <v>9.3019459123406992E-2</v>
      </c>
      <c r="K436" s="1654">
        <f t="shared" si="104"/>
        <v>9.3019459123406992E-2</v>
      </c>
      <c r="L436" s="1654">
        <f t="shared" si="104"/>
        <v>9.3019459123406992E-2</v>
      </c>
      <c r="M436" s="1654">
        <f t="shared" si="104"/>
        <v>9.3019459123406992E-2</v>
      </c>
      <c r="N436" s="1654">
        <f t="shared" si="104"/>
        <v>9.3019459123406992E-2</v>
      </c>
      <c r="O436" s="1653">
        <f>93019.459123407*GBP</f>
        <v>9.3019459123406992E-2</v>
      </c>
      <c r="P436" s="1389"/>
    </row>
    <row r="437" spans="2:16" ht="15">
      <c r="B437" s="763"/>
      <c r="C437" s="789">
        <v>11</v>
      </c>
      <c r="D437" s="1619" t="s">
        <v>1102</v>
      </c>
      <c r="E437" s="1652">
        <f t="shared" si="94"/>
        <v>0</v>
      </c>
      <c r="F437" s="1653">
        <f>23500*GBP</f>
        <v>2.35E-2</v>
      </c>
      <c r="G437" s="1653">
        <f>23500*GBP</f>
        <v>2.35E-2</v>
      </c>
      <c r="H437" s="1654">
        <f t="shared" ref="H437:N437" si="105">G437+$E437*(H$426-G$426)</f>
        <v>2.35E-2</v>
      </c>
      <c r="I437" s="1654">
        <f t="shared" si="105"/>
        <v>2.35E-2</v>
      </c>
      <c r="J437" s="1654">
        <f t="shared" si="105"/>
        <v>2.35E-2</v>
      </c>
      <c r="K437" s="1654">
        <f t="shared" si="105"/>
        <v>2.35E-2</v>
      </c>
      <c r="L437" s="1654">
        <f t="shared" si="105"/>
        <v>2.35E-2</v>
      </c>
      <c r="M437" s="1654">
        <f t="shared" si="105"/>
        <v>2.35E-2</v>
      </c>
      <c r="N437" s="1654">
        <f t="shared" si="105"/>
        <v>2.35E-2</v>
      </c>
      <c r="O437" s="1653">
        <f>23500*GBP</f>
        <v>2.35E-2</v>
      </c>
      <c r="P437" s="1389"/>
    </row>
    <row r="438" spans="2:16" ht="15">
      <c r="B438" s="1173"/>
      <c r="C438" s="789">
        <v>12</v>
      </c>
      <c r="D438" s="1619" t="s">
        <v>1103</v>
      </c>
      <c r="E438" s="1652">
        <f t="shared" si="94"/>
        <v>0</v>
      </c>
      <c r="F438" s="1653">
        <f>34000*GBP</f>
        <v>3.3999999999999996E-2</v>
      </c>
      <c r="G438" s="1653">
        <f>34000*GBP</f>
        <v>3.3999999999999996E-2</v>
      </c>
      <c r="H438" s="1654">
        <f t="shared" ref="H438:N438" si="106">G438+$E438*(H$426-G$426)</f>
        <v>3.3999999999999996E-2</v>
      </c>
      <c r="I438" s="1654">
        <f t="shared" si="106"/>
        <v>3.3999999999999996E-2</v>
      </c>
      <c r="J438" s="1654">
        <f t="shared" si="106"/>
        <v>3.3999999999999996E-2</v>
      </c>
      <c r="K438" s="1654">
        <f t="shared" si="106"/>
        <v>3.3999999999999996E-2</v>
      </c>
      <c r="L438" s="1654">
        <f t="shared" si="106"/>
        <v>3.3999999999999996E-2</v>
      </c>
      <c r="M438" s="1654">
        <f t="shared" si="106"/>
        <v>3.3999999999999996E-2</v>
      </c>
      <c r="N438" s="1654">
        <f t="shared" si="106"/>
        <v>3.3999999999999996E-2</v>
      </c>
      <c r="O438" s="1653">
        <f>34000*GBP</f>
        <v>3.3999999999999996E-2</v>
      </c>
      <c r="P438" s="968"/>
    </row>
    <row r="439" spans="2:16" ht="15">
      <c r="B439" s="1173"/>
      <c r="C439" s="719">
        <v>13</v>
      </c>
      <c r="D439" s="1660" t="s">
        <v>932</v>
      </c>
      <c r="E439" s="1661">
        <f t="shared" si="94"/>
        <v>0</v>
      </c>
      <c r="F439" s="1662">
        <f>150*GBP</f>
        <v>1.4999999999999999E-4</v>
      </c>
      <c r="G439" s="1662">
        <f>150*GBP</f>
        <v>1.4999999999999999E-4</v>
      </c>
      <c r="H439" s="1663">
        <f t="shared" ref="H439:N439" si="107">G439+$E439*(H$426-G$426)</f>
        <v>1.4999999999999999E-4</v>
      </c>
      <c r="I439" s="1663">
        <f t="shared" si="107"/>
        <v>1.4999999999999999E-4</v>
      </c>
      <c r="J439" s="1663">
        <f t="shared" si="107"/>
        <v>1.4999999999999999E-4</v>
      </c>
      <c r="K439" s="1663">
        <f t="shared" si="107"/>
        <v>1.4999999999999999E-4</v>
      </c>
      <c r="L439" s="1663">
        <f t="shared" si="107"/>
        <v>1.4999999999999999E-4</v>
      </c>
      <c r="M439" s="1663">
        <f t="shared" si="107"/>
        <v>1.4999999999999999E-4</v>
      </c>
      <c r="N439" s="1663">
        <f t="shared" si="107"/>
        <v>1.4999999999999999E-4</v>
      </c>
      <c r="O439" s="1662">
        <f>150*GBP</f>
        <v>1.4999999999999999E-4</v>
      </c>
      <c r="P439" s="968"/>
    </row>
    <row r="440" spans="2:16" ht="15">
      <c r="B440" s="1173"/>
      <c r="C440" s="968"/>
      <c r="D440" s="968"/>
      <c r="E440" s="1551"/>
      <c r="F440" s="1512"/>
      <c r="G440" s="1548"/>
      <c r="H440" s="1552"/>
      <c r="I440" s="1552"/>
      <c r="J440" s="1552"/>
      <c r="K440" s="1552"/>
      <c r="L440" s="1552"/>
      <c r="M440" s="1552"/>
      <c r="N440" s="1552"/>
      <c r="O440" s="1552"/>
      <c r="P440" s="968"/>
    </row>
    <row r="441" spans="2:16">
      <c r="B441" s="968"/>
      <c r="C441" s="1389"/>
      <c r="D441" s="1389"/>
      <c r="E441" s="1389"/>
      <c r="F441" s="1389"/>
      <c r="G441" s="1389"/>
      <c r="H441" s="1389"/>
      <c r="I441" s="1389"/>
      <c r="J441" s="1389"/>
      <c r="K441" s="1389"/>
      <c r="L441" s="1389"/>
      <c r="M441" s="1389"/>
      <c r="N441" s="1389"/>
      <c r="O441" s="1389"/>
      <c r="P441" s="968"/>
    </row>
    <row r="442" spans="2:16">
      <c r="B442" s="968"/>
      <c r="C442" s="1612">
        <v>1</v>
      </c>
      <c r="D442" s="1612" t="s">
        <v>1193</v>
      </c>
      <c r="E442" s="1668">
        <f>(O442-G442)/(O$426-G$426)</f>
        <v>0</v>
      </c>
      <c r="F442" s="1674">
        <f t="shared" ref="F442:G444" si="108">2963.72596246674*GBP</f>
        <v>2.9637259624667399E-3</v>
      </c>
      <c r="G442" s="1674">
        <f t="shared" si="108"/>
        <v>2.9637259624667399E-3</v>
      </c>
      <c r="H442" s="1659">
        <f>G442+$E442*(H$426-G$426)</f>
        <v>2.9637259624667399E-3</v>
      </c>
      <c r="I442" s="1659">
        <f t="shared" ref="I442:N442" si="109">H442+$E442*(I$426-H$426)</f>
        <v>2.9637259624667399E-3</v>
      </c>
      <c r="J442" s="1659">
        <f t="shared" si="109"/>
        <v>2.9637259624667399E-3</v>
      </c>
      <c r="K442" s="1659">
        <f t="shared" si="109"/>
        <v>2.9637259624667399E-3</v>
      </c>
      <c r="L442" s="1659">
        <f t="shared" si="109"/>
        <v>2.9637259624667399E-3</v>
      </c>
      <c r="M442" s="1659">
        <f t="shared" si="109"/>
        <v>2.9637259624667399E-3</v>
      </c>
      <c r="N442" s="1659">
        <f t="shared" si="109"/>
        <v>2.9637259624667399E-3</v>
      </c>
      <c r="O442" s="1674">
        <f>2963.72596246674*GBP</f>
        <v>2.9637259624667399E-3</v>
      </c>
      <c r="P442" s="968"/>
    </row>
    <row r="443" spans="2:16">
      <c r="B443" s="968"/>
      <c r="C443" s="968">
        <v>2</v>
      </c>
      <c r="D443" s="968" t="s">
        <v>1194</v>
      </c>
      <c r="E443" s="1631">
        <f t="shared" ref="E443:E444" si="110">(O443-G443)/(O$426-G$426)</f>
        <v>0</v>
      </c>
      <c r="F443" s="1511">
        <f t="shared" si="108"/>
        <v>2.9637259624667399E-3</v>
      </c>
      <c r="G443" s="1511">
        <f t="shared" si="108"/>
        <v>2.9637259624667399E-3</v>
      </c>
      <c r="H443" s="1654">
        <f t="shared" ref="H443:N443" si="111">G443+$E443*(H$426-G$426)</f>
        <v>2.9637259624667399E-3</v>
      </c>
      <c r="I443" s="1654">
        <f t="shared" si="111"/>
        <v>2.9637259624667399E-3</v>
      </c>
      <c r="J443" s="1654">
        <f t="shared" si="111"/>
        <v>2.9637259624667399E-3</v>
      </c>
      <c r="K443" s="1654">
        <f t="shared" si="111"/>
        <v>2.9637259624667399E-3</v>
      </c>
      <c r="L443" s="1654">
        <f t="shared" si="111"/>
        <v>2.9637259624667399E-3</v>
      </c>
      <c r="M443" s="1654">
        <f t="shared" si="111"/>
        <v>2.9637259624667399E-3</v>
      </c>
      <c r="N443" s="1654">
        <f t="shared" si="111"/>
        <v>2.9637259624667399E-3</v>
      </c>
      <c r="O443" s="1511">
        <f>2963.72596246674*GBP</f>
        <v>2.9637259624667399E-3</v>
      </c>
      <c r="P443" s="968"/>
    </row>
    <row r="444" spans="2:16">
      <c r="B444" s="968"/>
      <c r="C444" s="1392">
        <v>3</v>
      </c>
      <c r="D444" s="1392" t="s">
        <v>1110</v>
      </c>
      <c r="E444" s="1669">
        <f t="shared" si="110"/>
        <v>0</v>
      </c>
      <c r="F444" s="1675">
        <f t="shared" si="108"/>
        <v>2.9637259624667399E-3</v>
      </c>
      <c r="G444" s="1675">
        <f t="shared" si="108"/>
        <v>2.9637259624667399E-3</v>
      </c>
      <c r="H444" s="1663">
        <f t="shared" ref="H444:N444" si="112">G444+$E444*(H$426-G$426)</f>
        <v>2.9637259624667399E-3</v>
      </c>
      <c r="I444" s="1663">
        <f t="shared" si="112"/>
        <v>2.9637259624667399E-3</v>
      </c>
      <c r="J444" s="1663">
        <f t="shared" si="112"/>
        <v>2.9637259624667399E-3</v>
      </c>
      <c r="K444" s="1663">
        <f t="shared" si="112"/>
        <v>2.9637259624667399E-3</v>
      </c>
      <c r="L444" s="1663">
        <f t="shared" si="112"/>
        <v>2.9637259624667399E-3</v>
      </c>
      <c r="M444" s="1663">
        <f t="shared" si="112"/>
        <v>2.9637259624667399E-3</v>
      </c>
      <c r="N444" s="1663">
        <f t="shared" si="112"/>
        <v>2.9637259624667399E-3</v>
      </c>
      <c r="O444" s="1675">
        <f>2963.72596246674*GBP</f>
        <v>2.9637259624667399E-3</v>
      </c>
      <c r="P444" s="968"/>
    </row>
    <row r="445" spans="2:16">
      <c r="B445" s="968"/>
      <c r="C445" s="1389"/>
      <c r="D445" s="1389"/>
      <c r="E445" s="1389"/>
      <c r="F445" s="1389"/>
      <c r="G445" s="1389"/>
      <c r="H445" s="1389"/>
      <c r="I445" s="1389"/>
      <c r="J445" s="1389"/>
      <c r="K445" s="1389"/>
      <c r="L445" s="1389"/>
      <c r="M445" s="1389"/>
      <c r="N445" s="1389"/>
      <c r="O445" s="1389"/>
      <c r="P445" s="968"/>
    </row>
    <row r="446" spans="2:16">
      <c r="B446" s="968"/>
      <c r="C446" s="968"/>
      <c r="D446" s="968"/>
      <c r="E446" s="1551"/>
      <c r="F446" s="1512"/>
      <c r="G446" s="1512"/>
      <c r="H446" s="1513"/>
      <c r="I446" s="1513"/>
      <c r="J446" s="1513"/>
      <c r="K446" s="1513"/>
      <c r="L446" s="1513"/>
      <c r="M446" s="1513"/>
      <c r="N446" s="1513"/>
      <c r="O446" s="1550"/>
      <c r="P446" s="1389"/>
    </row>
    <row r="447" spans="2:16">
      <c r="B447" s="968"/>
      <c r="C447" s="968" t="s">
        <v>1790</v>
      </c>
      <c r="D447" s="1389"/>
      <c r="E447" s="1389"/>
      <c r="F447" s="1389"/>
      <c r="G447" s="1389"/>
      <c r="H447" s="1389"/>
      <c r="I447" s="1389"/>
      <c r="J447" s="1389"/>
      <c r="K447" s="1389"/>
      <c r="L447" s="1389"/>
      <c r="M447" s="1389"/>
      <c r="N447" s="1389"/>
      <c r="O447" s="1389"/>
      <c r="P447" s="1389"/>
    </row>
    <row r="448" spans="2:16">
      <c r="B448" s="968"/>
      <c r="C448" s="1389"/>
      <c r="D448" s="1389"/>
      <c r="E448" s="1389"/>
      <c r="F448" s="1389"/>
      <c r="G448" s="1389"/>
      <c r="H448" s="1389"/>
      <c r="I448" s="1389"/>
      <c r="J448" s="1389"/>
      <c r="K448" s="1389"/>
      <c r="L448" s="1389"/>
      <c r="M448" s="1389"/>
      <c r="N448" s="1389"/>
      <c r="O448" s="968" t="str">
        <f>Preferences.moneyunits&amp;"/household"</f>
        <v>£m/household</v>
      </c>
      <c r="P448" s="1389"/>
    </row>
    <row r="449" spans="2:16">
      <c r="B449" s="968"/>
      <c r="C449" s="1547"/>
      <c r="D449" s="1547"/>
      <c r="E449" s="1672" t="s">
        <v>1404</v>
      </c>
      <c r="F449" s="1670">
        <v>2007</v>
      </c>
      <c r="G449" s="1671">
        <v>2010</v>
      </c>
      <c r="H449" s="1671">
        <v>2015</v>
      </c>
      <c r="I449" s="1671">
        <v>2020</v>
      </c>
      <c r="J449" s="1543">
        <v>2025</v>
      </c>
      <c r="K449" s="1543">
        <v>2030</v>
      </c>
      <c r="L449" s="1543">
        <v>2035</v>
      </c>
      <c r="M449" s="1543">
        <v>2040</v>
      </c>
      <c r="N449" s="1671">
        <v>2045</v>
      </c>
      <c r="O449" s="1671">
        <v>2050</v>
      </c>
      <c r="P449" s="1389"/>
    </row>
    <row r="450" spans="2:16">
      <c r="B450" s="968"/>
      <c r="C450" s="1655">
        <v>1</v>
      </c>
      <c r="D450" s="1664" t="s">
        <v>926</v>
      </c>
      <c r="E450" s="1657">
        <f t="shared" ref="E450:E462" si="113">(O450-G450)/(O$449-G$449)</f>
        <v>0</v>
      </c>
      <c r="F450" s="1658">
        <f>((F471+(F427-F471)*0.35))</f>
        <v>2.7529922710385242E-3</v>
      </c>
      <c r="G450" s="1658">
        <f>((G471+(G427-G471)*0.35))</f>
        <v>2.7529922710385242E-3</v>
      </c>
      <c r="H450" s="1659">
        <f t="shared" ref="H450:N462" si="114">G450+$E450*(H$449-G$449)</f>
        <v>2.7529922710385242E-3</v>
      </c>
      <c r="I450" s="1659">
        <f t="shared" si="114"/>
        <v>2.7529922710385242E-3</v>
      </c>
      <c r="J450" s="1659">
        <f t="shared" si="114"/>
        <v>2.7529922710385242E-3</v>
      </c>
      <c r="K450" s="1659">
        <f t="shared" si="114"/>
        <v>2.7529922710385242E-3</v>
      </c>
      <c r="L450" s="1659">
        <f t="shared" si="114"/>
        <v>2.7529922710385242E-3</v>
      </c>
      <c r="M450" s="1659">
        <f t="shared" si="114"/>
        <v>2.7529922710385242E-3</v>
      </c>
      <c r="N450" s="1659">
        <f t="shared" si="114"/>
        <v>2.7529922710385242E-3</v>
      </c>
      <c r="O450" s="1658">
        <f>((O471+(O427-O471)*0.35))</f>
        <v>2.7529922710385242E-3</v>
      </c>
      <c r="P450" s="1389"/>
    </row>
    <row r="451" spans="2:16">
      <c r="B451" s="1389"/>
      <c r="C451" s="789">
        <v>2</v>
      </c>
      <c r="D451" s="1541" t="s">
        <v>927</v>
      </c>
      <c r="E451" s="1652">
        <f t="shared" si="113"/>
        <v>0</v>
      </c>
      <c r="F451" s="1653">
        <f t="shared" ref="F451:G451" si="115">((F472+(F428-F472)*0.35))</f>
        <v>2.7529922710385242E-3</v>
      </c>
      <c r="G451" s="1653">
        <f t="shared" si="115"/>
        <v>2.7529922710385242E-3</v>
      </c>
      <c r="H451" s="1654">
        <f t="shared" si="114"/>
        <v>2.7529922710385242E-3</v>
      </c>
      <c r="I451" s="1654">
        <f t="shared" si="114"/>
        <v>2.7529922710385242E-3</v>
      </c>
      <c r="J451" s="1654">
        <f t="shared" si="114"/>
        <v>2.7529922710385242E-3</v>
      </c>
      <c r="K451" s="1654">
        <f t="shared" si="114"/>
        <v>2.7529922710385242E-3</v>
      </c>
      <c r="L451" s="1654">
        <f t="shared" si="114"/>
        <v>2.7529922710385242E-3</v>
      </c>
      <c r="M451" s="1654">
        <f t="shared" si="114"/>
        <v>2.7529922710385242E-3</v>
      </c>
      <c r="N451" s="1654">
        <f t="shared" si="114"/>
        <v>2.7529922710385242E-3</v>
      </c>
      <c r="O451" s="1653">
        <f t="shared" ref="O451:O462" si="116">((O472+(O428-O472)*0.35))</f>
        <v>2.7529922710385242E-3</v>
      </c>
      <c r="P451" s="1389"/>
    </row>
    <row r="452" spans="2:16">
      <c r="B452" s="1389"/>
      <c r="C452" s="789">
        <v>3</v>
      </c>
      <c r="D452" s="1541" t="s">
        <v>669</v>
      </c>
      <c r="E452" s="1652">
        <f t="shared" si="113"/>
        <v>0</v>
      </c>
      <c r="F452" s="1653">
        <f t="shared" ref="F452:G452" si="117">((F473+(F429-F473)*0.35))</f>
        <v>3.29E-3</v>
      </c>
      <c r="G452" s="1653">
        <f t="shared" si="117"/>
        <v>3.29E-3</v>
      </c>
      <c r="H452" s="1654">
        <f t="shared" si="114"/>
        <v>3.29E-3</v>
      </c>
      <c r="I452" s="1654">
        <f t="shared" si="114"/>
        <v>3.29E-3</v>
      </c>
      <c r="J452" s="1654">
        <f t="shared" si="114"/>
        <v>3.29E-3</v>
      </c>
      <c r="K452" s="1654">
        <f t="shared" si="114"/>
        <v>3.29E-3</v>
      </c>
      <c r="L452" s="1654">
        <f t="shared" si="114"/>
        <v>3.29E-3</v>
      </c>
      <c r="M452" s="1654">
        <f t="shared" si="114"/>
        <v>3.29E-3</v>
      </c>
      <c r="N452" s="1654">
        <f t="shared" si="114"/>
        <v>3.29E-3</v>
      </c>
      <c r="O452" s="1653">
        <f t="shared" si="116"/>
        <v>3.29E-3</v>
      </c>
      <c r="P452" s="1389"/>
    </row>
    <row r="453" spans="2:16">
      <c r="B453" s="1389"/>
      <c r="C453" s="789">
        <v>4</v>
      </c>
      <c r="D453" s="1541" t="s">
        <v>671</v>
      </c>
      <c r="E453" s="1652">
        <f t="shared" si="113"/>
        <v>0</v>
      </c>
      <c r="F453" s="1653">
        <f t="shared" ref="F453:G453" si="118">((F474+(F430-F474)*0.35))</f>
        <v>4.6990000000000001E-3</v>
      </c>
      <c r="G453" s="1653">
        <f t="shared" si="118"/>
        <v>4.6990000000000001E-3</v>
      </c>
      <c r="H453" s="1654">
        <f t="shared" si="114"/>
        <v>4.6990000000000001E-3</v>
      </c>
      <c r="I453" s="1654">
        <f t="shared" si="114"/>
        <v>4.6990000000000001E-3</v>
      </c>
      <c r="J453" s="1654">
        <f t="shared" si="114"/>
        <v>4.6990000000000001E-3</v>
      </c>
      <c r="K453" s="1654">
        <f t="shared" si="114"/>
        <v>4.6990000000000001E-3</v>
      </c>
      <c r="L453" s="1654">
        <f t="shared" si="114"/>
        <v>4.6990000000000001E-3</v>
      </c>
      <c r="M453" s="1654">
        <f t="shared" si="114"/>
        <v>4.6990000000000001E-3</v>
      </c>
      <c r="N453" s="1654">
        <f t="shared" si="114"/>
        <v>4.6990000000000001E-3</v>
      </c>
      <c r="O453" s="1653">
        <f t="shared" si="116"/>
        <v>4.6990000000000001E-3</v>
      </c>
      <c r="P453" s="1389"/>
    </row>
    <row r="454" spans="2:16">
      <c r="B454" s="1389"/>
      <c r="C454" s="789">
        <v>5</v>
      </c>
      <c r="D454" s="1541" t="s">
        <v>670</v>
      </c>
      <c r="E454" s="1652">
        <f t="shared" si="113"/>
        <v>0</v>
      </c>
      <c r="F454" s="1653">
        <f t="shared" ref="F454:G454" si="119">((F475+(F431-F475)*0.35))</f>
        <v>7.3289999999999996E-3</v>
      </c>
      <c r="G454" s="1653">
        <f t="shared" si="119"/>
        <v>7.3289999999999996E-3</v>
      </c>
      <c r="H454" s="1654">
        <f t="shared" si="114"/>
        <v>7.3289999999999996E-3</v>
      </c>
      <c r="I454" s="1654">
        <f t="shared" si="114"/>
        <v>7.3289999999999996E-3</v>
      </c>
      <c r="J454" s="1654">
        <f t="shared" si="114"/>
        <v>7.3289999999999996E-3</v>
      </c>
      <c r="K454" s="1654">
        <f t="shared" si="114"/>
        <v>7.3289999999999996E-3</v>
      </c>
      <c r="L454" s="1654">
        <f t="shared" si="114"/>
        <v>7.3289999999999996E-3</v>
      </c>
      <c r="M454" s="1654">
        <f t="shared" si="114"/>
        <v>7.3289999999999996E-3</v>
      </c>
      <c r="N454" s="1654">
        <f t="shared" si="114"/>
        <v>7.3289999999999996E-3</v>
      </c>
      <c r="O454" s="1653">
        <f t="shared" si="116"/>
        <v>7.3289999999999996E-3</v>
      </c>
      <c r="P454" s="1389"/>
    </row>
    <row r="455" spans="2:16">
      <c r="B455" s="1389"/>
      <c r="C455" s="789">
        <v>6</v>
      </c>
      <c r="D455" s="1541" t="s">
        <v>929</v>
      </c>
      <c r="E455" s="1652">
        <f t="shared" si="113"/>
        <v>0</v>
      </c>
      <c r="F455" s="1653">
        <f t="shared" ref="F455:G455" si="120">((F476+(F432-F476)*0.35))</f>
        <v>1.0905999999999999E-2</v>
      </c>
      <c r="G455" s="1653">
        <f t="shared" si="120"/>
        <v>1.0905999999999999E-2</v>
      </c>
      <c r="H455" s="1654">
        <f t="shared" si="114"/>
        <v>1.0905999999999999E-2</v>
      </c>
      <c r="I455" s="1654">
        <f t="shared" si="114"/>
        <v>1.0905999999999999E-2</v>
      </c>
      <c r="J455" s="1654">
        <f t="shared" si="114"/>
        <v>1.0905999999999999E-2</v>
      </c>
      <c r="K455" s="1654">
        <f t="shared" si="114"/>
        <v>1.0905999999999999E-2</v>
      </c>
      <c r="L455" s="1654">
        <f t="shared" si="114"/>
        <v>1.0905999999999999E-2</v>
      </c>
      <c r="M455" s="1654">
        <f t="shared" si="114"/>
        <v>1.0905999999999999E-2</v>
      </c>
      <c r="N455" s="1654">
        <f t="shared" si="114"/>
        <v>1.0905999999999999E-2</v>
      </c>
      <c r="O455" s="1653">
        <f t="shared" si="116"/>
        <v>1.0905999999999999E-2</v>
      </c>
      <c r="P455" s="1389"/>
    </row>
    <row r="456" spans="2:16">
      <c r="B456" s="1389"/>
      <c r="C456" s="789">
        <v>7</v>
      </c>
      <c r="D456" s="1541" t="s">
        <v>1587</v>
      </c>
      <c r="E456" s="1652">
        <f t="shared" si="113"/>
        <v>0</v>
      </c>
      <c r="F456" s="1653">
        <f t="shared" ref="F456:G456" si="121">((F477+(F433-F477)*0.35))</f>
        <v>1.0952E-2</v>
      </c>
      <c r="G456" s="1653">
        <f t="shared" si="121"/>
        <v>1.0952E-2</v>
      </c>
      <c r="H456" s="1654">
        <f t="shared" si="114"/>
        <v>1.0952E-2</v>
      </c>
      <c r="I456" s="1654">
        <f t="shared" si="114"/>
        <v>1.0952E-2</v>
      </c>
      <c r="J456" s="1654">
        <f t="shared" si="114"/>
        <v>1.0952E-2</v>
      </c>
      <c r="K456" s="1654">
        <f t="shared" si="114"/>
        <v>1.0952E-2</v>
      </c>
      <c r="L456" s="1654">
        <f t="shared" si="114"/>
        <v>1.0952E-2</v>
      </c>
      <c r="M456" s="1654">
        <f t="shared" si="114"/>
        <v>1.0952E-2</v>
      </c>
      <c r="N456" s="1654">
        <f t="shared" si="114"/>
        <v>1.0952E-2</v>
      </c>
      <c r="O456" s="1653">
        <f t="shared" si="116"/>
        <v>1.0952E-2</v>
      </c>
      <c r="P456" s="1389"/>
    </row>
    <row r="457" spans="2:16">
      <c r="B457" s="1389"/>
      <c r="C457" s="789">
        <v>8</v>
      </c>
      <c r="D457" s="1541" t="s">
        <v>930</v>
      </c>
      <c r="E457" s="1652">
        <f t="shared" si="113"/>
        <v>-6.1879999999999984E-5</v>
      </c>
      <c r="F457" s="1653">
        <f t="shared" ref="F457:G457" si="122">((F478+(F434-F478)*0.35))</f>
        <v>9.2427999999999989E-3</v>
      </c>
      <c r="G457" s="1653">
        <f t="shared" si="122"/>
        <v>9.2427999999999989E-3</v>
      </c>
      <c r="H457" s="1654">
        <f t="shared" si="114"/>
        <v>8.9333999999999993E-3</v>
      </c>
      <c r="I457" s="1654">
        <f t="shared" si="114"/>
        <v>8.6239999999999997E-3</v>
      </c>
      <c r="J457" s="1654">
        <f t="shared" si="114"/>
        <v>8.3146000000000001E-3</v>
      </c>
      <c r="K457" s="1654">
        <f t="shared" si="114"/>
        <v>8.0052000000000005E-3</v>
      </c>
      <c r="L457" s="1654">
        <f t="shared" si="114"/>
        <v>7.6958000000000009E-3</v>
      </c>
      <c r="M457" s="1654">
        <f t="shared" si="114"/>
        <v>7.3864000000000013E-3</v>
      </c>
      <c r="N457" s="1654">
        <f t="shared" si="114"/>
        <v>7.0770000000000017E-3</v>
      </c>
      <c r="O457" s="1653">
        <f t="shared" si="116"/>
        <v>6.7675999999999995E-3</v>
      </c>
      <c r="P457" s="1389"/>
    </row>
    <row r="458" spans="2:16">
      <c r="B458" s="1389"/>
      <c r="C458" s="789">
        <v>9</v>
      </c>
      <c r="D458" s="1541" t="s">
        <v>931</v>
      </c>
      <c r="E458" s="1652">
        <f t="shared" si="113"/>
        <v>-2.4131249999999977E-5</v>
      </c>
      <c r="F458" s="1653">
        <f t="shared" ref="F458:G458" si="123">((F479+(F435-F479)*0.35))</f>
        <v>1.0749749999999999E-2</v>
      </c>
      <c r="G458" s="1653">
        <f t="shared" si="123"/>
        <v>1.0749749999999999E-2</v>
      </c>
      <c r="H458" s="1654">
        <f t="shared" si="114"/>
        <v>1.0629093749999999E-2</v>
      </c>
      <c r="I458" s="1654">
        <f t="shared" si="114"/>
        <v>1.0508437499999999E-2</v>
      </c>
      <c r="J458" s="1654">
        <f t="shared" si="114"/>
        <v>1.0387781249999999E-2</v>
      </c>
      <c r="K458" s="1654">
        <f t="shared" si="114"/>
        <v>1.0267124999999998E-2</v>
      </c>
      <c r="L458" s="1654">
        <f t="shared" si="114"/>
        <v>1.0146468749999998E-2</v>
      </c>
      <c r="M458" s="1654">
        <f t="shared" si="114"/>
        <v>1.0025812499999998E-2</v>
      </c>
      <c r="N458" s="1654">
        <f t="shared" si="114"/>
        <v>9.9051562499999982E-3</v>
      </c>
      <c r="O458" s="1653">
        <f t="shared" si="116"/>
        <v>9.7844999999999998E-3</v>
      </c>
      <c r="P458" s="1389"/>
    </row>
    <row r="459" spans="2:16">
      <c r="B459" s="1389"/>
      <c r="C459" s="789">
        <v>10</v>
      </c>
      <c r="D459" s="1541" t="s">
        <v>3</v>
      </c>
      <c r="E459" s="1652">
        <f t="shared" si="113"/>
        <v>0</v>
      </c>
      <c r="F459" s="1653">
        <f t="shared" ref="F459:G459" si="124">((F480+(F436-F480)*0.35))</f>
        <v>5.3231026836597292E-2</v>
      </c>
      <c r="G459" s="1653">
        <f t="shared" si="124"/>
        <v>5.3231026836597292E-2</v>
      </c>
      <c r="H459" s="1654">
        <f t="shared" si="114"/>
        <v>5.3231026836597292E-2</v>
      </c>
      <c r="I459" s="1654">
        <f t="shared" si="114"/>
        <v>5.3231026836597292E-2</v>
      </c>
      <c r="J459" s="1654">
        <f t="shared" si="114"/>
        <v>5.3231026836597292E-2</v>
      </c>
      <c r="K459" s="1654">
        <f t="shared" si="114"/>
        <v>5.3231026836597292E-2</v>
      </c>
      <c r="L459" s="1654">
        <f t="shared" si="114"/>
        <v>5.3231026836597292E-2</v>
      </c>
      <c r="M459" s="1654">
        <f t="shared" si="114"/>
        <v>5.3231026836597292E-2</v>
      </c>
      <c r="N459" s="1654">
        <f t="shared" si="114"/>
        <v>5.3231026836597292E-2</v>
      </c>
      <c r="O459" s="1653">
        <f t="shared" si="116"/>
        <v>5.3231026836597292E-2</v>
      </c>
      <c r="P459" s="1389"/>
    </row>
    <row r="460" spans="2:16">
      <c r="B460" s="1389"/>
      <c r="C460" s="789">
        <v>11</v>
      </c>
      <c r="D460" s="1541" t="s">
        <v>1102</v>
      </c>
      <c r="E460" s="1652">
        <f t="shared" si="113"/>
        <v>0</v>
      </c>
      <c r="F460" s="1653">
        <f t="shared" ref="F460:G460" si="125">((F481+(F437-F481)*0.35))</f>
        <v>1.9157999999999998E-2</v>
      </c>
      <c r="G460" s="1653">
        <f t="shared" si="125"/>
        <v>1.9157999999999998E-2</v>
      </c>
      <c r="H460" s="1654">
        <f t="shared" si="114"/>
        <v>1.9157999999999998E-2</v>
      </c>
      <c r="I460" s="1654">
        <f t="shared" si="114"/>
        <v>1.9157999999999998E-2</v>
      </c>
      <c r="J460" s="1654">
        <f t="shared" si="114"/>
        <v>1.9157999999999998E-2</v>
      </c>
      <c r="K460" s="1654">
        <f t="shared" si="114"/>
        <v>1.9157999999999998E-2</v>
      </c>
      <c r="L460" s="1654">
        <f t="shared" si="114"/>
        <v>1.9157999999999998E-2</v>
      </c>
      <c r="M460" s="1654">
        <f t="shared" si="114"/>
        <v>1.9157999999999998E-2</v>
      </c>
      <c r="N460" s="1654">
        <f t="shared" si="114"/>
        <v>1.9157999999999998E-2</v>
      </c>
      <c r="O460" s="1653">
        <f t="shared" si="116"/>
        <v>1.9157999999999998E-2</v>
      </c>
      <c r="P460" s="1389"/>
    </row>
    <row r="461" spans="2:16">
      <c r="B461" s="1389"/>
      <c r="C461" s="789">
        <v>12</v>
      </c>
      <c r="D461" s="1541" t="s">
        <v>1103</v>
      </c>
      <c r="E461" s="1652">
        <f t="shared" si="113"/>
        <v>0</v>
      </c>
      <c r="F461" s="1653">
        <f t="shared" ref="F461:G461" si="126">((F482+(F438-F482)*0.35))</f>
        <v>2.5952999999999997E-2</v>
      </c>
      <c r="G461" s="1653">
        <f t="shared" si="126"/>
        <v>2.5952999999999997E-2</v>
      </c>
      <c r="H461" s="1654">
        <f t="shared" si="114"/>
        <v>2.5952999999999997E-2</v>
      </c>
      <c r="I461" s="1654">
        <f t="shared" si="114"/>
        <v>2.5952999999999997E-2</v>
      </c>
      <c r="J461" s="1654">
        <f t="shared" si="114"/>
        <v>2.5952999999999997E-2</v>
      </c>
      <c r="K461" s="1654">
        <f t="shared" si="114"/>
        <v>2.5952999999999997E-2</v>
      </c>
      <c r="L461" s="1654">
        <f t="shared" si="114"/>
        <v>2.5952999999999997E-2</v>
      </c>
      <c r="M461" s="1654">
        <f t="shared" si="114"/>
        <v>2.5952999999999997E-2</v>
      </c>
      <c r="N461" s="1654">
        <f t="shared" si="114"/>
        <v>2.5952999999999997E-2</v>
      </c>
      <c r="O461" s="1653">
        <f t="shared" si="116"/>
        <v>2.5952999999999997E-2</v>
      </c>
      <c r="P461" s="1389"/>
    </row>
    <row r="462" spans="2:16">
      <c r="B462" s="1389"/>
      <c r="C462" s="719">
        <v>13</v>
      </c>
      <c r="D462" s="1665" t="s">
        <v>932</v>
      </c>
      <c r="E462" s="1661">
        <f t="shared" si="113"/>
        <v>0</v>
      </c>
      <c r="F462" s="1662">
        <f t="shared" ref="F462" si="127">((F483+(F439-F483)*0.35))</f>
        <v>8.4999999999999993E-5</v>
      </c>
      <c r="G462" s="1662">
        <f>((G483+(G439-G483)*0.35))</f>
        <v>8.4999999999999993E-5</v>
      </c>
      <c r="H462" s="1663">
        <f t="shared" si="114"/>
        <v>8.4999999999999993E-5</v>
      </c>
      <c r="I462" s="1663">
        <f t="shared" si="114"/>
        <v>8.4999999999999993E-5</v>
      </c>
      <c r="J462" s="1663">
        <f t="shared" si="114"/>
        <v>8.4999999999999993E-5</v>
      </c>
      <c r="K462" s="1663">
        <f t="shared" si="114"/>
        <v>8.4999999999999993E-5</v>
      </c>
      <c r="L462" s="1663">
        <f t="shared" si="114"/>
        <v>8.4999999999999993E-5</v>
      </c>
      <c r="M462" s="1663">
        <f t="shared" si="114"/>
        <v>8.4999999999999993E-5</v>
      </c>
      <c r="N462" s="1663">
        <f t="shared" si="114"/>
        <v>8.4999999999999993E-5</v>
      </c>
      <c r="O462" s="1662">
        <f t="shared" si="116"/>
        <v>8.4999999999999993E-5</v>
      </c>
      <c r="P462" s="1389"/>
    </row>
    <row r="463" spans="2:16">
      <c r="B463" s="1389"/>
      <c r="C463" s="968"/>
      <c r="D463" s="968"/>
      <c r="E463" s="1551"/>
      <c r="F463" s="1512"/>
      <c r="G463" s="1548"/>
      <c r="H463" s="1552"/>
      <c r="I463" s="1552"/>
      <c r="J463" s="1552"/>
      <c r="K463" s="1552"/>
      <c r="L463" s="1552"/>
      <c r="M463" s="1552"/>
      <c r="N463" s="1552"/>
      <c r="O463" s="1552"/>
      <c r="P463" s="1389"/>
    </row>
    <row r="464" spans="2:16">
      <c r="B464" s="1389"/>
      <c r="C464" s="1612">
        <v>1</v>
      </c>
      <c r="D464" s="1612" t="s">
        <v>1193</v>
      </c>
      <c r="E464" s="1668">
        <f>(O464-G464)/(O$449-G$449)</f>
        <v>0</v>
      </c>
      <c r="F464" s="1658">
        <f>((F485+(F442-F485)*0.35))</f>
        <v>1.6873040868633591E-3</v>
      </c>
      <c r="G464" s="1658">
        <f>((G485+(G442-G485)*0.35))</f>
        <v>1.6873040868633591E-3</v>
      </c>
      <c r="H464" s="1659">
        <f>G464+$E464*(H$449-G$449)</f>
        <v>1.6873040868633591E-3</v>
      </c>
      <c r="I464" s="1659">
        <f t="shared" ref="I464:N464" si="128">H464+$E464*(I$449-H$449)</f>
        <v>1.6873040868633591E-3</v>
      </c>
      <c r="J464" s="1659">
        <f t="shared" si="128"/>
        <v>1.6873040868633591E-3</v>
      </c>
      <c r="K464" s="1659">
        <f>J464+$E464*(K$449-J$449)</f>
        <v>1.6873040868633591E-3</v>
      </c>
      <c r="L464" s="1659">
        <f t="shared" si="128"/>
        <v>1.6873040868633591E-3</v>
      </c>
      <c r="M464" s="1659">
        <f t="shared" si="128"/>
        <v>1.6873040868633591E-3</v>
      </c>
      <c r="N464" s="1659">
        <f t="shared" si="128"/>
        <v>1.6873040868633591E-3</v>
      </c>
      <c r="O464" s="1658">
        <f>((O485+(O442-O485)*0.35))</f>
        <v>1.6873040868633591E-3</v>
      </c>
      <c r="P464" s="1389"/>
    </row>
    <row r="465" spans="2:16">
      <c r="B465" s="1389"/>
      <c r="C465" s="968">
        <v>2</v>
      </c>
      <c r="D465" s="968" t="s">
        <v>1194</v>
      </c>
      <c r="E465" s="1691">
        <f t="shared" ref="E465:E466" si="129">(O465-G465)/(O$449-G$449)</f>
        <v>0</v>
      </c>
      <c r="F465" s="1653">
        <f t="shared" ref="F465:G465" si="130">((F486+(F443-F486)*0.35))</f>
        <v>1.6873040868633591E-3</v>
      </c>
      <c r="G465" s="1653">
        <f t="shared" si="130"/>
        <v>1.6873040868633591E-3</v>
      </c>
      <c r="H465" s="1654">
        <f>G465+$E465*(H$449-G$449)</f>
        <v>1.6873040868633591E-3</v>
      </c>
      <c r="I465" s="1654">
        <f t="shared" ref="I465:M465" si="131">H465+$E465*(I$449-H$449)</f>
        <v>1.6873040868633591E-3</v>
      </c>
      <c r="J465" s="1654">
        <f t="shared" si="131"/>
        <v>1.6873040868633591E-3</v>
      </c>
      <c r="K465" s="1654">
        <f t="shared" si="131"/>
        <v>1.6873040868633591E-3</v>
      </c>
      <c r="L465" s="1654">
        <f t="shared" si="131"/>
        <v>1.6873040868633591E-3</v>
      </c>
      <c r="M465" s="1654">
        <f t="shared" si="131"/>
        <v>1.6873040868633591E-3</v>
      </c>
      <c r="N465" s="1654">
        <f>M465+$E465*(N$449-M$449)</f>
        <v>1.6873040868633591E-3</v>
      </c>
      <c r="O465" s="1653">
        <f>((O486+(O443-O486)*0.35))</f>
        <v>1.6873040868633591E-3</v>
      </c>
      <c r="P465" s="1389"/>
    </row>
    <row r="466" spans="2:16">
      <c r="B466" s="1389"/>
      <c r="C466" s="1392">
        <v>3</v>
      </c>
      <c r="D466" s="1392" t="s">
        <v>1110</v>
      </c>
      <c r="E466" s="1669">
        <f t="shared" si="129"/>
        <v>0</v>
      </c>
      <c r="F466" s="1662">
        <f t="shared" ref="F466:G466" si="132">((F487+(F444-F487)*0.35))</f>
        <v>1.6873040868633591E-3</v>
      </c>
      <c r="G466" s="1662">
        <f t="shared" si="132"/>
        <v>1.6873040868633591E-3</v>
      </c>
      <c r="H466" s="1663">
        <f t="shared" ref="H466:M466" si="133">G466+$E466*(H$449-G$449)</f>
        <v>1.6873040868633591E-3</v>
      </c>
      <c r="I466" s="1663">
        <f t="shared" si="133"/>
        <v>1.6873040868633591E-3</v>
      </c>
      <c r="J466" s="1663">
        <f t="shared" si="133"/>
        <v>1.6873040868633591E-3</v>
      </c>
      <c r="K466" s="1663">
        <f>J466+$E466*(K$449-J$449)</f>
        <v>1.6873040868633591E-3</v>
      </c>
      <c r="L466" s="1663">
        <f t="shared" si="133"/>
        <v>1.6873040868633591E-3</v>
      </c>
      <c r="M466" s="1663">
        <f t="shared" si="133"/>
        <v>1.6873040868633591E-3</v>
      </c>
      <c r="N466" s="1663">
        <f>M466+$E466*(N$449-M$449)</f>
        <v>1.6873040868633591E-3</v>
      </c>
      <c r="O466" s="1662">
        <f>((O487+(O444-O487)*0.35))</f>
        <v>1.6873040868633591E-3</v>
      </c>
      <c r="P466" s="1389"/>
    </row>
    <row r="467" spans="2:16">
      <c r="B467" s="1389"/>
      <c r="C467" s="1513"/>
      <c r="D467" s="1389"/>
      <c r="E467" s="1389"/>
      <c r="F467" s="1552"/>
      <c r="G467" s="1552"/>
      <c r="H467" s="1552"/>
      <c r="I467" s="1552"/>
      <c r="J467" s="1552"/>
      <c r="K467" s="1552"/>
      <c r="L467" s="1552"/>
      <c r="M467" s="1552"/>
      <c r="N467" s="1552"/>
      <c r="O467" s="1552"/>
      <c r="P467" s="1389"/>
    </row>
    <row r="468" spans="2:16">
      <c r="B468" s="1389"/>
      <c r="C468" s="968" t="s">
        <v>1690</v>
      </c>
      <c r="D468" s="1389"/>
      <c r="E468" s="1389"/>
      <c r="F468" s="1552"/>
      <c r="G468" s="1552"/>
      <c r="H468" s="1552"/>
      <c r="I468" s="1552"/>
      <c r="J468" s="1552"/>
      <c r="K468" s="1552"/>
      <c r="L468" s="1552"/>
      <c r="M468" s="1552"/>
      <c r="N468" s="1552"/>
      <c r="O468" s="1552"/>
      <c r="P468" s="1389"/>
    </row>
    <row r="469" spans="2:16">
      <c r="B469" s="1389"/>
      <c r="C469" s="1389"/>
      <c r="D469" s="1389"/>
      <c r="E469" s="1389"/>
      <c r="F469" s="1552"/>
      <c r="G469" s="1552"/>
      <c r="H469" s="1552"/>
      <c r="I469" s="1552"/>
      <c r="J469" s="1552"/>
      <c r="K469" s="1552"/>
      <c r="L469" s="1552"/>
      <c r="M469" s="1552"/>
      <c r="N469" s="1552"/>
      <c r="O469" s="968" t="str">
        <f>Preferences.moneyunits&amp;"/household"</f>
        <v>£m/household</v>
      </c>
      <c r="P469" s="1389"/>
    </row>
    <row r="470" spans="2:16">
      <c r="B470" s="1389"/>
      <c r="C470" s="1547"/>
      <c r="D470" s="1547"/>
      <c r="E470" s="1651" t="s">
        <v>1404</v>
      </c>
      <c r="F470" s="1542">
        <v>2007</v>
      </c>
      <c r="G470" s="1543">
        <v>2010</v>
      </c>
      <c r="H470" s="1543">
        <v>2015</v>
      </c>
      <c r="I470" s="1543">
        <v>2020</v>
      </c>
      <c r="J470" s="1543">
        <v>2025</v>
      </c>
      <c r="K470" s="1543">
        <v>2030</v>
      </c>
      <c r="L470" s="1543">
        <v>2035</v>
      </c>
      <c r="M470" s="1543">
        <v>2040</v>
      </c>
      <c r="N470" s="1543">
        <v>2045</v>
      </c>
      <c r="O470" s="1543">
        <v>2050</v>
      </c>
      <c r="P470" s="1389"/>
    </row>
    <row r="471" spans="2:16">
      <c r="B471" s="1389"/>
      <c r="C471" s="1655">
        <v>1</v>
      </c>
      <c r="D471" s="1664" t="s">
        <v>926</v>
      </c>
      <c r="E471" s="1657">
        <f t="shared" ref="E471:E483" si="134">(O471-G471)/(O$470-G$470)</f>
        <v>0</v>
      </c>
      <c r="F471" s="1658">
        <f>2572.8899729332*GBP</f>
        <v>2.5728899729332002E-3</v>
      </c>
      <c r="G471" s="1658">
        <f>2572.8899729332*GBP</f>
        <v>2.5728899729332002E-3</v>
      </c>
      <c r="H471" s="1659">
        <f t="shared" ref="H471:N483" si="135">G471+$E471*(H$470-G$470)</f>
        <v>2.5728899729332002E-3</v>
      </c>
      <c r="I471" s="1659">
        <f t="shared" si="135"/>
        <v>2.5728899729332002E-3</v>
      </c>
      <c r="J471" s="1659">
        <f t="shared" si="135"/>
        <v>2.5728899729332002E-3</v>
      </c>
      <c r="K471" s="1659">
        <f t="shared" si="135"/>
        <v>2.5728899729332002E-3</v>
      </c>
      <c r="L471" s="1659">
        <f t="shared" si="135"/>
        <v>2.5728899729332002E-3</v>
      </c>
      <c r="M471" s="1659">
        <f t="shared" si="135"/>
        <v>2.5728899729332002E-3</v>
      </c>
      <c r="N471" s="1659">
        <f t="shared" si="135"/>
        <v>2.5728899729332002E-3</v>
      </c>
      <c r="O471" s="1658">
        <f>2572.8899729332*GBP</f>
        <v>2.5728899729332002E-3</v>
      </c>
      <c r="P471" s="1389"/>
    </row>
    <row r="472" spans="2:16">
      <c r="B472" s="1389"/>
      <c r="C472" s="789">
        <v>2</v>
      </c>
      <c r="D472" s="1541" t="s">
        <v>927</v>
      </c>
      <c r="E472" s="1652">
        <f t="shared" si="134"/>
        <v>0</v>
      </c>
      <c r="F472" s="1653">
        <f>2572.8899729332*GBP</f>
        <v>2.5728899729332002E-3</v>
      </c>
      <c r="G472" s="1653">
        <f>2572.8899729332*GBP</f>
        <v>2.5728899729332002E-3</v>
      </c>
      <c r="H472" s="1654">
        <f t="shared" si="135"/>
        <v>2.5728899729332002E-3</v>
      </c>
      <c r="I472" s="1654">
        <f t="shared" si="135"/>
        <v>2.5728899729332002E-3</v>
      </c>
      <c r="J472" s="1654">
        <f t="shared" si="135"/>
        <v>2.5728899729332002E-3</v>
      </c>
      <c r="K472" s="1654">
        <f t="shared" si="135"/>
        <v>2.5728899729332002E-3</v>
      </c>
      <c r="L472" s="1654">
        <f t="shared" si="135"/>
        <v>2.5728899729332002E-3</v>
      </c>
      <c r="M472" s="1654">
        <f t="shared" si="135"/>
        <v>2.5728899729332002E-3</v>
      </c>
      <c r="N472" s="1654">
        <f t="shared" si="135"/>
        <v>2.5728899729332002E-3</v>
      </c>
      <c r="O472" s="1653">
        <f>2572.8899729332*GBP</f>
        <v>2.5728899729332002E-3</v>
      </c>
      <c r="P472" s="1389"/>
    </row>
    <row r="473" spans="2:16">
      <c r="B473" s="1389"/>
      <c r="C473" s="789">
        <v>3</v>
      </c>
      <c r="D473" s="1541" t="s">
        <v>669</v>
      </c>
      <c r="E473" s="1652">
        <f t="shared" si="134"/>
        <v>0</v>
      </c>
      <c r="F473" s="1653">
        <f>3500*0.8*GBP</f>
        <v>2.8E-3</v>
      </c>
      <c r="G473" s="1653">
        <f>3500*0.8*GBP</f>
        <v>2.8E-3</v>
      </c>
      <c r="H473" s="1654">
        <f t="shared" si="135"/>
        <v>2.8E-3</v>
      </c>
      <c r="I473" s="1654">
        <f t="shared" si="135"/>
        <v>2.8E-3</v>
      </c>
      <c r="J473" s="1654">
        <f t="shared" si="135"/>
        <v>2.8E-3</v>
      </c>
      <c r="K473" s="1654">
        <f t="shared" si="135"/>
        <v>2.8E-3</v>
      </c>
      <c r="L473" s="1654">
        <f t="shared" si="135"/>
        <v>2.8E-3</v>
      </c>
      <c r="M473" s="1654">
        <f t="shared" si="135"/>
        <v>2.8E-3</v>
      </c>
      <c r="N473" s="1654">
        <f t="shared" si="135"/>
        <v>2.8E-3</v>
      </c>
      <c r="O473" s="1653">
        <f>3500*0.8*GBP</f>
        <v>2.8E-3</v>
      </c>
      <c r="P473" s="1389"/>
    </row>
    <row r="474" spans="2:16">
      <c r="B474" s="1389"/>
      <c r="C474" s="789">
        <v>4</v>
      </c>
      <c r="D474" s="1541" t="s">
        <v>671</v>
      </c>
      <c r="E474" s="1652">
        <f t="shared" si="134"/>
        <v>0</v>
      </c>
      <c r="F474" s="1653">
        <f>3740*GBP</f>
        <v>3.7399999999999998E-3</v>
      </c>
      <c r="G474" s="1653">
        <f>3740*GBP</f>
        <v>3.7399999999999998E-3</v>
      </c>
      <c r="H474" s="1654">
        <f t="shared" si="135"/>
        <v>3.7399999999999998E-3</v>
      </c>
      <c r="I474" s="1654">
        <f t="shared" si="135"/>
        <v>3.7399999999999998E-3</v>
      </c>
      <c r="J474" s="1654">
        <f t="shared" si="135"/>
        <v>3.7399999999999998E-3</v>
      </c>
      <c r="K474" s="1654">
        <f t="shared" si="135"/>
        <v>3.7399999999999998E-3</v>
      </c>
      <c r="L474" s="1654">
        <f t="shared" si="135"/>
        <v>3.7399999999999998E-3</v>
      </c>
      <c r="M474" s="1654">
        <f t="shared" si="135"/>
        <v>3.7399999999999998E-3</v>
      </c>
      <c r="N474" s="1654">
        <f t="shared" si="135"/>
        <v>3.7399999999999998E-3</v>
      </c>
      <c r="O474" s="1653">
        <f>3740*GBP</f>
        <v>3.7399999999999998E-3</v>
      </c>
      <c r="P474" s="1389"/>
    </row>
    <row r="475" spans="2:16">
      <c r="B475" s="1389"/>
      <c r="C475" s="789">
        <v>5</v>
      </c>
      <c r="D475" s="1541" t="s">
        <v>670</v>
      </c>
      <c r="E475" s="1652">
        <f t="shared" si="134"/>
        <v>0</v>
      </c>
      <c r="F475" s="1653">
        <f>5180*GBP</f>
        <v>5.1799999999999997E-3</v>
      </c>
      <c r="G475" s="1653">
        <f>5180*GBP</f>
        <v>5.1799999999999997E-3</v>
      </c>
      <c r="H475" s="1654">
        <f t="shared" si="135"/>
        <v>5.1799999999999997E-3</v>
      </c>
      <c r="I475" s="1654">
        <f t="shared" si="135"/>
        <v>5.1799999999999997E-3</v>
      </c>
      <c r="J475" s="1654">
        <f t="shared" si="135"/>
        <v>5.1799999999999997E-3</v>
      </c>
      <c r="K475" s="1654">
        <f t="shared" si="135"/>
        <v>5.1799999999999997E-3</v>
      </c>
      <c r="L475" s="1654">
        <f t="shared" si="135"/>
        <v>5.1799999999999997E-3</v>
      </c>
      <c r="M475" s="1654">
        <f t="shared" si="135"/>
        <v>5.1799999999999997E-3</v>
      </c>
      <c r="N475" s="1654">
        <f t="shared" si="135"/>
        <v>5.1799999999999997E-3</v>
      </c>
      <c r="O475" s="1653">
        <f>5180*GBP</f>
        <v>5.1799999999999997E-3</v>
      </c>
      <c r="P475" s="1389"/>
    </row>
    <row r="476" spans="2:16">
      <c r="B476" s="1389"/>
      <c r="C476" s="789">
        <v>6</v>
      </c>
      <c r="D476" s="1541" t="s">
        <v>929</v>
      </c>
      <c r="E476" s="1652">
        <f t="shared" si="134"/>
        <v>0</v>
      </c>
      <c r="F476" s="1653">
        <f>10500*GBP</f>
        <v>1.0499999999999999E-2</v>
      </c>
      <c r="G476" s="1653">
        <f>10500*GBP</f>
        <v>1.0499999999999999E-2</v>
      </c>
      <c r="H476" s="1654">
        <f t="shared" si="135"/>
        <v>1.0499999999999999E-2</v>
      </c>
      <c r="I476" s="1654">
        <f t="shared" si="135"/>
        <v>1.0499999999999999E-2</v>
      </c>
      <c r="J476" s="1654">
        <f t="shared" si="135"/>
        <v>1.0499999999999999E-2</v>
      </c>
      <c r="K476" s="1654">
        <f t="shared" si="135"/>
        <v>1.0499999999999999E-2</v>
      </c>
      <c r="L476" s="1654">
        <f t="shared" si="135"/>
        <v>1.0499999999999999E-2</v>
      </c>
      <c r="M476" s="1654">
        <f t="shared" si="135"/>
        <v>1.0499999999999999E-2</v>
      </c>
      <c r="N476" s="1654">
        <f t="shared" si="135"/>
        <v>1.0499999999999999E-2</v>
      </c>
      <c r="O476" s="1653">
        <f>10500*GBP</f>
        <v>1.0499999999999999E-2</v>
      </c>
      <c r="P476" s="1389"/>
    </row>
    <row r="477" spans="2:16">
      <c r="B477" s="1389"/>
      <c r="C477" s="789">
        <v>7</v>
      </c>
      <c r="D477" s="1541" t="s">
        <v>1587</v>
      </c>
      <c r="E477" s="1652">
        <f t="shared" si="134"/>
        <v>0</v>
      </c>
      <c r="F477" s="1653">
        <f>10000*GBP</f>
        <v>0.01</v>
      </c>
      <c r="G477" s="1653">
        <f>10000*GBP</f>
        <v>0.01</v>
      </c>
      <c r="H477" s="1654">
        <f t="shared" si="135"/>
        <v>0.01</v>
      </c>
      <c r="I477" s="1654">
        <f t="shared" si="135"/>
        <v>0.01</v>
      </c>
      <c r="J477" s="1654">
        <f t="shared" si="135"/>
        <v>0.01</v>
      </c>
      <c r="K477" s="1654">
        <f t="shared" si="135"/>
        <v>0.01</v>
      </c>
      <c r="L477" s="1654">
        <f t="shared" si="135"/>
        <v>0.01</v>
      </c>
      <c r="M477" s="1654">
        <f t="shared" si="135"/>
        <v>0.01</v>
      </c>
      <c r="N477" s="1654">
        <f t="shared" si="135"/>
        <v>0.01</v>
      </c>
      <c r="O477" s="1653">
        <f>10000*GBP</f>
        <v>0.01</v>
      </c>
      <c r="P477" s="1389"/>
    </row>
    <row r="478" spans="2:16">
      <c r="B478" s="1389"/>
      <c r="C478" s="789">
        <v>8</v>
      </c>
      <c r="D478" s="1541" t="s">
        <v>930</v>
      </c>
      <c r="E478" s="1652">
        <f t="shared" si="134"/>
        <v>-9.5199999999999997E-5</v>
      </c>
      <c r="F478" s="1653">
        <f>8400*GBP</f>
        <v>8.3999999999999995E-3</v>
      </c>
      <c r="G478" s="1653">
        <f>8400*GBP</f>
        <v>8.3999999999999995E-3</v>
      </c>
      <c r="H478" s="1654">
        <f t="shared" si="135"/>
        <v>7.9239999999999988E-3</v>
      </c>
      <c r="I478" s="1654">
        <f t="shared" si="135"/>
        <v>7.4479999999999989E-3</v>
      </c>
      <c r="J478" s="1654">
        <f t="shared" si="135"/>
        <v>6.971999999999999E-3</v>
      </c>
      <c r="K478" s="1654">
        <f t="shared" si="135"/>
        <v>6.4959999999999992E-3</v>
      </c>
      <c r="L478" s="1654">
        <f t="shared" si="135"/>
        <v>6.0199999999999993E-3</v>
      </c>
      <c r="M478" s="1654">
        <f t="shared" si="135"/>
        <v>5.5439999999999994E-3</v>
      </c>
      <c r="N478" s="1654">
        <f t="shared" si="135"/>
        <v>5.0679999999999996E-3</v>
      </c>
      <c r="O478" s="1512">
        <f>4592*GBP</f>
        <v>4.5919999999999997E-3</v>
      </c>
      <c r="P478" s="1389"/>
    </row>
    <row r="479" spans="2:16">
      <c r="B479" s="1389"/>
      <c r="C479" s="789">
        <v>9</v>
      </c>
      <c r="D479" s="1541" t="s">
        <v>931</v>
      </c>
      <c r="E479" s="1652">
        <f t="shared" si="134"/>
        <v>-3.7125000000000008E-5</v>
      </c>
      <c r="F479" s="1653">
        <f>8690*GBP</f>
        <v>8.6899999999999998E-3</v>
      </c>
      <c r="G479" s="1653">
        <f>8690*GBP</f>
        <v>8.6899999999999998E-3</v>
      </c>
      <c r="H479" s="1654">
        <f t="shared" si="135"/>
        <v>8.5043749999999998E-3</v>
      </c>
      <c r="I479" s="1654">
        <f t="shared" si="135"/>
        <v>8.3187499999999998E-3</v>
      </c>
      <c r="J479" s="1654">
        <f t="shared" si="135"/>
        <v>8.1331249999999997E-3</v>
      </c>
      <c r="K479" s="1654">
        <f t="shared" si="135"/>
        <v>7.9474999999999997E-3</v>
      </c>
      <c r="L479" s="1654">
        <f t="shared" si="135"/>
        <v>7.7618749999999997E-3</v>
      </c>
      <c r="M479" s="1654">
        <f t="shared" si="135"/>
        <v>7.5762499999999997E-3</v>
      </c>
      <c r="N479" s="1654">
        <f t="shared" si="135"/>
        <v>7.3906249999999996E-3</v>
      </c>
      <c r="O479" s="1512">
        <f>7205*GBP</f>
        <v>7.2049999999999996E-3</v>
      </c>
      <c r="P479" s="1389"/>
    </row>
    <row r="480" spans="2:16">
      <c r="B480" s="1389"/>
      <c r="C480" s="789">
        <v>10</v>
      </c>
      <c r="D480" s="1541" t="s">
        <v>3</v>
      </c>
      <c r="E480" s="1652">
        <f t="shared" si="134"/>
        <v>0</v>
      </c>
      <c r="F480" s="1653">
        <f>31806.486374469*GBP</f>
        <v>3.1806486374468999E-2</v>
      </c>
      <c r="G480" s="1653">
        <f>31806.486374469*GBP</f>
        <v>3.1806486374468999E-2</v>
      </c>
      <c r="H480" s="1654">
        <f t="shared" si="135"/>
        <v>3.1806486374468999E-2</v>
      </c>
      <c r="I480" s="1654">
        <f t="shared" si="135"/>
        <v>3.1806486374468999E-2</v>
      </c>
      <c r="J480" s="1654">
        <f t="shared" si="135"/>
        <v>3.1806486374468999E-2</v>
      </c>
      <c r="K480" s="1654">
        <f t="shared" si="135"/>
        <v>3.1806486374468999E-2</v>
      </c>
      <c r="L480" s="1654">
        <f t="shared" si="135"/>
        <v>3.1806486374468999E-2</v>
      </c>
      <c r="M480" s="1654">
        <f t="shared" si="135"/>
        <v>3.1806486374468999E-2</v>
      </c>
      <c r="N480" s="1654">
        <f t="shared" si="135"/>
        <v>3.1806486374468999E-2</v>
      </c>
      <c r="O480" s="1512">
        <f>31806.486374469*GBP</f>
        <v>3.1806486374468999E-2</v>
      </c>
      <c r="P480" s="1389"/>
    </row>
    <row r="481" spans="2:16">
      <c r="B481" s="1389"/>
      <c r="C481" s="789">
        <v>11</v>
      </c>
      <c r="D481" s="1541" t="s">
        <v>1102</v>
      </c>
      <c r="E481" s="1652">
        <f t="shared" si="134"/>
        <v>0</v>
      </c>
      <c r="F481" s="1653">
        <f>16820*GBP</f>
        <v>1.6819999999999998E-2</v>
      </c>
      <c r="G481" s="1653">
        <f>16820*GBP</f>
        <v>1.6819999999999998E-2</v>
      </c>
      <c r="H481" s="1654">
        <f t="shared" si="135"/>
        <v>1.6819999999999998E-2</v>
      </c>
      <c r="I481" s="1654">
        <f t="shared" si="135"/>
        <v>1.6819999999999998E-2</v>
      </c>
      <c r="J481" s="1654">
        <f t="shared" si="135"/>
        <v>1.6819999999999998E-2</v>
      </c>
      <c r="K481" s="1654">
        <f t="shared" si="135"/>
        <v>1.6819999999999998E-2</v>
      </c>
      <c r="L481" s="1654">
        <f t="shared" si="135"/>
        <v>1.6819999999999998E-2</v>
      </c>
      <c r="M481" s="1654">
        <f t="shared" si="135"/>
        <v>1.6819999999999998E-2</v>
      </c>
      <c r="N481" s="1654">
        <f t="shared" si="135"/>
        <v>1.6819999999999998E-2</v>
      </c>
      <c r="O481" s="1512">
        <f>16820*GBP</f>
        <v>1.6819999999999998E-2</v>
      </c>
      <c r="P481" s="1389"/>
    </row>
    <row r="482" spans="2:16">
      <c r="B482" s="1389"/>
      <c r="C482" s="789">
        <v>12</v>
      </c>
      <c r="D482" s="1541" t="s">
        <v>1103</v>
      </c>
      <c r="E482" s="1652">
        <f t="shared" si="134"/>
        <v>0</v>
      </c>
      <c r="F482" s="1653">
        <f>21620*GBP</f>
        <v>2.162E-2</v>
      </c>
      <c r="G482" s="1653">
        <f>21620*GBP</f>
        <v>2.162E-2</v>
      </c>
      <c r="H482" s="1654">
        <f t="shared" si="135"/>
        <v>2.162E-2</v>
      </c>
      <c r="I482" s="1654">
        <f t="shared" si="135"/>
        <v>2.162E-2</v>
      </c>
      <c r="J482" s="1654">
        <f t="shared" si="135"/>
        <v>2.162E-2</v>
      </c>
      <c r="K482" s="1654">
        <f t="shared" si="135"/>
        <v>2.162E-2</v>
      </c>
      <c r="L482" s="1654">
        <f t="shared" si="135"/>
        <v>2.162E-2</v>
      </c>
      <c r="M482" s="1654">
        <f t="shared" si="135"/>
        <v>2.162E-2</v>
      </c>
      <c r="N482" s="1654">
        <f t="shared" si="135"/>
        <v>2.162E-2</v>
      </c>
      <c r="O482" s="1512">
        <f>21620*GBP</f>
        <v>2.162E-2</v>
      </c>
      <c r="P482" s="1389"/>
    </row>
    <row r="483" spans="2:16">
      <c r="B483" s="1389"/>
      <c r="C483" s="719">
        <v>13</v>
      </c>
      <c r="D483" s="1665" t="s">
        <v>932</v>
      </c>
      <c r="E483" s="1661">
        <f t="shared" si="134"/>
        <v>0</v>
      </c>
      <c r="F483" s="1662">
        <f>50*GBP</f>
        <v>4.9999999999999996E-5</v>
      </c>
      <c r="G483" s="1662">
        <f>50*GBP</f>
        <v>4.9999999999999996E-5</v>
      </c>
      <c r="H483" s="1663">
        <f t="shared" si="135"/>
        <v>4.9999999999999996E-5</v>
      </c>
      <c r="I483" s="1663">
        <f t="shared" si="135"/>
        <v>4.9999999999999996E-5</v>
      </c>
      <c r="J483" s="1663">
        <f t="shared" si="135"/>
        <v>4.9999999999999996E-5</v>
      </c>
      <c r="K483" s="1663">
        <f t="shared" si="135"/>
        <v>4.9999999999999996E-5</v>
      </c>
      <c r="L483" s="1663">
        <f t="shared" si="135"/>
        <v>4.9999999999999996E-5</v>
      </c>
      <c r="M483" s="1663">
        <f t="shared" si="135"/>
        <v>4.9999999999999996E-5</v>
      </c>
      <c r="N483" s="1663">
        <f t="shared" si="135"/>
        <v>4.9999999999999996E-5</v>
      </c>
      <c r="O483" s="1666">
        <f>50*GBP</f>
        <v>4.9999999999999996E-5</v>
      </c>
      <c r="P483" s="1389"/>
    </row>
    <row r="484" spans="2:16">
      <c r="B484" s="1389"/>
      <c r="C484" s="1389"/>
      <c r="D484" s="1389"/>
      <c r="E484" s="1389"/>
      <c r="F484" s="1389"/>
      <c r="G484" s="1389"/>
      <c r="H484" s="1389"/>
      <c r="I484" s="1389"/>
      <c r="J484" s="1389"/>
      <c r="K484" s="1389"/>
      <c r="L484" s="1389"/>
      <c r="M484" s="1389"/>
      <c r="N484" s="1389"/>
      <c r="O484" s="1389"/>
      <c r="P484" s="1389"/>
    </row>
    <row r="485" spans="2:16" ht="15" customHeight="1">
      <c r="B485" s="1389"/>
      <c r="C485" s="1612">
        <v>1</v>
      </c>
      <c r="D485" s="1612" t="s">
        <v>1193</v>
      </c>
      <c r="E485" s="1668">
        <f>(O485-G485)/(O$470-G$470)</f>
        <v>0</v>
      </c>
      <c r="F485" s="1674">
        <f t="shared" ref="F485:G487" si="136">1000*GBP</f>
        <v>1E-3</v>
      </c>
      <c r="G485" s="1674">
        <f t="shared" si="136"/>
        <v>1E-3</v>
      </c>
      <c r="H485" s="1659">
        <f>G485+$E485*(H$426-G$426)</f>
        <v>1E-3</v>
      </c>
      <c r="I485" s="1659">
        <f t="shared" ref="I485:N485" si="137">H485+$E485*(I$426-H$426)</f>
        <v>1E-3</v>
      </c>
      <c r="J485" s="1659">
        <f t="shared" si="137"/>
        <v>1E-3</v>
      </c>
      <c r="K485" s="1659">
        <f t="shared" si="137"/>
        <v>1E-3</v>
      </c>
      <c r="L485" s="1659">
        <f t="shared" si="137"/>
        <v>1E-3</v>
      </c>
      <c r="M485" s="1659">
        <f t="shared" si="137"/>
        <v>1E-3</v>
      </c>
      <c r="N485" s="1659">
        <f t="shared" si="137"/>
        <v>1E-3</v>
      </c>
      <c r="O485" s="1674">
        <f>1000*GBP</f>
        <v>1E-3</v>
      </c>
      <c r="P485" s="1389"/>
    </row>
    <row r="486" spans="2:16" ht="15" customHeight="1">
      <c r="B486" s="1389"/>
      <c r="C486" s="968">
        <v>2</v>
      </c>
      <c r="D486" s="968" t="s">
        <v>1194</v>
      </c>
      <c r="E486" s="1631">
        <f t="shared" ref="E486:E487" si="138">(O486-G486)/(O$470-G$470)</f>
        <v>0</v>
      </c>
      <c r="F486" s="1511">
        <f t="shared" si="136"/>
        <v>1E-3</v>
      </c>
      <c r="G486" s="1511">
        <f t="shared" si="136"/>
        <v>1E-3</v>
      </c>
      <c r="H486" s="1511">
        <f t="shared" ref="H486:N486" si="139">G486+$E486</f>
        <v>1E-3</v>
      </c>
      <c r="I486" s="1511">
        <f t="shared" si="139"/>
        <v>1E-3</v>
      </c>
      <c r="J486" s="1511">
        <f t="shared" si="139"/>
        <v>1E-3</v>
      </c>
      <c r="K486" s="1511">
        <f t="shared" si="139"/>
        <v>1E-3</v>
      </c>
      <c r="L486" s="1511">
        <f t="shared" si="139"/>
        <v>1E-3</v>
      </c>
      <c r="M486" s="1511">
        <f t="shared" si="139"/>
        <v>1E-3</v>
      </c>
      <c r="N486" s="1511">
        <f t="shared" si="139"/>
        <v>1E-3</v>
      </c>
      <c r="O486" s="1511">
        <f>1000*GBP</f>
        <v>1E-3</v>
      </c>
      <c r="P486" s="1389"/>
    </row>
    <row r="487" spans="2:16" ht="15" customHeight="1">
      <c r="B487" s="1389"/>
      <c r="C487" s="1392">
        <v>3</v>
      </c>
      <c r="D487" s="1392" t="s">
        <v>1110</v>
      </c>
      <c r="E487" s="1669">
        <f t="shared" si="138"/>
        <v>0</v>
      </c>
      <c r="F487" s="1675">
        <f t="shared" si="136"/>
        <v>1E-3</v>
      </c>
      <c r="G487" s="1675">
        <f t="shared" si="136"/>
        <v>1E-3</v>
      </c>
      <c r="H487" s="1663">
        <f t="shared" ref="H487:N487" si="140">G487+$E487*(H$426-G$426)</f>
        <v>1E-3</v>
      </c>
      <c r="I487" s="1663">
        <f t="shared" si="140"/>
        <v>1E-3</v>
      </c>
      <c r="J487" s="1663">
        <f t="shared" si="140"/>
        <v>1E-3</v>
      </c>
      <c r="K487" s="1663">
        <f t="shared" si="140"/>
        <v>1E-3</v>
      </c>
      <c r="L487" s="1663">
        <f t="shared" si="140"/>
        <v>1E-3</v>
      </c>
      <c r="M487" s="1663">
        <f t="shared" si="140"/>
        <v>1E-3</v>
      </c>
      <c r="N487" s="1663">
        <f t="shared" si="140"/>
        <v>1E-3</v>
      </c>
      <c r="O487" s="1675">
        <f>1000*GBP</f>
        <v>1E-3</v>
      </c>
      <c r="P487" s="1389"/>
    </row>
    <row r="488" spans="2:16">
      <c r="B488" s="1389"/>
      <c r="C488" s="968"/>
      <c r="D488" s="968"/>
      <c r="E488" s="1551"/>
      <c r="F488" s="1512"/>
      <c r="G488" s="1548"/>
      <c r="H488" s="1552"/>
      <c r="I488" s="1552"/>
      <c r="J488" s="1552"/>
      <c r="K488" s="1552"/>
      <c r="L488" s="1552"/>
      <c r="M488" s="1552"/>
      <c r="N488" s="1552"/>
      <c r="O488" s="1550"/>
      <c r="P488" s="1389"/>
    </row>
    <row r="489" spans="2:16">
      <c r="B489" s="1389"/>
      <c r="C489" s="1389"/>
      <c r="D489" s="1389"/>
      <c r="E489" s="1389"/>
      <c r="F489" s="1389"/>
      <c r="G489" s="1389"/>
      <c r="H489" s="1389"/>
      <c r="I489" s="1389"/>
      <c r="J489" s="1389"/>
      <c r="K489" s="1389"/>
      <c r="L489" s="1389"/>
      <c r="M489" s="1389"/>
      <c r="N489" s="1389"/>
      <c r="O489" s="1389"/>
      <c r="P489" s="1389"/>
    </row>
    <row r="490" spans="2:16" ht="17">
      <c r="B490" s="1389"/>
      <c r="C490" s="1667" t="s">
        <v>1559</v>
      </c>
      <c r="D490" s="1389"/>
      <c r="E490" s="1389"/>
      <c r="F490" s="1389"/>
      <c r="G490" s="1389"/>
      <c r="H490" s="1389"/>
      <c r="I490" s="1389"/>
      <c r="J490" s="1389"/>
      <c r="K490" s="1389"/>
      <c r="L490" s="1389"/>
      <c r="M490" s="1389"/>
      <c r="N490" s="1389"/>
      <c r="O490" s="1389"/>
      <c r="P490" s="1389"/>
    </row>
    <row r="491" spans="2:16">
      <c r="B491" s="1389"/>
      <c r="C491" s="968"/>
      <c r="D491" s="1389"/>
      <c r="E491" s="1389"/>
      <c r="F491" s="1389"/>
      <c r="G491" s="1389"/>
      <c r="H491" s="1389"/>
      <c r="I491" s="1389"/>
      <c r="J491" s="1389"/>
      <c r="K491" s="1389"/>
      <c r="L491" s="1389"/>
      <c r="M491" s="1389"/>
      <c r="N491" s="1389"/>
      <c r="O491" s="1389"/>
      <c r="P491" s="1389"/>
    </row>
    <row r="492" spans="2:16">
      <c r="B492" s="1389"/>
      <c r="C492" s="1159" t="s">
        <v>1689</v>
      </c>
      <c r="D492" s="1389"/>
      <c r="E492" s="1389"/>
      <c r="F492" s="1389"/>
      <c r="G492" s="1389"/>
      <c r="H492" s="1389"/>
      <c r="I492" s="1389"/>
      <c r="J492" s="1389"/>
      <c r="K492" s="1389"/>
      <c r="L492" s="1389"/>
      <c r="M492" s="1389"/>
      <c r="N492" s="1389"/>
      <c r="O492" s="1389"/>
      <c r="P492" s="1389"/>
    </row>
    <row r="493" spans="2:16">
      <c r="B493" s="1389"/>
      <c r="C493" s="968" t="str">
        <f>Preferences.moneyunits&amp;"/household"</f>
        <v>£m/household</v>
      </c>
      <c r="D493" s="1389"/>
      <c r="E493" s="1389"/>
      <c r="F493" s="1389"/>
      <c r="G493" s="1389"/>
      <c r="H493" s="1389"/>
      <c r="I493" s="1389"/>
      <c r="J493" s="1389"/>
      <c r="K493" s="1389"/>
      <c r="L493" s="1389"/>
      <c r="M493" s="1389"/>
      <c r="N493" s="1389"/>
      <c r="O493" s="1389"/>
      <c r="P493" s="1389"/>
    </row>
    <row r="494" spans="2:16">
      <c r="B494" s="1389"/>
      <c r="C494" s="1612"/>
      <c r="D494" s="1612"/>
      <c r="E494" s="1672" t="s">
        <v>1404</v>
      </c>
      <c r="F494" s="1670">
        <v>2007</v>
      </c>
      <c r="G494" s="1671">
        <v>2010</v>
      </c>
      <c r="H494" s="1671">
        <v>2015</v>
      </c>
      <c r="I494" s="1671">
        <v>2020</v>
      </c>
      <c r="J494" s="1671">
        <v>2025</v>
      </c>
      <c r="K494" s="1671">
        <v>2030</v>
      </c>
      <c r="L494" s="1671">
        <v>2035</v>
      </c>
      <c r="M494" s="1671">
        <v>2040</v>
      </c>
      <c r="N494" s="1671">
        <v>2045</v>
      </c>
      <c r="O494" s="1671">
        <v>2050</v>
      </c>
      <c r="P494" s="1389"/>
    </row>
    <row r="495" spans="2:16">
      <c r="B495" s="1389"/>
      <c r="C495" s="1655">
        <v>1</v>
      </c>
      <c r="D495" s="1656" t="s">
        <v>926</v>
      </c>
      <c r="E495" s="1657">
        <f t="shared" ref="E495:E506" si="141">(O495-G495)/(O$494-G$494)</f>
        <v>0</v>
      </c>
      <c r="F495" s="1658">
        <f>180*GBP</f>
        <v>1.7999999999999998E-4</v>
      </c>
      <c r="G495" s="1658">
        <f>180*GBP</f>
        <v>1.7999999999999998E-4</v>
      </c>
      <c r="H495" s="1659">
        <f>G495+$E495*(H$494-G$494)</f>
        <v>1.7999999999999998E-4</v>
      </c>
      <c r="I495" s="1659">
        <f t="shared" ref="I495:N495" si="142">H495+$E495*(I$494-H$494)</f>
        <v>1.7999999999999998E-4</v>
      </c>
      <c r="J495" s="1659">
        <f t="shared" si="142"/>
        <v>1.7999999999999998E-4</v>
      </c>
      <c r="K495" s="1659">
        <f t="shared" si="142"/>
        <v>1.7999999999999998E-4</v>
      </c>
      <c r="L495" s="1659">
        <f t="shared" si="142"/>
        <v>1.7999999999999998E-4</v>
      </c>
      <c r="M495" s="1659">
        <f t="shared" si="142"/>
        <v>1.7999999999999998E-4</v>
      </c>
      <c r="N495" s="1659">
        <f t="shared" si="142"/>
        <v>1.7999999999999998E-4</v>
      </c>
      <c r="O495" s="1658">
        <f>180*GBP</f>
        <v>1.7999999999999998E-4</v>
      </c>
      <c r="P495" s="1389"/>
    </row>
    <row r="496" spans="2:16">
      <c r="B496" s="1389"/>
      <c r="C496" s="789">
        <v>2</v>
      </c>
      <c r="D496" s="1619" t="s">
        <v>927</v>
      </c>
      <c r="E496" s="1652">
        <f t="shared" si="141"/>
        <v>0</v>
      </c>
      <c r="F496" s="1653">
        <f>180*GBP</f>
        <v>1.7999999999999998E-4</v>
      </c>
      <c r="G496" s="1653">
        <f>180*GBP</f>
        <v>1.7999999999999998E-4</v>
      </c>
      <c r="H496" s="1654">
        <f t="shared" ref="H496:N496" si="143">G496+$E496*(H$494-G$494)</f>
        <v>1.7999999999999998E-4</v>
      </c>
      <c r="I496" s="1654">
        <f t="shared" si="143"/>
        <v>1.7999999999999998E-4</v>
      </c>
      <c r="J496" s="1654">
        <f t="shared" si="143"/>
        <v>1.7999999999999998E-4</v>
      </c>
      <c r="K496" s="1654">
        <f t="shared" si="143"/>
        <v>1.7999999999999998E-4</v>
      </c>
      <c r="L496" s="1654">
        <f t="shared" si="143"/>
        <v>1.7999999999999998E-4</v>
      </c>
      <c r="M496" s="1654">
        <f t="shared" si="143"/>
        <v>1.7999999999999998E-4</v>
      </c>
      <c r="N496" s="1654">
        <f t="shared" si="143"/>
        <v>1.7999999999999998E-4</v>
      </c>
      <c r="O496" s="1653">
        <f>180*GBP</f>
        <v>1.7999999999999998E-4</v>
      </c>
      <c r="P496" s="1389"/>
    </row>
    <row r="497" spans="2:16">
      <c r="B497" s="1389"/>
      <c r="C497" s="789">
        <v>3</v>
      </c>
      <c r="D497" s="1619" t="s">
        <v>669</v>
      </c>
      <c r="E497" s="1652">
        <f t="shared" si="141"/>
        <v>0</v>
      </c>
      <c r="F497" s="1653">
        <f>196*GBP</f>
        <v>1.9599999999999999E-4</v>
      </c>
      <c r="G497" s="1653">
        <f>196*GBP</f>
        <v>1.9599999999999999E-4</v>
      </c>
      <c r="H497" s="1654">
        <f t="shared" ref="H497:N497" si="144">G497+$E497*(H$494-G$494)</f>
        <v>1.9599999999999999E-4</v>
      </c>
      <c r="I497" s="1654">
        <f t="shared" si="144"/>
        <v>1.9599999999999999E-4</v>
      </c>
      <c r="J497" s="1654">
        <f t="shared" si="144"/>
        <v>1.9599999999999999E-4</v>
      </c>
      <c r="K497" s="1654">
        <f t="shared" si="144"/>
        <v>1.9599999999999999E-4</v>
      </c>
      <c r="L497" s="1654">
        <f t="shared" si="144"/>
        <v>1.9599999999999999E-4</v>
      </c>
      <c r="M497" s="1654">
        <f t="shared" si="144"/>
        <v>1.9599999999999999E-4</v>
      </c>
      <c r="N497" s="1654">
        <f t="shared" si="144"/>
        <v>1.9599999999999999E-4</v>
      </c>
      <c r="O497" s="1653">
        <f>196*GBP</f>
        <v>1.9599999999999999E-4</v>
      </c>
      <c r="P497" s="1389"/>
    </row>
    <row r="498" spans="2:16">
      <c r="B498" s="1389"/>
      <c r="C498" s="789">
        <v>4</v>
      </c>
      <c r="D498" s="1619" t="s">
        <v>671</v>
      </c>
      <c r="E498" s="1652">
        <f t="shared" si="141"/>
        <v>0</v>
      </c>
      <c r="F498" s="1653">
        <f>440*GBP</f>
        <v>4.3999999999999996E-4</v>
      </c>
      <c r="G498" s="1653">
        <f>440*GBP</f>
        <v>4.3999999999999996E-4</v>
      </c>
      <c r="H498" s="1654">
        <f t="shared" ref="H498:N498" si="145">G498+$E498*(H$494-G$494)</f>
        <v>4.3999999999999996E-4</v>
      </c>
      <c r="I498" s="1654">
        <f t="shared" si="145"/>
        <v>4.3999999999999996E-4</v>
      </c>
      <c r="J498" s="1654">
        <f t="shared" si="145"/>
        <v>4.3999999999999996E-4</v>
      </c>
      <c r="K498" s="1654">
        <f t="shared" si="145"/>
        <v>4.3999999999999996E-4</v>
      </c>
      <c r="L498" s="1654">
        <f t="shared" si="145"/>
        <v>4.3999999999999996E-4</v>
      </c>
      <c r="M498" s="1654">
        <f t="shared" si="145"/>
        <v>4.3999999999999996E-4</v>
      </c>
      <c r="N498" s="1654">
        <f t="shared" si="145"/>
        <v>4.3999999999999996E-4</v>
      </c>
      <c r="O498" s="1653">
        <f>440*GBP</f>
        <v>4.3999999999999996E-4</v>
      </c>
      <c r="P498" s="1389"/>
    </row>
    <row r="499" spans="2:16">
      <c r="B499" s="1389"/>
      <c r="C499" s="789">
        <v>5</v>
      </c>
      <c r="D499" s="1619" t="s">
        <v>670</v>
      </c>
      <c r="E499" s="1652">
        <f t="shared" si="141"/>
        <v>0</v>
      </c>
      <c r="F499" s="1653">
        <f>520*GBP</f>
        <v>5.1999999999999995E-4</v>
      </c>
      <c r="G499" s="1653">
        <f>520*GBP</f>
        <v>5.1999999999999995E-4</v>
      </c>
      <c r="H499" s="1654">
        <f t="shared" ref="H499:N499" si="146">G499+$E499*(H$494-G$494)</f>
        <v>5.1999999999999995E-4</v>
      </c>
      <c r="I499" s="1654">
        <f t="shared" si="146"/>
        <v>5.1999999999999995E-4</v>
      </c>
      <c r="J499" s="1654">
        <f t="shared" si="146"/>
        <v>5.1999999999999995E-4</v>
      </c>
      <c r="K499" s="1654">
        <f t="shared" si="146"/>
        <v>5.1999999999999995E-4</v>
      </c>
      <c r="L499" s="1654">
        <f t="shared" si="146"/>
        <v>5.1999999999999995E-4</v>
      </c>
      <c r="M499" s="1654">
        <f t="shared" si="146"/>
        <v>5.1999999999999995E-4</v>
      </c>
      <c r="N499" s="1654">
        <f t="shared" si="146"/>
        <v>5.1999999999999995E-4</v>
      </c>
      <c r="O499" s="1653">
        <f>520*GBP</f>
        <v>5.1999999999999995E-4</v>
      </c>
      <c r="P499" s="1389"/>
    </row>
    <row r="500" spans="2:16">
      <c r="B500" s="1389"/>
      <c r="C500" s="789">
        <v>6</v>
      </c>
      <c r="D500" s="1619" t="s">
        <v>929</v>
      </c>
      <c r="E500" s="1652">
        <f>(O500-G500)/(O$494-G$494)</f>
        <v>0</v>
      </c>
      <c r="F500" s="1653">
        <f>180*GBP</f>
        <v>1.7999999999999998E-4</v>
      </c>
      <c r="G500" s="1653">
        <f>180*GBP</f>
        <v>1.7999999999999998E-4</v>
      </c>
      <c r="H500" s="1654">
        <f t="shared" ref="H500:N500" si="147">G500+$E500*(H$494-G$494)</f>
        <v>1.7999999999999998E-4</v>
      </c>
      <c r="I500" s="1654">
        <f t="shared" si="147"/>
        <v>1.7999999999999998E-4</v>
      </c>
      <c r="J500" s="1654">
        <f t="shared" si="147"/>
        <v>1.7999999999999998E-4</v>
      </c>
      <c r="K500" s="1654">
        <f t="shared" si="147"/>
        <v>1.7999999999999998E-4</v>
      </c>
      <c r="L500" s="1654">
        <f t="shared" si="147"/>
        <v>1.7999999999999998E-4</v>
      </c>
      <c r="M500" s="1654">
        <f t="shared" si="147"/>
        <v>1.7999999999999998E-4</v>
      </c>
      <c r="N500" s="1654">
        <f t="shared" si="147"/>
        <v>1.7999999999999998E-4</v>
      </c>
      <c r="O500" s="1653">
        <f>180*GBP</f>
        <v>1.7999999999999998E-4</v>
      </c>
      <c r="P500" s="1389"/>
    </row>
    <row r="501" spans="2:16">
      <c r="B501" s="1389"/>
      <c r="C501" s="789">
        <v>7</v>
      </c>
      <c r="D501" s="1619" t="s">
        <v>1587</v>
      </c>
      <c r="E501" s="1652">
        <f t="shared" si="141"/>
        <v>0</v>
      </c>
      <c r="F501" s="1653">
        <f>180*GBP</f>
        <v>1.7999999999999998E-4</v>
      </c>
      <c r="G501" s="1653">
        <f>180*GBP</f>
        <v>1.7999999999999998E-4</v>
      </c>
      <c r="H501" s="1654">
        <f t="shared" ref="H501:N501" si="148">G501+$E501*(H$494-G$494)</f>
        <v>1.7999999999999998E-4</v>
      </c>
      <c r="I501" s="1654">
        <f t="shared" si="148"/>
        <v>1.7999999999999998E-4</v>
      </c>
      <c r="J501" s="1654">
        <f t="shared" si="148"/>
        <v>1.7999999999999998E-4</v>
      </c>
      <c r="K501" s="1654">
        <f t="shared" si="148"/>
        <v>1.7999999999999998E-4</v>
      </c>
      <c r="L501" s="1654">
        <f t="shared" si="148"/>
        <v>1.7999999999999998E-4</v>
      </c>
      <c r="M501" s="1654">
        <f t="shared" si="148"/>
        <v>1.7999999999999998E-4</v>
      </c>
      <c r="N501" s="1654">
        <f t="shared" si="148"/>
        <v>1.7999999999999998E-4</v>
      </c>
      <c r="O501" s="1653">
        <f>180*GBP</f>
        <v>1.7999999999999998E-4</v>
      </c>
      <c r="P501" s="1389"/>
    </row>
    <row r="502" spans="2:16">
      <c r="B502" s="1389"/>
      <c r="C502" s="789">
        <v>8</v>
      </c>
      <c r="D502" s="1619" t="s">
        <v>930</v>
      </c>
      <c r="E502" s="1652">
        <f t="shared" si="141"/>
        <v>0</v>
      </c>
      <c r="F502" s="1653">
        <f>127*GBP</f>
        <v>1.27E-4</v>
      </c>
      <c r="G502" s="1653">
        <f>127*GBP</f>
        <v>1.27E-4</v>
      </c>
      <c r="H502" s="1654">
        <f t="shared" ref="H502:N502" si="149">G502+$E502*(H$494-G$494)</f>
        <v>1.27E-4</v>
      </c>
      <c r="I502" s="1654">
        <f t="shared" si="149"/>
        <v>1.27E-4</v>
      </c>
      <c r="J502" s="1654">
        <f t="shared" si="149"/>
        <v>1.27E-4</v>
      </c>
      <c r="K502" s="1654">
        <f t="shared" si="149"/>
        <v>1.27E-4</v>
      </c>
      <c r="L502" s="1654">
        <f t="shared" si="149"/>
        <v>1.27E-4</v>
      </c>
      <c r="M502" s="1654">
        <f t="shared" si="149"/>
        <v>1.27E-4</v>
      </c>
      <c r="N502" s="1654">
        <f t="shared" si="149"/>
        <v>1.27E-4</v>
      </c>
      <c r="O502" s="1653">
        <f>127*GBP</f>
        <v>1.27E-4</v>
      </c>
      <c r="P502" s="1389"/>
    </row>
    <row r="503" spans="2:16">
      <c r="B503" s="1389"/>
      <c r="C503" s="789">
        <v>9</v>
      </c>
      <c r="D503" s="1619" t="s">
        <v>931</v>
      </c>
      <c r="E503" s="1652">
        <f t="shared" si="141"/>
        <v>0</v>
      </c>
      <c r="F503" s="1653">
        <f>100*GBP</f>
        <v>9.9999999999999991E-5</v>
      </c>
      <c r="G503" s="1653">
        <f>100*GBP</f>
        <v>9.9999999999999991E-5</v>
      </c>
      <c r="H503" s="1654">
        <f t="shared" ref="H503:N503" si="150">G503+$E503*(H$494-G$494)</f>
        <v>9.9999999999999991E-5</v>
      </c>
      <c r="I503" s="1654">
        <f t="shared" si="150"/>
        <v>9.9999999999999991E-5</v>
      </c>
      <c r="J503" s="1654">
        <f t="shared" si="150"/>
        <v>9.9999999999999991E-5</v>
      </c>
      <c r="K503" s="1654">
        <f t="shared" si="150"/>
        <v>9.9999999999999991E-5</v>
      </c>
      <c r="L503" s="1654">
        <f>K503+$E503*(L$494-K$494)</f>
        <v>9.9999999999999991E-5</v>
      </c>
      <c r="M503" s="1654">
        <f t="shared" si="150"/>
        <v>9.9999999999999991E-5</v>
      </c>
      <c r="N503" s="1654">
        <f t="shared" si="150"/>
        <v>9.9999999999999991E-5</v>
      </c>
      <c r="O503" s="1653">
        <f>100*GBP</f>
        <v>9.9999999999999991E-5</v>
      </c>
      <c r="P503" s="1389"/>
    </row>
    <row r="504" spans="2:16">
      <c r="B504" s="1389"/>
      <c r="C504" s="789">
        <v>10</v>
      </c>
      <c r="D504" s="1619" t="s">
        <v>3</v>
      </c>
      <c r="E504" s="1652">
        <f t="shared" si="141"/>
        <v>0</v>
      </c>
      <c r="F504" s="1653">
        <f>1114*GBP</f>
        <v>1.114E-3</v>
      </c>
      <c r="G504" s="1653">
        <f>1114*GBP</f>
        <v>1.114E-3</v>
      </c>
      <c r="H504" s="1654">
        <f t="shared" ref="H504:N504" si="151">G504+$E504*(H$494-G$494)</f>
        <v>1.114E-3</v>
      </c>
      <c r="I504" s="1654">
        <f t="shared" si="151"/>
        <v>1.114E-3</v>
      </c>
      <c r="J504" s="1654">
        <f t="shared" si="151"/>
        <v>1.114E-3</v>
      </c>
      <c r="K504" s="1654">
        <f t="shared" si="151"/>
        <v>1.114E-3</v>
      </c>
      <c r="L504" s="1654">
        <f t="shared" si="151"/>
        <v>1.114E-3</v>
      </c>
      <c r="M504" s="1654">
        <f t="shared" si="151"/>
        <v>1.114E-3</v>
      </c>
      <c r="N504" s="1654">
        <f t="shared" si="151"/>
        <v>1.114E-3</v>
      </c>
      <c r="O504" s="1653">
        <f>1114*GBP</f>
        <v>1.114E-3</v>
      </c>
      <c r="P504" s="1389"/>
    </row>
    <row r="505" spans="2:16">
      <c r="B505" s="1389"/>
      <c r="C505" s="789">
        <v>11</v>
      </c>
      <c r="D505" s="1619" t="s">
        <v>1102</v>
      </c>
      <c r="E505" s="1652">
        <f t="shared" si="141"/>
        <v>0</v>
      </c>
      <c r="F505" s="1653">
        <f>1360*GBP</f>
        <v>1.3599999999999999E-3</v>
      </c>
      <c r="G505" s="1653">
        <f>1360*GBP</f>
        <v>1.3599999999999999E-3</v>
      </c>
      <c r="H505" s="1654">
        <f t="shared" ref="H505:N505" si="152">G505+$E505*(H$494-G$494)</f>
        <v>1.3599999999999999E-3</v>
      </c>
      <c r="I505" s="1654">
        <f t="shared" si="152"/>
        <v>1.3599999999999999E-3</v>
      </c>
      <c r="J505" s="1654">
        <f t="shared" si="152"/>
        <v>1.3599999999999999E-3</v>
      </c>
      <c r="K505" s="1654">
        <f t="shared" si="152"/>
        <v>1.3599999999999999E-3</v>
      </c>
      <c r="L505" s="1654">
        <f t="shared" si="152"/>
        <v>1.3599999999999999E-3</v>
      </c>
      <c r="M505" s="1654">
        <f t="shared" si="152"/>
        <v>1.3599999999999999E-3</v>
      </c>
      <c r="N505" s="1654">
        <f t="shared" si="152"/>
        <v>1.3599999999999999E-3</v>
      </c>
      <c r="O505" s="1653">
        <f>1360*GBP</f>
        <v>1.3599999999999999E-3</v>
      </c>
      <c r="P505" s="1389"/>
    </row>
    <row r="506" spans="2:16">
      <c r="B506" s="1389"/>
      <c r="C506" s="789">
        <v>12</v>
      </c>
      <c r="D506" s="1619" t="s">
        <v>1103</v>
      </c>
      <c r="E506" s="1652">
        <f t="shared" si="141"/>
        <v>0</v>
      </c>
      <c r="F506" s="1653">
        <f>1900*GBP</f>
        <v>1.9E-3</v>
      </c>
      <c r="G506" s="1653">
        <f>1900*GBP</f>
        <v>1.9E-3</v>
      </c>
      <c r="H506" s="1654">
        <f t="shared" ref="H506:N506" si="153">G506+$E506*(H$494-G$494)</f>
        <v>1.9E-3</v>
      </c>
      <c r="I506" s="1654">
        <f t="shared" si="153"/>
        <v>1.9E-3</v>
      </c>
      <c r="J506" s="1654">
        <f t="shared" si="153"/>
        <v>1.9E-3</v>
      </c>
      <c r="K506" s="1654">
        <f t="shared" si="153"/>
        <v>1.9E-3</v>
      </c>
      <c r="L506" s="1654">
        <f t="shared" si="153"/>
        <v>1.9E-3</v>
      </c>
      <c r="M506" s="1654">
        <f t="shared" si="153"/>
        <v>1.9E-3</v>
      </c>
      <c r="N506" s="1654">
        <f t="shared" si="153"/>
        <v>1.9E-3</v>
      </c>
      <c r="O506" s="1653">
        <f>1900*GBP</f>
        <v>1.9E-3</v>
      </c>
      <c r="P506" s="1389"/>
    </row>
    <row r="507" spans="2:16">
      <c r="B507" s="1389"/>
      <c r="C507" s="719">
        <v>13</v>
      </c>
      <c r="D507" s="1660" t="s">
        <v>932</v>
      </c>
      <c r="E507" s="1661">
        <f>(O507-G507)/(O$494-G$494)</f>
        <v>0</v>
      </c>
      <c r="F507" s="1662">
        <f>150*GBP</f>
        <v>1.4999999999999999E-4</v>
      </c>
      <c r="G507" s="1662">
        <f>150*GBP</f>
        <v>1.4999999999999999E-4</v>
      </c>
      <c r="H507" s="1663">
        <f t="shared" ref="H507:N507" si="154">G507+$E507*(H$494-G$494)</f>
        <v>1.4999999999999999E-4</v>
      </c>
      <c r="I507" s="1663">
        <f t="shared" si="154"/>
        <v>1.4999999999999999E-4</v>
      </c>
      <c r="J507" s="1663">
        <f t="shared" si="154"/>
        <v>1.4999999999999999E-4</v>
      </c>
      <c r="K507" s="1663">
        <f t="shared" si="154"/>
        <v>1.4999999999999999E-4</v>
      </c>
      <c r="L507" s="1663">
        <f t="shared" si="154"/>
        <v>1.4999999999999999E-4</v>
      </c>
      <c r="M507" s="1663">
        <f t="shared" si="154"/>
        <v>1.4999999999999999E-4</v>
      </c>
      <c r="N507" s="1663">
        <f t="shared" si="154"/>
        <v>1.4999999999999999E-4</v>
      </c>
      <c r="O507" s="1662">
        <f>150*GBP</f>
        <v>1.4999999999999999E-4</v>
      </c>
      <c r="P507" s="1389"/>
    </row>
    <row r="508" spans="2:16">
      <c r="B508" s="1389"/>
      <c r="C508" s="968"/>
      <c r="D508" s="968"/>
      <c r="E508" s="1551"/>
      <c r="F508" s="1512"/>
      <c r="G508" s="1548"/>
      <c r="H508" s="1552"/>
      <c r="I508" s="1552"/>
      <c r="J508" s="1552"/>
      <c r="K508" s="1552"/>
      <c r="L508" s="1552"/>
      <c r="M508" s="1552"/>
      <c r="N508" s="1552"/>
      <c r="O508" s="1552"/>
      <c r="P508" s="1389"/>
    </row>
    <row r="509" spans="2:16">
      <c r="B509" s="1389"/>
      <c r="C509" s="1612">
        <v>1</v>
      </c>
      <c r="D509" s="1612" t="s">
        <v>1193</v>
      </c>
      <c r="E509" s="1668">
        <f>(O509-G509)/(O$494-G$494)</f>
        <v>0</v>
      </c>
      <c r="F509" s="1658">
        <f t="shared" ref="F509:G511" si="155">120*1.5*GBP</f>
        <v>1.7999999999999998E-4</v>
      </c>
      <c r="G509" s="1658">
        <f t="shared" si="155"/>
        <v>1.7999999999999998E-4</v>
      </c>
      <c r="H509" s="1659">
        <f>G509+$E509*(H$494-G$494)</f>
        <v>1.7999999999999998E-4</v>
      </c>
      <c r="I509" s="1659">
        <f t="shared" ref="I509:N509" si="156">H509+$E509*(I$494-H$494)</f>
        <v>1.7999999999999998E-4</v>
      </c>
      <c r="J509" s="1659">
        <f t="shared" si="156"/>
        <v>1.7999999999999998E-4</v>
      </c>
      <c r="K509" s="1659">
        <f t="shared" si="156"/>
        <v>1.7999999999999998E-4</v>
      </c>
      <c r="L509" s="1659">
        <f t="shared" si="156"/>
        <v>1.7999999999999998E-4</v>
      </c>
      <c r="M509" s="1659">
        <f t="shared" si="156"/>
        <v>1.7999999999999998E-4</v>
      </c>
      <c r="N509" s="1659">
        <f t="shared" si="156"/>
        <v>1.7999999999999998E-4</v>
      </c>
      <c r="O509" s="1658">
        <f>120*1.5*GBP</f>
        <v>1.7999999999999998E-4</v>
      </c>
      <c r="P509" s="1389"/>
    </row>
    <row r="510" spans="2:16">
      <c r="B510" s="1389"/>
      <c r="C510" s="968">
        <v>2</v>
      </c>
      <c r="D510" s="968" t="s">
        <v>1194</v>
      </c>
      <c r="E510" s="1631">
        <f t="shared" ref="E510:E511" si="157">(O510-G510)/(O$494-G$494)</f>
        <v>0</v>
      </c>
      <c r="F510" s="1653">
        <f t="shared" si="155"/>
        <v>1.7999999999999998E-4</v>
      </c>
      <c r="G510" s="1653">
        <f t="shared" si="155"/>
        <v>1.7999999999999998E-4</v>
      </c>
      <c r="H510" s="1654">
        <f t="shared" ref="H510:N510" si="158">G510+$E510*(H$494-G$494)</f>
        <v>1.7999999999999998E-4</v>
      </c>
      <c r="I510" s="1654">
        <f t="shared" si="158"/>
        <v>1.7999999999999998E-4</v>
      </c>
      <c r="J510" s="1654">
        <f t="shared" si="158"/>
        <v>1.7999999999999998E-4</v>
      </c>
      <c r="K510" s="1654">
        <f t="shared" si="158"/>
        <v>1.7999999999999998E-4</v>
      </c>
      <c r="L510" s="1654">
        <f t="shared" si="158"/>
        <v>1.7999999999999998E-4</v>
      </c>
      <c r="M510" s="1654">
        <f t="shared" si="158"/>
        <v>1.7999999999999998E-4</v>
      </c>
      <c r="N510" s="1654">
        <f t="shared" si="158"/>
        <v>1.7999999999999998E-4</v>
      </c>
      <c r="O510" s="1653">
        <f>120*1.5*GBP</f>
        <v>1.7999999999999998E-4</v>
      </c>
      <c r="P510" s="1389"/>
    </row>
    <row r="511" spans="2:16">
      <c r="B511" s="1389"/>
      <c r="C511" s="1392">
        <v>3</v>
      </c>
      <c r="D511" s="1392" t="s">
        <v>1110</v>
      </c>
      <c r="E511" s="1669">
        <f t="shared" si="157"/>
        <v>0</v>
      </c>
      <c r="F511" s="1662">
        <f t="shared" si="155"/>
        <v>1.7999999999999998E-4</v>
      </c>
      <c r="G511" s="1662">
        <f t="shared" si="155"/>
        <v>1.7999999999999998E-4</v>
      </c>
      <c r="H511" s="1663">
        <f t="shared" ref="H511:N511" si="159">G511+$E511*(H$494-G$494)</f>
        <v>1.7999999999999998E-4</v>
      </c>
      <c r="I511" s="1663">
        <f t="shared" si="159"/>
        <v>1.7999999999999998E-4</v>
      </c>
      <c r="J511" s="1663">
        <f t="shared" si="159"/>
        <v>1.7999999999999998E-4</v>
      </c>
      <c r="K511" s="1663">
        <f t="shared" si="159"/>
        <v>1.7999999999999998E-4</v>
      </c>
      <c r="L511" s="1663">
        <f t="shared" si="159"/>
        <v>1.7999999999999998E-4</v>
      </c>
      <c r="M511" s="1663">
        <f t="shared" si="159"/>
        <v>1.7999999999999998E-4</v>
      </c>
      <c r="N511" s="1663">
        <f t="shared" si="159"/>
        <v>1.7999999999999998E-4</v>
      </c>
      <c r="O511" s="1662">
        <f>120*1.5*GBP</f>
        <v>1.7999999999999998E-4</v>
      </c>
      <c r="P511" s="1389"/>
    </row>
    <row r="512" spans="2:16">
      <c r="B512" s="1389"/>
      <c r="C512" s="968"/>
      <c r="D512" s="968"/>
      <c r="E512" s="1551"/>
      <c r="F512" s="1512"/>
      <c r="G512" s="1512"/>
      <c r="H512" s="1513"/>
      <c r="I512" s="1513"/>
      <c r="J512" s="1513"/>
      <c r="K512" s="1513"/>
      <c r="L512" s="1513"/>
      <c r="M512" s="1513"/>
      <c r="N512" s="1513"/>
      <c r="O512" s="1550"/>
      <c r="P512" s="1389"/>
    </row>
    <row r="513" spans="2:16">
      <c r="B513" s="1389"/>
      <c r="C513" s="1159" t="s">
        <v>1786</v>
      </c>
      <c r="D513" s="1389"/>
      <c r="E513" s="1389"/>
      <c r="F513" s="1389"/>
      <c r="G513" s="1389"/>
      <c r="H513" s="1389"/>
      <c r="I513" s="1389"/>
      <c r="J513" s="1389"/>
      <c r="K513" s="1389"/>
      <c r="L513" s="1389"/>
      <c r="M513" s="1389"/>
      <c r="N513" s="1389"/>
      <c r="O513" s="1389"/>
      <c r="P513" s="1389"/>
    </row>
    <row r="514" spans="2:16">
      <c r="B514" s="1389"/>
      <c r="C514" s="968" t="str">
        <f>Preferences.moneyunits&amp;"/household"</f>
        <v>£m/household</v>
      </c>
      <c r="D514" s="1389"/>
      <c r="E514" s="1389"/>
      <c r="F514" s="1389"/>
      <c r="G514" s="1389"/>
      <c r="H514" s="1389"/>
      <c r="I514" s="1389"/>
      <c r="J514" s="1389"/>
      <c r="K514" s="1389"/>
      <c r="L514" s="1389"/>
      <c r="M514" s="1389"/>
      <c r="N514" s="1389"/>
      <c r="O514" s="1389"/>
      <c r="P514" s="1389"/>
    </row>
    <row r="515" spans="2:16">
      <c r="B515" s="1389"/>
      <c r="C515" s="1612"/>
      <c r="D515" s="1612"/>
      <c r="E515" s="1672" t="s">
        <v>1404</v>
      </c>
      <c r="F515" s="1670">
        <v>2007</v>
      </c>
      <c r="G515" s="1671">
        <v>2010</v>
      </c>
      <c r="H515" s="1671">
        <v>2015</v>
      </c>
      <c r="I515" s="1671">
        <v>2020</v>
      </c>
      <c r="J515" s="1671">
        <v>2025</v>
      </c>
      <c r="K515" s="1671">
        <v>2030</v>
      </c>
      <c r="L515" s="1671">
        <v>2035</v>
      </c>
      <c r="M515" s="1671">
        <v>2040</v>
      </c>
      <c r="N515" s="1671">
        <v>2045</v>
      </c>
      <c r="O515" s="1671">
        <v>2050</v>
      </c>
      <c r="P515" s="1389"/>
    </row>
    <row r="516" spans="2:16">
      <c r="B516" s="1389"/>
      <c r="C516" s="1655">
        <v>1</v>
      </c>
      <c r="D516" s="1664" t="s">
        <v>926</v>
      </c>
      <c r="E516" s="1657">
        <f>(O516-G516)/(O$515-G$515)</f>
        <v>0</v>
      </c>
      <c r="F516" s="1658">
        <f>((F537+(F495-F537)*0.35))</f>
        <v>1.7999999999999998E-4</v>
      </c>
      <c r="G516" s="1658">
        <f>((G537+(G495-G537)*0.35))</f>
        <v>1.7999999999999998E-4</v>
      </c>
      <c r="H516" s="1659">
        <f>G516+$E516*(H$515-G$515)</f>
        <v>1.7999999999999998E-4</v>
      </c>
      <c r="I516" s="1659">
        <f t="shared" ref="I516:N516" si="160">H516+$E516*(I$515-H$515)</f>
        <v>1.7999999999999998E-4</v>
      </c>
      <c r="J516" s="1659">
        <f t="shared" si="160"/>
        <v>1.7999999999999998E-4</v>
      </c>
      <c r="K516" s="1659">
        <f t="shared" si="160"/>
        <v>1.7999999999999998E-4</v>
      </c>
      <c r="L516" s="1659">
        <f t="shared" si="160"/>
        <v>1.7999999999999998E-4</v>
      </c>
      <c r="M516" s="1659">
        <f t="shared" si="160"/>
        <v>1.7999999999999998E-4</v>
      </c>
      <c r="N516" s="1659">
        <f t="shared" si="160"/>
        <v>1.7999999999999998E-4</v>
      </c>
      <c r="O516" s="1658">
        <f>((O537+(O495-O537)*0.35))</f>
        <v>1.7999999999999998E-4</v>
      </c>
      <c r="P516" s="1389"/>
    </row>
    <row r="517" spans="2:16">
      <c r="B517" s="1389"/>
      <c r="C517" s="789">
        <v>2</v>
      </c>
      <c r="D517" s="1541" t="s">
        <v>927</v>
      </c>
      <c r="E517" s="1652">
        <f t="shared" ref="E517:E528" si="161">(O517-G517)/(O$515-G$515)</f>
        <v>0</v>
      </c>
      <c r="F517" s="1653">
        <f t="shared" ref="F517:G517" si="162">((F538+(F496-F538)*0.35))</f>
        <v>1.7999999999999998E-4</v>
      </c>
      <c r="G517" s="1653">
        <f t="shared" si="162"/>
        <v>1.7999999999999998E-4</v>
      </c>
      <c r="H517" s="1654">
        <f t="shared" ref="H517:N517" si="163">G517+$E517*(H$515-G$515)</f>
        <v>1.7999999999999998E-4</v>
      </c>
      <c r="I517" s="1654">
        <f t="shared" si="163"/>
        <v>1.7999999999999998E-4</v>
      </c>
      <c r="J517" s="1654">
        <f t="shared" si="163"/>
        <v>1.7999999999999998E-4</v>
      </c>
      <c r="K517" s="1654">
        <f t="shared" si="163"/>
        <v>1.7999999999999998E-4</v>
      </c>
      <c r="L517" s="1654">
        <f t="shared" si="163"/>
        <v>1.7999999999999998E-4</v>
      </c>
      <c r="M517" s="1654">
        <f t="shared" si="163"/>
        <v>1.7999999999999998E-4</v>
      </c>
      <c r="N517" s="1654">
        <f t="shared" si="163"/>
        <v>1.7999999999999998E-4</v>
      </c>
      <c r="O517" s="1653">
        <f t="shared" ref="O517:O532" si="164">((O538+(O496-O538)*0.35))</f>
        <v>1.7999999999999998E-4</v>
      </c>
      <c r="P517" s="1389"/>
    </row>
    <row r="518" spans="2:16">
      <c r="B518" s="1389"/>
      <c r="C518" s="789">
        <v>3</v>
      </c>
      <c r="D518" s="1541" t="s">
        <v>669</v>
      </c>
      <c r="E518" s="1652">
        <f t="shared" si="161"/>
        <v>0</v>
      </c>
      <c r="F518" s="1653">
        <f t="shared" ref="F518:G518" si="165">((F539+(F497-F539)*0.35))</f>
        <v>1.9599999999999999E-4</v>
      </c>
      <c r="G518" s="1653">
        <f t="shared" si="165"/>
        <v>1.9599999999999999E-4</v>
      </c>
      <c r="H518" s="1654">
        <f t="shared" ref="H518:N518" si="166">G518+$E518*(H$515-G$515)</f>
        <v>1.9599999999999999E-4</v>
      </c>
      <c r="I518" s="1654">
        <f t="shared" si="166"/>
        <v>1.9599999999999999E-4</v>
      </c>
      <c r="J518" s="1654">
        <f t="shared" si="166"/>
        <v>1.9599999999999999E-4</v>
      </c>
      <c r="K518" s="1654">
        <f t="shared" si="166"/>
        <v>1.9599999999999999E-4</v>
      </c>
      <c r="L518" s="1654">
        <f t="shared" si="166"/>
        <v>1.9599999999999999E-4</v>
      </c>
      <c r="M518" s="1654">
        <f t="shared" si="166"/>
        <v>1.9599999999999999E-4</v>
      </c>
      <c r="N518" s="1654">
        <f t="shared" si="166"/>
        <v>1.9599999999999999E-4</v>
      </c>
      <c r="O518" s="1653">
        <f t="shared" si="164"/>
        <v>1.9599999999999999E-4</v>
      </c>
      <c r="P518" s="1389"/>
    </row>
    <row r="519" spans="2:16">
      <c r="B519" s="1389"/>
      <c r="C519" s="789">
        <v>4</v>
      </c>
      <c r="D519" s="1541" t="s">
        <v>671</v>
      </c>
      <c r="E519" s="1652">
        <f t="shared" si="161"/>
        <v>0</v>
      </c>
      <c r="F519" s="1653">
        <f t="shared" ref="F519:G519" si="167">((F540+(F498-F540)*0.35))</f>
        <v>1.7999999999999998E-4</v>
      </c>
      <c r="G519" s="1653">
        <f t="shared" si="167"/>
        <v>1.7999999999999998E-4</v>
      </c>
      <c r="H519" s="1654">
        <f t="shared" ref="H519:N519" si="168">G519+$E519*(H$515-G$515)</f>
        <v>1.7999999999999998E-4</v>
      </c>
      <c r="I519" s="1654">
        <f t="shared" si="168"/>
        <v>1.7999999999999998E-4</v>
      </c>
      <c r="J519" s="1654">
        <f t="shared" si="168"/>
        <v>1.7999999999999998E-4</v>
      </c>
      <c r="K519" s="1654">
        <f t="shared" si="168"/>
        <v>1.7999999999999998E-4</v>
      </c>
      <c r="L519" s="1654">
        <f t="shared" si="168"/>
        <v>1.7999999999999998E-4</v>
      </c>
      <c r="M519" s="1654">
        <f t="shared" si="168"/>
        <v>1.7999999999999998E-4</v>
      </c>
      <c r="N519" s="1654">
        <f t="shared" si="168"/>
        <v>1.7999999999999998E-4</v>
      </c>
      <c r="O519" s="1653">
        <f t="shared" si="164"/>
        <v>1.7999999999999998E-4</v>
      </c>
      <c r="P519" s="1389"/>
    </row>
    <row r="520" spans="2:16">
      <c r="B520" s="1389"/>
      <c r="C520" s="789">
        <v>5</v>
      </c>
      <c r="D520" s="1541" t="s">
        <v>670</v>
      </c>
      <c r="E520" s="1652">
        <f t="shared" si="161"/>
        <v>0</v>
      </c>
      <c r="F520" s="1653">
        <f t="shared" ref="F520:G520" si="169">((F541+(F499-F541)*0.35))</f>
        <v>3.2499999999999999E-4</v>
      </c>
      <c r="G520" s="1653">
        <f t="shared" si="169"/>
        <v>3.2499999999999999E-4</v>
      </c>
      <c r="H520" s="1654">
        <f t="shared" ref="H520:N520" si="170">G520+$E520*(H$515-G$515)</f>
        <v>3.2499999999999999E-4</v>
      </c>
      <c r="I520" s="1654">
        <f t="shared" si="170"/>
        <v>3.2499999999999999E-4</v>
      </c>
      <c r="J520" s="1654">
        <f t="shared" si="170"/>
        <v>3.2499999999999999E-4</v>
      </c>
      <c r="K520" s="1654">
        <f t="shared" si="170"/>
        <v>3.2499999999999999E-4</v>
      </c>
      <c r="L520" s="1654">
        <f t="shared" si="170"/>
        <v>3.2499999999999999E-4</v>
      </c>
      <c r="M520" s="1654">
        <f t="shared" si="170"/>
        <v>3.2499999999999999E-4</v>
      </c>
      <c r="N520" s="1654">
        <f t="shared" si="170"/>
        <v>3.2499999999999999E-4</v>
      </c>
      <c r="O520" s="1653">
        <f t="shared" si="164"/>
        <v>3.2499999999999999E-4</v>
      </c>
      <c r="P520" s="1389"/>
    </row>
    <row r="521" spans="2:16">
      <c r="B521" s="1389"/>
      <c r="C521" s="789">
        <v>6</v>
      </c>
      <c r="D521" s="1541" t="s">
        <v>929</v>
      </c>
      <c r="E521" s="1652">
        <f t="shared" si="161"/>
        <v>0</v>
      </c>
      <c r="F521" s="1653">
        <f t="shared" ref="F521:G521" si="171">((F542+(F500-F542)*0.35))</f>
        <v>1.7999999999999998E-4</v>
      </c>
      <c r="G521" s="1653">
        <f t="shared" si="171"/>
        <v>1.7999999999999998E-4</v>
      </c>
      <c r="H521" s="1654">
        <f t="shared" ref="H521:N521" si="172">G521+$E521*(H$515-G$515)</f>
        <v>1.7999999999999998E-4</v>
      </c>
      <c r="I521" s="1654">
        <f t="shared" si="172"/>
        <v>1.7999999999999998E-4</v>
      </c>
      <c r="J521" s="1654">
        <f t="shared" si="172"/>
        <v>1.7999999999999998E-4</v>
      </c>
      <c r="K521" s="1654">
        <f t="shared" si="172"/>
        <v>1.7999999999999998E-4</v>
      </c>
      <c r="L521" s="1654">
        <f t="shared" si="172"/>
        <v>1.7999999999999998E-4</v>
      </c>
      <c r="M521" s="1654">
        <f t="shared" si="172"/>
        <v>1.7999999999999998E-4</v>
      </c>
      <c r="N521" s="1654">
        <f t="shared" si="172"/>
        <v>1.7999999999999998E-4</v>
      </c>
      <c r="O521" s="1653">
        <f t="shared" si="164"/>
        <v>1.7999999999999998E-4</v>
      </c>
      <c r="P521" s="1389"/>
    </row>
    <row r="522" spans="2:16">
      <c r="B522" s="1389"/>
      <c r="C522" s="789">
        <v>7</v>
      </c>
      <c r="D522" s="1541" t="s">
        <v>1587</v>
      </c>
      <c r="E522" s="1652">
        <f t="shared" si="161"/>
        <v>0</v>
      </c>
      <c r="F522" s="1653">
        <f t="shared" ref="F522:G522" si="173">((F543+(F501-F543)*0.35))</f>
        <v>1.7999999999999998E-4</v>
      </c>
      <c r="G522" s="1653">
        <f t="shared" si="173"/>
        <v>1.7999999999999998E-4</v>
      </c>
      <c r="H522" s="1654">
        <f t="shared" ref="H522:N522" si="174">G522+$E522*(H$515-G$515)</f>
        <v>1.7999999999999998E-4</v>
      </c>
      <c r="I522" s="1654">
        <f t="shared" si="174"/>
        <v>1.7999999999999998E-4</v>
      </c>
      <c r="J522" s="1654">
        <f t="shared" si="174"/>
        <v>1.7999999999999998E-4</v>
      </c>
      <c r="K522" s="1654">
        <f t="shared" si="174"/>
        <v>1.7999999999999998E-4</v>
      </c>
      <c r="L522" s="1654">
        <f t="shared" si="174"/>
        <v>1.7999999999999998E-4</v>
      </c>
      <c r="M522" s="1654">
        <f t="shared" si="174"/>
        <v>1.7999999999999998E-4</v>
      </c>
      <c r="N522" s="1654">
        <f t="shared" si="174"/>
        <v>1.7999999999999998E-4</v>
      </c>
      <c r="O522" s="1653">
        <f t="shared" si="164"/>
        <v>1.7999999999999998E-4</v>
      </c>
      <c r="P522" s="1389"/>
    </row>
    <row r="523" spans="2:16">
      <c r="B523" s="1389"/>
      <c r="C523" s="789">
        <v>8</v>
      </c>
      <c r="D523" s="1541" t="s">
        <v>930</v>
      </c>
      <c r="E523" s="1652">
        <f t="shared" si="161"/>
        <v>0</v>
      </c>
      <c r="F523" s="1653">
        <f t="shared" ref="F523:G523" si="175">((F544+(F502-F544)*0.35))</f>
        <v>7.9803141398383191E-5</v>
      </c>
      <c r="G523" s="1653">
        <f t="shared" si="175"/>
        <v>7.9803141398383191E-5</v>
      </c>
      <c r="H523" s="1654">
        <f t="shared" ref="H523:N523" si="176">G523+$E523*(H$515-G$515)</f>
        <v>7.9803141398383191E-5</v>
      </c>
      <c r="I523" s="1654">
        <f t="shared" si="176"/>
        <v>7.9803141398383191E-5</v>
      </c>
      <c r="J523" s="1654">
        <f t="shared" si="176"/>
        <v>7.9803141398383191E-5</v>
      </c>
      <c r="K523" s="1654">
        <f t="shared" si="176"/>
        <v>7.9803141398383191E-5</v>
      </c>
      <c r="L523" s="1654">
        <f t="shared" si="176"/>
        <v>7.9803141398383191E-5</v>
      </c>
      <c r="M523" s="1654">
        <f t="shared" si="176"/>
        <v>7.9803141398383191E-5</v>
      </c>
      <c r="N523" s="1654">
        <f t="shared" si="176"/>
        <v>7.9803141398383191E-5</v>
      </c>
      <c r="O523" s="1653">
        <f t="shared" si="164"/>
        <v>7.9803141398383191E-5</v>
      </c>
      <c r="P523" s="1389"/>
    </row>
    <row r="524" spans="2:16">
      <c r="B524" s="1389"/>
      <c r="C524" s="789">
        <v>9</v>
      </c>
      <c r="D524" s="1541" t="s">
        <v>931</v>
      </c>
      <c r="E524" s="1652">
        <f t="shared" si="161"/>
        <v>0</v>
      </c>
      <c r="F524" s="1653">
        <f t="shared" ref="F524:G524" si="177">((F545+(F503-F545)*0.35))</f>
        <v>7.0353141398383178E-5</v>
      </c>
      <c r="G524" s="1653">
        <f t="shared" si="177"/>
        <v>7.0353141398383178E-5</v>
      </c>
      <c r="H524" s="1654">
        <f t="shared" ref="H524:N524" si="178">G524+$E524*(H$515-G$515)</f>
        <v>7.0353141398383178E-5</v>
      </c>
      <c r="I524" s="1654">
        <f t="shared" si="178"/>
        <v>7.0353141398383178E-5</v>
      </c>
      <c r="J524" s="1654">
        <f t="shared" si="178"/>
        <v>7.0353141398383178E-5</v>
      </c>
      <c r="K524" s="1654">
        <f t="shared" si="178"/>
        <v>7.0353141398383178E-5</v>
      </c>
      <c r="L524" s="1654">
        <f t="shared" si="178"/>
        <v>7.0353141398383178E-5</v>
      </c>
      <c r="M524" s="1654">
        <f t="shared" si="178"/>
        <v>7.0353141398383178E-5</v>
      </c>
      <c r="N524" s="1654">
        <f t="shared" si="178"/>
        <v>7.0353141398383178E-5</v>
      </c>
      <c r="O524" s="1653">
        <f t="shared" si="164"/>
        <v>7.0353141398383178E-5</v>
      </c>
      <c r="P524" s="1389"/>
    </row>
    <row r="525" spans="2:16">
      <c r="B525" s="1389"/>
      <c r="C525" s="789">
        <v>10</v>
      </c>
      <c r="D525" s="1541" t="s">
        <v>3</v>
      </c>
      <c r="E525" s="1652">
        <f t="shared" si="161"/>
        <v>0</v>
      </c>
      <c r="F525" s="1653">
        <f t="shared" ref="F525:G525" si="179">((F546+(F504-F546)*0.35))</f>
        <v>1.1139182364521794E-3</v>
      </c>
      <c r="G525" s="1653">
        <f t="shared" si="179"/>
        <v>1.1139182364521794E-3</v>
      </c>
      <c r="H525" s="1654">
        <f t="shared" ref="H525:N525" si="180">G525+$E525*(H$515-G$515)</f>
        <v>1.1139182364521794E-3</v>
      </c>
      <c r="I525" s="1654">
        <f t="shared" si="180"/>
        <v>1.1139182364521794E-3</v>
      </c>
      <c r="J525" s="1654">
        <f t="shared" si="180"/>
        <v>1.1139182364521794E-3</v>
      </c>
      <c r="K525" s="1654">
        <f t="shared" si="180"/>
        <v>1.1139182364521794E-3</v>
      </c>
      <c r="L525" s="1654">
        <f t="shared" si="180"/>
        <v>1.1139182364521794E-3</v>
      </c>
      <c r="M525" s="1654">
        <f t="shared" si="180"/>
        <v>1.1139182364521794E-3</v>
      </c>
      <c r="N525" s="1654">
        <f t="shared" si="180"/>
        <v>1.1139182364521794E-3</v>
      </c>
      <c r="O525" s="1653">
        <f t="shared" si="164"/>
        <v>1.1139182364521794E-3</v>
      </c>
      <c r="P525" s="1389"/>
    </row>
    <row r="526" spans="2:16">
      <c r="B526" s="1389"/>
      <c r="C526" s="789">
        <v>11</v>
      </c>
      <c r="D526" s="1541" t="s">
        <v>1102</v>
      </c>
      <c r="E526" s="1652">
        <f>(O526-G526)/(O$515-G$515)</f>
        <v>0</v>
      </c>
      <c r="F526" s="1653">
        <f t="shared" ref="F526:G526" si="181">((F547+(F505-F547)*0.35))</f>
        <v>4.8324018236452172E-4</v>
      </c>
      <c r="G526" s="1653">
        <f t="shared" si="181"/>
        <v>4.8324018236452172E-4</v>
      </c>
      <c r="H526" s="1654">
        <f t="shared" ref="H526:N526" si="182">G526+$E526*(H$515-G$515)</f>
        <v>4.8324018236452172E-4</v>
      </c>
      <c r="I526" s="1654">
        <f t="shared" si="182"/>
        <v>4.8324018236452172E-4</v>
      </c>
      <c r="J526" s="1654">
        <f t="shared" si="182"/>
        <v>4.8324018236452172E-4</v>
      </c>
      <c r="K526" s="1654">
        <f t="shared" si="182"/>
        <v>4.8324018236452172E-4</v>
      </c>
      <c r="L526" s="1654">
        <f>K526+$E526*(L$515-K$515)</f>
        <v>4.8324018236452172E-4</v>
      </c>
      <c r="M526" s="1654">
        <f t="shared" si="182"/>
        <v>4.8324018236452172E-4</v>
      </c>
      <c r="N526" s="1654">
        <f t="shared" si="182"/>
        <v>4.8324018236452172E-4</v>
      </c>
      <c r="O526" s="1653">
        <f t="shared" si="164"/>
        <v>4.8324018236452172E-4</v>
      </c>
      <c r="P526" s="1389"/>
    </row>
    <row r="527" spans="2:16">
      <c r="B527" s="1389"/>
      <c r="C527" s="789">
        <v>12</v>
      </c>
      <c r="D527" s="1541" t="s">
        <v>1103</v>
      </c>
      <c r="E527" s="1652">
        <f t="shared" si="161"/>
        <v>0</v>
      </c>
      <c r="F527" s="1653">
        <f t="shared" ref="F527:G527" si="183">((F548+(F506-F548)*0.35))</f>
        <v>1.029E-3</v>
      </c>
      <c r="G527" s="1653">
        <f t="shared" si="183"/>
        <v>1.029E-3</v>
      </c>
      <c r="H527" s="1654">
        <f t="shared" ref="H527:N527" si="184">G527+$E527*(H$515-G$515)</f>
        <v>1.029E-3</v>
      </c>
      <c r="I527" s="1654">
        <f t="shared" si="184"/>
        <v>1.029E-3</v>
      </c>
      <c r="J527" s="1654">
        <f t="shared" si="184"/>
        <v>1.029E-3</v>
      </c>
      <c r="K527" s="1654">
        <f t="shared" si="184"/>
        <v>1.029E-3</v>
      </c>
      <c r="L527" s="1654">
        <f t="shared" si="184"/>
        <v>1.029E-3</v>
      </c>
      <c r="M527" s="1654">
        <f t="shared" si="184"/>
        <v>1.029E-3</v>
      </c>
      <c r="N527" s="1654">
        <f t="shared" si="184"/>
        <v>1.029E-3</v>
      </c>
      <c r="O527" s="1653">
        <f t="shared" si="164"/>
        <v>1.029E-3</v>
      </c>
      <c r="P527" s="1389"/>
    </row>
    <row r="528" spans="2:16">
      <c r="B528" s="1389"/>
      <c r="C528" s="719">
        <v>13</v>
      </c>
      <c r="D528" s="1665" t="s">
        <v>932</v>
      </c>
      <c r="E528" s="1661">
        <f t="shared" si="161"/>
        <v>0</v>
      </c>
      <c r="F528" s="1662">
        <f t="shared" ref="F528:G530" si="185">((F549+(F507-F549)*0.35))</f>
        <v>8.4999999999999993E-5</v>
      </c>
      <c r="G528" s="1662">
        <f t="shared" si="185"/>
        <v>8.4999999999999993E-5</v>
      </c>
      <c r="H528" s="1663">
        <f t="shared" ref="H528:N528" si="186">G528+$E528*(H$515-G$515)</f>
        <v>8.4999999999999993E-5</v>
      </c>
      <c r="I528" s="1663">
        <f t="shared" si="186"/>
        <v>8.4999999999999993E-5</v>
      </c>
      <c r="J528" s="1663">
        <f t="shared" si="186"/>
        <v>8.4999999999999993E-5</v>
      </c>
      <c r="K528" s="1663">
        <f t="shared" si="186"/>
        <v>8.4999999999999993E-5</v>
      </c>
      <c r="L528" s="1663">
        <f t="shared" si="186"/>
        <v>8.4999999999999993E-5</v>
      </c>
      <c r="M528" s="1663">
        <f>L528+$E528*(M$515-L$515)</f>
        <v>8.4999999999999993E-5</v>
      </c>
      <c r="N528" s="1663">
        <f t="shared" si="186"/>
        <v>8.4999999999999993E-5</v>
      </c>
      <c r="O528" s="1662">
        <f t="shared" si="164"/>
        <v>8.4999999999999993E-5</v>
      </c>
      <c r="P528" s="1389"/>
    </row>
    <row r="529" spans="2:16">
      <c r="B529" s="1389"/>
      <c r="C529" s="968"/>
      <c r="D529" s="968"/>
      <c r="E529" s="1551"/>
      <c r="F529" s="1512"/>
      <c r="G529" s="1548"/>
      <c r="H529" s="1552"/>
      <c r="I529" s="1552"/>
      <c r="J529" s="1552"/>
      <c r="K529" s="1552"/>
      <c r="L529" s="1552"/>
      <c r="M529" s="1552"/>
      <c r="N529" s="1552"/>
      <c r="O529" s="1552"/>
      <c r="P529" s="1389"/>
    </row>
    <row r="530" spans="2:16">
      <c r="B530" s="1389"/>
      <c r="C530" s="1612">
        <v>1</v>
      </c>
      <c r="D530" s="1612" t="s">
        <v>1193</v>
      </c>
      <c r="E530" s="1657">
        <f>(O530-G530)/(O$515-G$515)</f>
        <v>0</v>
      </c>
      <c r="F530" s="1658">
        <f t="shared" si="185"/>
        <v>1.0199999999999999E-4</v>
      </c>
      <c r="G530" s="1658">
        <f>((G551+(G509-G551)*0.35))</f>
        <v>1.0199999999999999E-4</v>
      </c>
      <c r="H530" s="1659">
        <f>G530+$E530*(H$426-G$426)</f>
        <v>1.0199999999999999E-4</v>
      </c>
      <c r="I530" s="1659">
        <f t="shared" ref="I530:N530" si="187">H530+$E530*(I$426-H$426)</f>
        <v>1.0199999999999999E-4</v>
      </c>
      <c r="J530" s="1659">
        <f t="shared" si="187"/>
        <v>1.0199999999999999E-4</v>
      </c>
      <c r="K530" s="1659">
        <f t="shared" si="187"/>
        <v>1.0199999999999999E-4</v>
      </c>
      <c r="L530" s="1659">
        <f t="shared" si="187"/>
        <v>1.0199999999999999E-4</v>
      </c>
      <c r="M530" s="1659">
        <f t="shared" si="187"/>
        <v>1.0199999999999999E-4</v>
      </c>
      <c r="N530" s="1659">
        <f t="shared" si="187"/>
        <v>1.0199999999999999E-4</v>
      </c>
      <c r="O530" s="1658">
        <f t="shared" si="164"/>
        <v>1.0199999999999999E-4</v>
      </c>
      <c r="P530" s="1389"/>
    </row>
    <row r="531" spans="2:16">
      <c r="B531" s="1389"/>
      <c r="C531" s="968">
        <v>2</v>
      </c>
      <c r="D531" s="968" t="s">
        <v>1194</v>
      </c>
      <c r="E531" s="1652">
        <f t="shared" ref="E531:E532" si="188">(O531-G531)/(O$515-G$515)</f>
        <v>0</v>
      </c>
      <c r="F531" s="1653">
        <f t="shared" ref="F531:G531" si="189">((F552+(F510-F552)*0.35))</f>
        <v>1.0199999999999999E-4</v>
      </c>
      <c r="G531" s="1653">
        <f t="shared" si="189"/>
        <v>1.0199999999999999E-4</v>
      </c>
      <c r="H531" s="1654">
        <f t="shared" ref="H531:N531" si="190">G531+$E531*(H$426-G$426)</f>
        <v>1.0199999999999999E-4</v>
      </c>
      <c r="I531" s="1654">
        <f t="shared" si="190"/>
        <v>1.0199999999999999E-4</v>
      </c>
      <c r="J531" s="1654">
        <f t="shared" si="190"/>
        <v>1.0199999999999999E-4</v>
      </c>
      <c r="K531" s="1654">
        <f t="shared" si="190"/>
        <v>1.0199999999999999E-4</v>
      </c>
      <c r="L531" s="1654">
        <f t="shared" si="190"/>
        <v>1.0199999999999999E-4</v>
      </c>
      <c r="M531" s="1654">
        <f t="shared" si="190"/>
        <v>1.0199999999999999E-4</v>
      </c>
      <c r="N531" s="1654">
        <f t="shared" si="190"/>
        <v>1.0199999999999999E-4</v>
      </c>
      <c r="O531" s="1653">
        <f t="shared" si="164"/>
        <v>1.0199999999999999E-4</v>
      </c>
      <c r="P531" s="1389"/>
    </row>
    <row r="532" spans="2:16">
      <c r="B532" s="1389"/>
      <c r="C532" s="1392">
        <v>3</v>
      </c>
      <c r="D532" s="1392" t="s">
        <v>1110</v>
      </c>
      <c r="E532" s="1661">
        <f t="shared" si="188"/>
        <v>0</v>
      </c>
      <c r="F532" s="1662">
        <f t="shared" ref="F532:G532" si="191">((F553+(F511-F553)*0.35))</f>
        <v>1.0199999999999999E-4</v>
      </c>
      <c r="G532" s="1662">
        <f t="shared" si="191"/>
        <v>1.0199999999999999E-4</v>
      </c>
      <c r="H532" s="1663">
        <f t="shared" ref="H532:N532" si="192">G532+$E532*(H$426-G$426)</f>
        <v>1.0199999999999999E-4</v>
      </c>
      <c r="I532" s="1663">
        <f t="shared" si="192"/>
        <v>1.0199999999999999E-4</v>
      </c>
      <c r="J532" s="1663">
        <f t="shared" si="192"/>
        <v>1.0199999999999999E-4</v>
      </c>
      <c r="K532" s="1663">
        <f t="shared" si="192"/>
        <v>1.0199999999999999E-4</v>
      </c>
      <c r="L532" s="1663">
        <f t="shared" si="192"/>
        <v>1.0199999999999999E-4</v>
      </c>
      <c r="M532" s="1663">
        <f t="shared" si="192"/>
        <v>1.0199999999999999E-4</v>
      </c>
      <c r="N532" s="1663">
        <f t="shared" si="192"/>
        <v>1.0199999999999999E-4</v>
      </c>
      <c r="O532" s="1662">
        <f t="shared" si="164"/>
        <v>1.0199999999999999E-4</v>
      </c>
      <c r="P532" s="1389"/>
    </row>
    <row r="533" spans="2:16">
      <c r="B533" s="1389"/>
      <c r="C533" s="1513"/>
      <c r="D533" s="1389"/>
      <c r="E533" s="1389"/>
      <c r="F533" s="1552"/>
      <c r="G533" s="1552"/>
      <c r="H533" s="1552"/>
      <c r="I533" s="1552"/>
      <c r="J533" s="1552"/>
      <c r="K533" s="1552"/>
      <c r="L533" s="1552"/>
      <c r="M533" s="1552"/>
      <c r="N533" s="1552"/>
      <c r="O533" s="1552"/>
      <c r="P533" s="1389"/>
    </row>
    <row r="534" spans="2:16">
      <c r="B534" s="1389"/>
      <c r="C534" s="1159" t="s">
        <v>1690</v>
      </c>
      <c r="D534" s="1389"/>
      <c r="E534" s="1389"/>
      <c r="F534" s="1552"/>
      <c r="G534" s="1552"/>
      <c r="H534" s="1552"/>
      <c r="I534" s="1552"/>
      <c r="J534" s="1552"/>
      <c r="K534" s="1552"/>
      <c r="L534" s="1552"/>
      <c r="M534" s="1552"/>
      <c r="N534" s="1552"/>
      <c r="O534" s="1552"/>
      <c r="P534" s="1389"/>
    </row>
    <row r="535" spans="2:16">
      <c r="B535" s="1389"/>
      <c r="C535" s="968" t="str">
        <f>Preferences.moneyunits&amp;"/household"</f>
        <v>£m/household</v>
      </c>
      <c r="D535" s="1389"/>
      <c r="E535" s="1389"/>
      <c r="F535" s="1552"/>
      <c r="G535" s="1552"/>
      <c r="H535" s="1552"/>
      <c r="I535" s="1552"/>
      <c r="J535" s="1552"/>
      <c r="K535" s="1552"/>
      <c r="L535" s="1552"/>
      <c r="M535" s="1552"/>
      <c r="N535" s="1552"/>
      <c r="O535" s="1552"/>
      <c r="P535" s="1389"/>
    </row>
    <row r="536" spans="2:16">
      <c r="B536" s="1389"/>
      <c r="C536" s="1547"/>
      <c r="D536" s="1612"/>
      <c r="E536" s="1672" t="s">
        <v>1404</v>
      </c>
      <c r="F536" s="1670">
        <v>2007</v>
      </c>
      <c r="G536" s="1671">
        <v>2010</v>
      </c>
      <c r="H536" s="1671">
        <v>2015</v>
      </c>
      <c r="I536" s="1671">
        <v>2020</v>
      </c>
      <c r="J536" s="1671">
        <v>2025</v>
      </c>
      <c r="K536" s="1671">
        <v>2030</v>
      </c>
      <c r="L536" s="1671">
        <v>2035</v>
      </c>
      <c r="M536" s="1671">
        <v>2040</v>
      </c>
      <c r="N536" s="1671">
        <v>2045</v>
      </c>
      <c r="O536" s="1671">
        <v>2050</v>
      </c>
      <c r="P536" s="1389"/>
    </row>
    <row r="537" spans="2:16">
      <c r="B537" s="1389"/>
      <c r="C537" s="1655">
        <v>1</v>
      </c>
      <c r="D537" s="1664" t="s">
        <v>926</v>
      </c>
      <c r="E537" s="1657">
        <f>(O537-G537)/(O$536-G$536)</f>
        <v>0</v>
      </c>
      <c r="F537" s="1658">
        <f>180*GBP</f>
        <v>1.7999999999999998E-4</v>
      </c>
      <c r="G537" s="1658">
        <f>180*GBP</f>
        <v>1.7999999999999998E-4</v>
      </c>
      <c r="H537" s="1659">
        <f>G537+$E537*(H$536-G$536)</f>
        <v>1.7999999999999998E-4</v>
      </c>
      <c r="I537" s="1659">
        <f t="shared" ref="I537:N537" si="193">H537+$E537*(I$536-H$536)</f>
        <v>1.7999999999999998E-4</v>
      </c>
      <c r="J537" s="1659">
        <f t="shared" si="193"/>
        <v>1.7999999999999998E-4</v>
      </c>
      <c r="K537" s="1659">
        <f t="shared" si="193"/>
        <v>1.7999999999999998E-4</v>
      </c>
      <c r="L537" s="1659">
        <f t="shared" si="193"/>
        <v>1.7999999999999998E-4</v>
      </c>
      <c r="M537" s="1659">
        <f t="shared" si="193"/>
        <v>1.7999999999999998E-4</v>
      </c>
      <c r="N537" s="1659">
        <f t="shared" si="193"/>
        <v>1.7999999999999998E-4</v>
      </c>
      <c r="O537" s="1658">
        <f>180*GBP</f>
        <v>1.7999999999999998E-4</v>
      </c>
      <c r="P537" s="1389"/>
    </row>
    <row r="538" spans="2:16">
      <c r="B538" s="1389"/>
      <c r="C538" s="789">
        <v>2</v>
      </c>
      <c r="D538" s="1541" t="s">
        <v>927</v>
      </c>
      <c r="E538" s="1652">
        <f t="shared" ref="E538:E549" si="194">(O538-G538)/(O$536-G$536)</f>
        <v>0</v>
      </c>
      <c r="F538" s="1653">
        <f>180*GBP</f>
        <v>1.7999999999999998E-4</v>
      </c>
      <c r="G538" s="1653">
        <f>180*GBP</f>
        <v>1.7999999999999998E-4</v>
      </c>
      <c r="H538" s="1654">
        <f t="shared" ref="H538:N538" si="195">G538+$E538*(H$536-G$536)</f>
        <v>1.7999999999999998E-4</v>
      </c>
      <c r="I538" s="1654">
        <f t="shared" si="195"/>
        <v>1.7999999999999998E-4</v>
      </c>
      <c r="J538" s="1654">
        <f t="shared" si="195"/>
        <v>1.7999999999999998E-4</v>
      </c>
      <c r="K538" s="1654">
        <f t="shared" si="195"/>
        <v>1.7999999999999998E-4</v>
      </c>
      <c r="L538" s="1654">
        <f t="shared" si="195"/>
        <v>1.7999999999999998E-4</v>
      </c>
      <c r="M538" s="1654">
        <f t="shared" si="195"/>
        <v>1.7999999999999998E-4</v>
      </c>
      <c r="N538" s="1654">
        <f t="shared" si="195"/>
        <v>1.7999999999999998E-4</v>
      </c>
      <c r="O538" s="1653">
        <f>180*GBP</f>
        <v>1.7999999999999998E-4</v>
      </c>
      <c r="P538" s="1389"/>
    </row>
    <row r="539" spans="2:16">
      <c r="B539" s="1389"/>
      <c r="C539" s="789">
        <v>3</v>
      </c>
      <c r="D539" s="1541" t="s">
        <v>669</v>
      </c>
      <c r="E539" s="1652">
        <f t="shared" si="194"/>
        <v>0</v>
      </c>
      <c r="F539" s="1653">
        <f>196*GBP</f>
        <v>1.9599999999999999E-4</v>
      </c>
      <c r="G539" s="1653">
        <f>196*GBP</f>
        <v>1.9599999999999999E-4</v>
      </c>
      <c r="H539" s="1654">
        <f t="shared" ref="H539:N539" si="196">G539+$E539*(H$536-G$536)</f>
        <v>1.9599999999999999E-4</v>
      </c>
      <c r="I539" s="1654">
        <f t="shared" si="196"/>
        <v>1.9599999999999999E-4</v>
      </c>
      <c r="J539" s="1654">
        <f t="shared" si="196"/>
        <v>1.9599999999999999E-4</v>
      </c>
      <c r="K539" s="1654">
        <f t="shared" si="196"/>
        <v>1.9599999999999999E-4</v>
      </c>
      <c r="L539" s="1654">
        <f t="shared" si="196"/>
        <v>1.9599999999999999E-4</v>
      </c>
      <c r="M539" s="1654">
        <f t="shared" si="196"/>
        <v>1.9599999999999999E-4</v>
      </c>
      <c r="N539" s="1654">
        <f t="shared" si="196"/>
        <v>1.9599999999999999E-4</v>
      </c>
      <c r="O539" s="1653">
        <f>196*GBP</f>
        <v>1.9599999999999999E-4</v>
      </c>
      <c r="P539" s="1389"/>
    </row>
    <row r="540" spans="2:16">
      <c r="B540" s="1389"/>
      <c r="C540" s="789">
        <v>4</v>
      </c>
      <c r="D540" s="1541" t="s">
        <v>671</v>
      </c>
      <c r="E540" s="1652">
        <f t="shared" si="194"/>
        <v>0</v>
      </c>
      <c r="F540" s="1653">
        <f>40*GBP</f>
        <v>3.9999999999999996E-5</v>
      </c>
      <c r="G540" s="1653">
        <f>40*GBP</f>
        <v>3.9999999999999996E-5</v>
      </c>
      <c r="H540" s="1654">
        <f t="shared" ref="H540:N540" si="197">G540+$E540*(H$536-G$536)</f>
        <v>3.9999999999999996E-5</v>
      </c>
      <c r="I540" s="1654">
        <f t="shared" si="197"/>
        <v>3.9999999999999996E-5</v>
      </c>
      <c r="J540" s="1654">
        <f t="shared" si="197"/>
        <v>3.9999999999999996E-5</v>
      </c>
      <c r="K540" s="1654">
        <f t="shared" si="197"/>
        <v>3.9999999999999996E-5</v>
      </c>
      <c r="L540" s="1654">
        <f t="shared" si="197"/>
        <v>3.9999999999999996E-5</v>
      </c>
      <c r="M540" s="1654">
        <f t="shared" si="197"/>
        <v>3.9999999999999996E-5</v>
      </c>
      <c r="N540" s="1654">
        <f t="shared" si="197"/>
        <v>3.9999999999999996E-5</v>
      </c>
      <c r="O540" s="1653">
        <f>40*GBP</f>
        <v>3.9999999999999996E-5</v>
      </c>
      <c r="P540" s="1389"/>
    </row>
    <row r="541" spans="2:16">
      <c r="B541" s="1389"/>
      <c r="C541" s="789">
        <v>5</v>
      </c>
      <c r="D541" s="1541" t="s">
        <v>670</v>
      </c>
      <c r="E541" s="1652">
        <f t="shared" si="194"/>
        <v>0</v>
      </c>
      <c r="F541" s="1653">
        <f>220*GBP</f>
        <v>2.1999999999999998E-4</v>
      </c>
      <c r="G541" s="1653">
        <f>220*GBP</f>
        <v>2.1999999999999998E-4</v>
      </c>
      <c r="H541" s="1654">
        <f t="shared" ref="H541:N541" si="198">G541+$E541*(H$536-G$536)</f>
        <v>2.1999999999999998E-4</v>
      </c>
      <c r="I541" s="1654">
        <f t="shared" si="198"/>
        <v>2.1999999999999998E-4</v>
      </c>
      <c r="J541" s="1654">
        <f t="shared" si="198"/>
        <v>2.1999999999999998E-4</v>
      </c>
      <c r="K541" s="1654">
        <f t="shared" si="198"/>
        <v>2.1999999999999998E-4</v>
      </c>
      <c r="L541" s="1654">
        <f t="shared" si="198"/>
        <v>2.1999999999999998E-4</v>
      </c>
      <c r="M541" s="1654">
        <f t="shared" si="198"/>
        <v>2.1999999999999998E-4</v>
      </c>
      <c r="N541" s="1654">
        <f t="shared" si="198"/>
        <v>2.1999999999999998E-4</v>
      </c>
      <c r="O541" s="1653">
        <f>220*GBP</f>
        <v>2.1999999999999998E-4</v>
      </c>
      <c r="P541" s="1389"/>
    </row>
    <row r="542" spans="2:16">
      <c r="B542" s="1389"/>
      <c r="C542" s="789">
        <v>6</v>
      </c>
      <c r="D542" s="1541" t="s">
        <v>929</v>
      </c>
      <c r="E542" s="1652">
        <f t="shared" si="194"/>
        <v>0</v>
      </c>
      <c r="F542" s="1653">
        <f>180*GBP</f>
        <v>1.7999999999999998E-4</v>
      </c>
      <c r="G542" s="1653">
        <f>180*GBP</f>
        <v>1.7999999999999998E-4</v>
      </c>
      <c r="H542" s="1654">
        <f t="shared" ref="H542:N542" si="199">G542+$E542*(H$536-G$536)</f>
        <v>1.7999999999999998E-4</v>
      </c>
      <c r="I542" s="1654">
        <f t="shared" si="199"/>
        <v>1.7999999999999998E-4</v>
      </c>
      <c r="J542" s="1654">
        <f t="shared" si="199"/>
        <v>1.7999999999999998E-4</v>
      </c>
      <c r="K542" s="1654">
        <f t="shared" si="199"/>
        <v>1.7999999999999998E-4</v>
      </c>
      <c r="L542" s="1654">
        <f t="shared" si="199"/>
        <v>1.7999999999999998E-4</v>
      </c>
      <c r="M542" s="1654">
        <f t="shared" si="199"/>
        <v>1.7999999999999998E-4</v>
      </c>
      <c r="N542" s="1654">
        <f t="shared" si="199"/>
        <v>1.7999999999999998E-4</v>
      </c>
      <c r="O542" s="1653">
        <f>180*GBP</f>
        <v>1.7999999999999998E-4</v>
      </c>
      <c r="P542" s="1389"/>
    </row>
    <row r="543" spans="2:16">
      <c r="B543" s="1389"/>
      <c r="C543" s="789">
        <v>7</v>
      </c>
      <c r="D543" s="1541" t="s">
        <v>1587</v>
      </c>
      <c r="E543" s="1652">
        <f t="shared" si="194"/>
        <v>0</v>
      </c>
      <c r="F543" s="1653">
        <f>180*GBP</f>
        <v>1.7999999999999998E-4</v>
      </c>
      <c r="G543" s="1653">
        <f>180*GBP</f>
        <v>1.7999999999999998E-4</v>
      </c>
      <c r="H543" s="1654">
        <f t="shared" ref="H543:N543" si="200">G543+$E543*(H$536-G$536)</f>
        <v>1.7999999999999998E-4</v>
      </c>
      <c r="I543" s="1654">
        <f t="shared" si="200"/>
        <v>1.7999999999999998E-4</v>
      </c>
      <c r="J543" s="1654">
        <f t="shared" si="200"/>
        <v>1.7999999999999998E-4</v>
      </c>
      <c r="K543" s="1654">
        <f t="shared" si="200"/>
        <v>1.7999999999999998E-4</v>
      </c>
      <c r="L543" s="1654">
        <f t="shared" si="200"/>
        <v>1.7999999999999998E-4</v>
      </c>
      <c r="M543" s="1654">
        <f t="shared" si="200"/>
        <v>1.7999999999999998E-4</v>
      </c>
      <c r="N543" s="1654">
        <f t="shared" si="200"/>
        <v>1.7999999999999998E-4</v>
      </c>
      <c r="O543" s="1653">
        <f>180*GBP</f>
        <v>1.7999999999999998E-4</v>
      </c>
      <c r="P543" s="1389"/>
    </row>
    <row r="544" spans="2:16">
      <c r="B544" s="1389"/>
      <c r="C544" s="789">
        <v>8</v>
      </c>
      <c r="D544" s="1541" t="s">
        <v>930</v>
      </c>
      <c r="E544" s="1652">
        <f t="shared" si="194"/>
        <v>0</v>
      </c>
      <c r="F544" s="1653">
        <f>54.3894483052049*GBP</f>
        <v>5.43894483052049E-5</v>
      </c>
      <c r="G544" s="1653">
        <f>54.3894483052049*GBP</f>
        <v>5.43894483052049E-5</v>
      </c>
      <c r="H544" s="1654">
        <f t="shared" ref="H544:N544" si="201">G544+$E544*(H$536-G$536)</f>
        <v>5.43894483052049E-5</v>
      </c>
      <c r="I544" s="1654">
        <f t="shared" si="201"/>
        <v>5.43894483052049E-5</v>
      </c>
      <c r="J544" s="1654">
        <f t="shared" si="201"/>
        <v>5.43894483052049E-5</v>
      </c>
      <c r="K544" s="1654">
        <f t="shared" si="201"/>
        <v>5.43894483052049E-5</v>
      </c>
      <c r="L544" s="1654">
        <f t="shared" si="201"/>
        <v>5.43894483052049E-5</v>
      </c>
      <c r="M544" s="1654">
        <f t="shared" si="201"/>
        <v>5.43894483052049E-5</v>
      </c>
      <c r="N544" s="1654">
        <f t="shared" si="201"/>
        <v>5.43894483052049E-5</v>
      </c>
      <c r="O544" s="1653">
        <f>54.3894483052049*GBP</f>
        <v>5.43894483052049E-5</v>
      </c>
      <c r="P544" s="1389"/>
    </row>
    <row r="545" spans="1:16">
      <c r="B545" s="1389"/>
      <c r="C545" s="789">
        <v>9</v>
      </c>
      <c r="D545" s="1541" t="s">
        <v>931</v>
      </c>
      <c r="E545" s="1652">
        <f t="shared" si="194"/>
        <v>0</v>
      </c>
      <c r="F545" s="1653">
        <f>54.3894483052049*GBP</f>
        <v>5.43894483052049E-5</v>
      </c>
      <c r="G545" s="1653">
        <f>54.3894483052049*GBP</f>
        <v>5.43894483052049E-5</v>
      </c>
      <c r="H545" s="1654">
        <f t="shared" ref="H545:N545" si="202">G545+$E545*(H$536-G$536)</f>
        <v>5.43894483052049E-5</v>
      </c>
      <c r="I545" s="1654">
        <f t="shared" si="202"/>
        <v>5.43894483052049E-5</v>
      </c>
      <c r="J545" s="1654">
        <f t="shared" si="202"/>
        <v>5.43894483052049E-5</v>
      </c>
      <c r="K545" s="1654">
        <f t="shared" si="202"/>
        <v>5.43894483052049E-5</v>
      </c>
      <c r="L545" s="1654">
        <f t="shared" si="202"/>
        <v>5.43894483052049E-5</v>
      </c>
      <c r="M545" s="1654">
        <f t="shared" si="202"/>
        <v>5.43894483052049E-5</v>
      </c>
      <c r="N545" s="1654">
        <f t="shared" si="202"/>
        <v>5.43894483052049E-5</v>
      </c>
      <c r="O545" s="1653">
        <f>54.3894483052049*GBP</f>
        <v>5.43894483052049E-5</v>
      </c>
      <c r="P545" s="1389"/>
    </row>
    <row r="546" spans="1:16">
      <c r="B546" s="1389"/>
      <c r="C546" s="789">
        <v>10</v>
      </c>
      <c r="D546" s="1541" t="s">
        <v>3</v>
      </c>
      <c r="E546" s="1652">
        <f t="shared" si="194"/>
        <v>0</v>
      </c>
      <c r="F546" s="1653">
        <f>1113.87420992643*GBP</f>
        <v>1.1138742099264299E-3</v>
      </c>
      <c r="G546" s="1653">
        <f>1113.87420992643*GBP</f>
        <v>1.1138742099264299E-3</v>
      </c>
      <c r="H546" s="1654">
        <f t="shared" ref="H546:N546" si="203">G546+$E546*(H$536-G$536)</f>
        <v>1.1138742099264299E-3</v>
      </c>
      <c r="I546" s="1654">
        <f t="shared" si="203"/>
        <v>1.1138742099264299E-3</v>
      </c>
      <c r="J546" s="1654">
        <f t="shared" si="203"/>
        <v>1.1138742099264299E-3</v>
      </c>
      <c r="K546" s="1654">
        <f t="shared" si="203"/>
        <v>1.1138742099264299E-3</v>
      </c>
      <c r="L546" s="1654">
        <f t="shared" si="203"/>
        <v>1.1138742099264299E-3</v>
      </c>
      <c r="M546" s="1654">
        <f t="shared" si="203"/>
        <v>1.1138742099264299E-3</v>
      </c>
      <c r="N546" s="1654">
        <f t="shared" si="203"/>
        <v>1.1138742099264299E-3</v>
      </c>
      <c r="O546" s="1653">
        <f>1113.87420992643*GBP</f>
        <v>1.1138742099264299E-3</v>
      </c>
      <c r="P546" s="1389"/>
    </row>
    <row r="547" spans="1:16">
      <c r="B547" s="1389"/>
      <c r="C547" s="789">
        <v>11</v>
      </c>
      <c r="D547" s="1541" t="s">
        <v>1102</v>
      </c>
      <c r="E547" s="1652">
        <f t="shared" si="194"/>
        <v>0</v>
      </c>
      <c r="F547" s="1653">
        <f>11.1387420992643*GBP</f>
        <v>1.11387420992643E-5</v>
      </c>
      <c r="G547" s="1653">
        <f>11.1387420992643*GBP</f>
        <v>1.11387420992643E-5</v>
      </c>
      <c r="H547" s="1654">
        <f t="shared" ref="H547:N547" si="204">G547+$E547*(H$536-G$536)</f>
        <v>1.11387420992643E-5</v>
      </c>
      <c r="I547" s="1654">
        <f t="shared" si="204"/>
        <v>1.11387420992643E-5</v>
      </c>
      <c r="J547" s="1654">
        <f t="shared" si="204"/>
        <v>1.11387420992643E-5</v>
      </c>
      <c r="K547" s="1654">
        <f t="shared" si="204"/>
        <v>1.11387420992643E-5</v>
      </c>
      <c r="L547" s="1654">
        <f t="shared" si="204"/>
        <v>1.11387420992643E-5</v>
      </c>
      <c r="M547" s="1654">
        <f t="shared" si="204"/>
        <v>1.11387420992643E-5</v>
      </c>
      <c r="N547" s="1654">
        <f t="shared" si="204"/>
        <v>1.11387420992643E-5</v>
      </c>
      <c r="O547" s="1653">
        <f>11.1387420992643*GBP</f>
        <v>1.11387420992643E-5</v>
      </c>
      <c r="P547" s="1389"/>
    </row>
    <row r="548" spans="1:16">
      <c r="B548" s="1389"/>
      <c r="C548" s="789">
        <v>12</v>
      </c>
      <c r="D548" s="1541" t="s">
        <v>1103</v>
      </c>
      <c r="E548" s="1652">
        <f t="shared" si="194"/>
        <v>0</v>
      </c>
      <c r="F548" s="1653">
        <f>560*GBP</f>
        <v>5.5999999999999995E-4</v>
      </c>
      <c r="G548" s="1653">
        <f>560*GBP</f>
        <v>5.5999999999999995E-4</v>
      </c>
      <c r="H548" s="1654">
        <f t="shared" ref="H548:N548" si="205">G548+$E548*(H$536-G$536)</f>
        <v>5.5999999999999995E-4</v>
      </c>
      <c r="I548" s="1654">
        <f t="shared" si="205"/>
        <v>5.5999999999999995E-4</v>
      </c>
      <c r="J548" s="1654">
        <f t="shared" si="205"/>
        <v>5.5999999999999995E-4</v>
      </c>
      <c r="K548" s="1654">
        <f t="shared" si="205"/>
        <v>5.5999999999999995E-4</v>
      </c>
      <c r="L548" s="1654">
        <f t="shared" si="205"/>
        <v>5.5999999999999995E-4</v>
      </c>
      <c r="M548" s="1654">
        <f t="shared" si="205"/>
        <v>5.5999999999999995E-4</v>
      </c>
      <c r="N548" s="1654">
        <f t="shared" si="205"/>
        <v>5.5999999999999995E-4</v>
      </c>
      <c r="O548" s="1653">
        <f>560*GBP</f>
        <v>5.5999999999999995E-4</v>
      </c>
      <c r="P548" s="1389"/>
    </row>
    <row r="549" spans="1:16">
      <c r="B549" s="1389"/>
      <c r="C549" s="719">
        <v>13</v>
      </c>
      <c r="D549" s="1665" t="s">
        <v>932</v>
      </c>
      <c r="E549" s="1661">
        <f t="shared" si="194"/>
        <v>0</v>
      </c>
      <c r="F549" s="1662">
        <f>50*GBP</f>
        <v>4.9999999999999996E-5</v>
      </c>
      <c r="G549" s="1662">
        <f>50*GBP</f>
        <v>4.9999999999999996E-5</v>
      </c>
      <c r="H549" s="1663">
        <f t="shared" ref="H549:N549" si="206">G549+$E549*(H$536-G$536)</f>
        <v>4.9999999999999996E-5</v>
      </c>
      <c r="I549" s="1663">
        <f t="shared" si="206"/>
        <v>4.9999999999999996E-5</v>
      </c>
      <c r="J549" s="1663">
        <f t="shared" si="206"/>
        <v>4.9999999999999996E-5</v>
      </c>
      <c r="K549" s="1663">
        <f t="shared" si="206"/>
        <v>4.9999999999999996E-5</v>
      </c>
      <c r="L549" s="1663">
        <f t="shared" si="206"/>
        <v>4.9999999999999996E-5</v>
      </c>
      <c r="M549" s="1663">
        <f t="shared" si="206"/>
        <v>4.9999999999999996E-5</v>
      </c>
      <c r="N549" s="1663">
        <f t="shared" si="206"/>
        <v>4.9999999999999996E-5</v>
      </c>
      <c r="O549" s="1662">
        <f>50*GBP</f>
        <v>4.9999999999999996E-5</v>
      </c>
      <c r="P549" s="1389"/>
    </row>
    <row r="550" spans="1:16">
      <c r="B550" s="1389"/>
      <c r="C550" s="968"/>
      <c r="D550" s="968"/>
      <c r="E550" s="1551"/>
      <c r="F550" s="1512"/>
      <c r="G550" s="1548"/>
      <c r="H550" s="1552"/>
      <c r="I550" s="1552"/>
      <c r="J550" s="1552"/>
      <c r="K550" s="1552"/>
      <c r="L550" s="1552"/>
      <c r="M550" s="1552"/>
      <c r="N550" s="1552"/>
      <c r="O550" s="1550"/>
      <c r="P550" s="1389"/>
    </row>
    <row r="551" spans="1:16">
      <c r="B551" s="1389"/>
      <c r="C551" s="1612">
        <v>1</v>
      </c>
      <c r="D551" s="1612" t="s">
        <v>1193</v>
      </c>
      <c r="E551" s="1657">
        <f>(O551-G551)/(O$536-G$536)</f>
        <v>0</v>
      </c>
      <c r="F551" s="1658">
        <f t="shared" ref="F551:G553" si="207">120*0.5*GBP</f>
        <v>5.9999999999999995E-5</v>
      </c>
      <c r="G551" s="1658">
        <f t="shared" si="207"/>
        <v>5.9999999999999995E-5</v>
      </c>
      <c r="H551" s="1659">
        <f>G551+$E551*(H$536-G$536)</f>
        <v>5.9999999999999995E-5</v>
      </c>
      <c r="I551" s="1659">
        <f t="shared" ref="I551:N551" si="208">H551+$E551*(I$536-H$536)</f>
        <v>5.9999999999999995E-5</v>
      </c>
      <c r="J551" s="1659">
        <f t="shared" si="208"/>
        <v>5.9999999999999995E-5</v>
      </c>
      <c r="K551" s="1659">
        <f t="shared" si="208"/>
        <v>5.9999999999999995E-5</v>
      </c>
      <c r="L551" s="1659">
        <f t="shared" si="208"/>
        <v>5.9999999999999995E-5</v>
      </c>
      <c r="M551" s="1659">
        <f t="shared" si="208"/>
        <v>5.9999999999999995E-5</v>
      </c>
      <c r="N551" s="1659">
        <f t="shared" si="208"/>
        <v>5.9999999999999995E-5</v>
      </c>
      <c r="O551" s="1658">
        <f>120*0.5*GBP</f>
        <v>5.9999999999999995E-5</v>
      </c>
      <c r="P551" s="968"/>
    </row>
    <row r="552" spans="1:16">
      <c r="B552" s="1389"/>
      <c r="C552" s="968">
        <v>2</v>
      </c>
      <c r="D552" s="968" t="s">
        <v>1194</v>
      </c>
      <c r="E552" s="1652">
        <f>(O552-G552)/(O$536-G$536)</f>
        <v>0</v>
      </c>
      <c r="F552" s="1653">
        <f t="shared" si="207"/>
        <v>5.9999999999999995E-5</v>
      </c>
      <c r="G552" s="1653">
        <f t="shared" si="207"/>
        <v>5.9999999999999995E-5</v>
      </c>
      <c r="H552" s="1654">
        <f t="shared" ref="H552:N552" si="209">G552+$E552*(H$536-G$536)</f>
        <v>5.9999999999999995E-5</v>
      </c>
      <c r="I552" s="1654">
        <f t="shared" si="209"/>
        <v>5.9999999999999995E-5</v>
      </c>
      <c r="J552" s="1654">
        <f t="shared" si="209"/>
        <v>5.9999999999999995E-5</v>
      </c>
      <c r="K552" s="1654">
        <f t="shared" si="209"/>
        <v>5.9999999999999995E-5</v>
      </c>
      <c r="L552" s="1654">
        <f t="shared" si="209"/>
        <v>5.9999999999999995E-5</v>
      </c>
      <c r="M552" s="1654">
        <f t="shared" si="209"/>
        <v>5.9999999999999995E-5</v>
      </c>
      <c r="N552" s="1654">
        <f t="shared" si="209"/>
        <v>5.9999999999999995E-5</v>
      </c>
      <c r="O552" s="1653">
        <f>120*0.5*GBP</f>
        <v>5.9999999999999995E-5</v>
      </c>
      <c r="P552" s="968"/>
    </row>
    <row r="553" spans="1:16">
      <c r="B553" s="1389"/>
      <c r="C553" s="1392">
        <v>3</v>
      </c>
      <c r="D553" s="1392" t="s">
        <v>1110</v>
      </c>
      <c r="E553" s="1661">
        <f>(O553-G553)/(O$536-G$536)</f>
        <v>0</v>
      </c>
      <c r="F553" s="1662">
        <f t="shared" si="207"/>
        <v>5.9999999999999995E-5</v>
      </c>
      <c r="G553" s="1662">
        <f t="shared" si="207"/>
        <v>5.9999999999999995E-5</v>
      </c>
      <c r="H553" s="1663">
        <f t="shared" ref="H553:N553" si="210">G553+$E553*(H$536-G$536)</f>
        <v>5.9999999999999995E-5</v>
      </c>
      <c r="I553" s="1663">
        <f t="shared" si="210"/>
        <v>5.9999999999999995E-5</v>
      </c>
      <c r="J553" s="1663">
        <f t="shared" si="210"/>
        <v>5.9999999999999995E-5</v>
      </c>
      <c r="K553" s="1663">
        <f t="shared" si="210"/>
        <v>5.9999999999999995E-5</v>
      </c>
      <c r="L553" s="1663">
        <f t="shared" si="210"/>
        <v>5.9999999999999995E-5</v>
      </c>
      <c r="M553" s="1663">
        <f t="shared" si="210"/>
        <v>5.9999999999999995E-5</v>
      </c>
      <c r="N553" s="1663">
        <f t="shared" si="210"/>
        <v>5.9999999999999995E-5</v>
      </c>
      <c r="O553" s="1662">
        <f>120*0.5*GBP</f>
        <v>5.9999999999999995E-5</v>
      </c>
      <c r="P553" s="968"/>
    </row>
    <row r="554" spans="1:16">
      <c r="B554" s="1389"/>
      <c r="C554" s="1389"/>
      <c r="D554" s="1389"/>
      <c r="E554" s="1389"/>
      <c r="F554" s="1389"/>
      <c r="G554" s="1389"/>
      <c r="H554" s="1389"/>
      <c r="I554" s="1389"/>
      <c r="J554" s="1389"/>
      <c r="K554" s="1389"/>
      <c r="L554" s="1389"/>
      <c r="M554" s="1389"/>
      <c r="N554" s="1389"/>
      <c r="O554" s="1389"/>
      <c r="P554" s="1389"/>
    </row>
    <row r="555" spans="1:16">
      <c r="B555" s="1389"/>
      <c r="C555" s="1389"/>
      <c r="D555" s="1389"/>
      <c r="E555" s="1389"/>
      <c r="F555" s="1389"/>
      <c r="G555" s="1389"/>
      <c r="H555" s="1389"/>
      <c r="I555" s="1389"/>
      <c r="J555" s="1389"/>
      <c r="K555" s="1389"/>
      <c r="L555" s="1389"/>
      <c r="M555" s="1389"/>
      <c r="N555" s="1389"/>
      <c r="O555" s="1389"/>
      <c r="P555" s="1389"/>
    </row>
    <row r="556" spans="1:16">
      <c r="B556" s="1389"/>
      <c r="C556" s="1293" t="s">
        <v>1725</v>
      </c>
      <c r="D556" s="1389"/>
      <c r="E556" s="1389"/>
      <c r="F556" s="1511"/>
      <c r="G556" s="1511"/>
      <c r="H556" s="1389"/>
      <c r="I556" s="1389"/>
      <c r="J556" s="1389"/>
      <c r="K556" s="1389"/>
      <c r="L556" s="1389"/>
      <c r="M556" s="1389"/>
      <c r="N556" s="1389"/>
      <c r="O556" s="1389"/>
      <c r="P556" s="1389"/>
    </row>
    <row r="557" spans="1:16" ht="22" collapsed="1">
      <c r="A557" s="1296"/>
      <c r="B557" s="1389"/>
      <c r="C557" s="968" t="str">
        <f>Preferences.moneyunits&amp;"/household"</f>
        <v>£m/household</v>
      </c>
      <c r="D557" s="1389"/>
      <c r="E557" s="1389"/>
      <c r="F557" s="1511"/>
      <c r="G557" s="1511"/>
      <c r="H557" s="1389"/>
      <c r="I557" s="1389"/>
      <c r="J557" s="1389"/>
      <c r="K557" s="1389"/>
      <c r="L557" s="1389"/>
      <c r="M557" s="1389"/>
      <c r="N557" s="1389"/>
      <c r="O557" s="1389"/>
      <c r="P557" s="1389"/>
    </row>
    <row r="558" spans="1:16">
      <c r="B558" s="1389"/>
      <c r="C558" s="1292" t="s">
        <v>1586</v>
      </c>
      <c r="D558" s="1529">
        <f>10800*GBP</f>
        <v>1.0799999999999999E-2</v>
      </c>
      <c r="E558" s="1389"/>
      <c r="F558" s="1511"/>
      <c r="G558" s="1511"/>
      <c r="H558" s="1389"/>
      <c r="I558" s="1389"/>
      <c r="J558" s="1389"/>
      <c r="K558" s="1389"/>
      <c r="L558" s="1389"/>
      <c r="M558" s="1389"/>
      <c r="N558" s="1389"/>
      <c r="O558" s="1389"/>
      <c r="P558" s="1389"/>
    </row>
    <row r="559" spans="1:16">
      <c r="B559" s="1389"/>
      <c r="C559" s="1292" t="s">
        <v>1786</v>
      </c>
      <c r="D559" s="1722">
        <f>((D560+(D558-D560)*0.35))</f>
        <v>6.3799999999999994E-3</v>
      </c>
      <c r="E559" s="1280" t="s">
        <v>1845</v>
      </c>
      <c r="F559" s="1511"/>
      <c r="G559" s="1511"/>
      <c r="H559" s="1389"/>
      <c r="I559" s="1389"/>
      <c r="J559" s="1389"/>
      <c r="K559" s="1389"/>
      <c r="L559" s="1389"/>
      <c r="M559" s="1389"/>
      <c r="N559" s="1389"/>
      <c r="O559" s="1389"/>
      <c r="P559" s="1389"/>
    </row>
    <row r="560" spans="1:16">
      <c r="B560" s="1389"/>
      <c r="C560" s="1292" t="s">
        <v>1105</v>
      </c>
      <c r="D560" s="1529">
        <f>4000*GBP</f>
        <v>4.0000000000000001E-3</v>
      </c>
      <c r="E560" s="1389"/>
      <c r="F560" s="1511"/>
      <c r="G560" s="1511"/>
      <c r="H560" s="1389"/>
      <c r="I560" s="1389"/>
      <c r="J560" s="1389"/>
      <c r="K560" s="1389"/>
      <c r="L560" s="1389"/>
      <c r="M560" s="1389"/>
      <c r="N560" s="1389"/>
      <c r="O560" s="1389"/>
      <c r="P560" s="1389"/>
    </row>
    <row r="561" spans="2:16">
      <c r="B561" s="1389"/>
      <c r="C561" s="1293"/>
      <c r="D561" s="1389"/>
      <c r="E561" s="1389"/>
      <c r="F561" s="1513"/>
      <c r="G561" s="1513"/>
      <c r="H561" s="1389"/>
      <c r="I561" s="1389"/>
      <c r="J561" s="1389"/>
      <c r="K561" s="1389"/>
      <c r="L561" s="1389"/>
      <c r="M561" s="1389"/>
      <c r="N561" s="1389"/>
      <c r="O561" s="1389"/>
      <c r="P561" s="1389"/>
    </row>
    <row r="562" spans="2:16">
      <c r="B562" s="1389"/>
      <c r="C562" s="1389"/>
      <c r="D562" s="1389" t="s">
        <v>1568</v>
      </c>
      <c r="E562" s="1406" t="s">
        <v>1859</v>
      </c>
      <c r="F562" s="1389"/>
      <c r="G562" s="1389"/>
      <c r="H562" s="1389"/>
      <c r="I562" s="1389"/>
      <c r="J562" s="1389"/>
      <c r="K562" s="1389"/>
      <c r="L562" s="1389"/>
      <c r="M562" s="1389"/>
      <c r="N562" s="1389"/>
      <c r="O562" s="1389"/>
      <c r="P562" s="1389"/>
    </row>
    <row r="563" spans="2:16">
      <c r="B563" s="1389"/>
      <c r="C563" s="1389"/>
      <c r="D563" s="1389"/>
      <c r="E563" s="1389"/>
      <c r="F563" s="1389"/>
      <c r="G563" s="1389"/>
      <c r="H563" s="1389"/>
      <c r="I563" s="1389"/>
      <c r="J563" s="1389"/>
      <c r="K563" s="1389"/>
      <c r="L563" s="1389"/>
      <c r="M563" s="1389"/>
      <c r="N563" s="1389"/>
      <c r="O563" s="1389"/>
      <c r="P563" s="1389"/>
    </row>
    <row r="566" spans="2:16" ht="15">
      <c r="B566" s="1344" t="s">
        <v>643</v>
      </c>
      <c r="C566" s="1407"/>
      <c r="D566" s="1407"/>
      <c r="E566" s="1407"/>
      <c r="F566" s="1407"/>
      <c r="G566" s="1407"/>
      <c r="H566" s="1407"/>
      <c r="I566" s="1407"/>
      <c r="J566" s="1407"/>
      <c r="K566" s="1407"/>
      <c r="L566" s="1407"/>
      <c r="M566" s="1407"/>
      <c r="N566" s="1407"/>
      <c r="O566" s="1407"/>
      <c r="P566" s="1408"/>
    </row>
    <row r="567" spans="2:16">
      <c r="B567" s="764"/>
      <c r="C567" s="968"/>
      <c r="D567" s="968"/>
      <c r="E567" s="968"/>
      <c r="F567" s="968"/>
      <c r="G567" s="968"/>
      <c r="H567" s="968"/>
      <c r="I567" s="968"/>
      <c r="J567" s="968"/>
      <c r="K567" s="968"/>
      <c r="L567" s="968"/>
      <c r="M567" s="968"/>
      <c r="N567" s="968"/>
      <c r="O567" s="968"/>
      <c r="P567" s="1038"/>
    </row>
    <row r="568" spans="2:16" ht="15.75" customHeight="1">
      <c r="B568" s="764"/>
      <c r="C568" s="1293" t="s">
        <v>1697</v>
      </c>
      <c r="D568" s="968"/>
      <c r="E568" s="968"/>
      <c r="F568" s="968"/>
      <c r="G568" s="968"/>
      <c r="H568" s="968"/>
      <c r="I568" s="968"/>
      <c r="J568" s="968"/>
      <c r="K568" s="968"/>
      <c r="L568" s="968"/>
      <c r="M568" s="968"/>
      <c r="N568" s="968"/>
      <c r="O568" s="968"/>
      <c r="P568" s="1038"/>
    </row>
    <row r="569" spans="2:16">
      <c r="B569" s="764"/>
      <c r="C569" s="1293" t="s">
        <v>1698</v>
      </c>
      <c r="D569" s="968"/>
      <c r="E569" s="968"/>
      <c r="F569" s="968"/>
      <c r="G569" s="968"/>
      <c r="H569" s="968"/>
      <c r="I569" s="968"/>
      <c r="J569" s="968"/>
      <c r="K569" s="968"/>
      <c r="L569" s="968"/>
      <c r="M569" s="968"/>
      <c r="N569" s="968"/>
      <c r="O569" s="968"/>
      <c r="P569" s="1038"/>
    </row>
    <row r="570" spans="2:16">
      <c r="B570" s="764"/>
      <c r="C570" s="1293" t="s">
        <v>1699</v>
      </c>
      <c r="D570" s="968"/>
      <c r="E570" s="968"/>
      <c r="F570" s="968"/>
      <c r="G570" s="968"/>
      <c r="H570" s="968"/>
      <c r="I570" s="968"/>
      <c r="J570" s="968"/>
      <c r="K570" s="968"/>
      <c r="L570" s="968"/>
      <c r="M570" s="968"/>
      <c r="N570" s="968"/>
      <c r="O570" s="968"/>
      <c r="P570" s="1038"/>
    </row>
    <row r="571" spans="2:16">
      <c r="B571" s="764"/>
      <c r="C571" s="968"/>
      <c r="D571" s="968"/>
      <c r="E571" s="968"/>
      <c r="F571" s="968"/>
      <c r="G571" s="968"/>
      <c r="H571" s="968"/>
      <c r="I571" s="968"/>
      <c r="J571" s="968"/>
      <c r="K571" s="968"/>
      <c r="L571" s="968"/>
      <c r="M571" s="968"/>
      <c r="N571" s="968"/>
      <c r="O571" s="968"/>
      <c r="P571" s="1038"/>
    </row>
    <row r="572" spans="2:16">
      <c r="B572" s="764"/>
      <c r="C572" s="968"/>
      <c r="D572" s="968"/>
      <c r="E572" s="968"/>
      <c r="F572" s="968"/>
      <c r="G572" s="968"/>
      <c r="H572" s="968"/>
      <c r="I572" s="968"/>
      <c r="J572" s="968"/>
      <c r="K572" s="968"/>
      <c r="L572" s="968"/>
      <c r="M572" s="968"/>
      <c r="N572" s="968"/>
      <c r="O572" s="968"/>
      <c r="P572" s="1038"/>
    </row>
    <row r="573" spans="2:16">
      <c r="B573" s="764"/>
      <c r="C573" s="968"/>
      <c r="D573" s="968"/>
      <c r="E573" s="968"/>
      <c r="F573" s="968"/>
      <c r="G573" s="968"/>
      <c r="H573" s="968"/>
      <c r="I573" s="968"/>
      <c r="J573" s="968"/>
      <c r="K573" s="968"/>
      <c r="L573" s="968"/>
      <c r="M573" s="968"/>
      <c r="N573" s="968"/>
      <c r="O573" s="968"/>
      <c r="P573" s="1038"/>
    </row>
    <row r="574" spans="2:16" ht="4.5" customHeight="1">
      <c r="B574" s="764"/>
      <c r="C574" s="968"/>
      <c r="D574" s="968"/>
      <c r="E574" s="968"/>
      <c r="F574" s="968"/>
      <c r="G574" s="968"/>
      <c r="H574" s="968"/>
      <c r="I574" s="968"/>
      <c r="J574" s="968"/>
      <c r="K574" s="968"/>
      <c r="L574" s="968"/>
      <c r="M574" s="968"/>
      <c r="N574" s="968"/>
      <c r="O574" s="968"/>
      <c r="P574" s="1038"/>
    </row>
    <row r="575" spans="2:16">
      <c r="B575" s="764">
        <v>1</v>
      </c>
      <c r="C575" s="571" t="s">
        <v>645</v>
      </c>
      <c r="D575" s="717"/>
      <c r="E575" s="1017"/>
      <c r="F575" s="558"/>
      <c r="G575" s="1175"/>
      <c r="H575" s="968"/>
      <c r="I575" s="968"/>
      <c r="J575" s="968"/>
      <c r="K575" s="968"/>
      <c r="L575" s="968"/>
      <c r="M575" s="968"/>
      <c r="N575" s="968"/>
      <c r="O575" s="783" t="s">
        <v>645</v>
      </c>
      <c r="P575" s="1038"/>
    </row>
    <row r="576" spans="2:16">
      <c r="B576" s="764"/>
      <c r="C576" s="789"/>
      <c r="D576" s="717"/>
      <c r="E576" s="717"/>
      <c r="F576" s="558"/>
      <c r="G576" s="1175"/>
      <c r="H576" s="968"/>
      <c r="I576" s="968"/>
      <c r="J576" s="968"/>
      <c r="K576" s="968"/>
      <c r="L576" s="968"/>
      <c r="M576" s="968"/>
      <c r="N576" s="968"/>
      <c r="O576" s="968"/>
      <c r="P576" s="1038"/>
    </row>
    <row r="577" spans="2:16" ht="15">
      <c r="B577" s="763"/>
      <c r="C577" s="1347"/>
      <c r="D577" s="1347" t="s">
        <v>73</v>
      </c>
      <c r="E577" s="1347"/>
      <c r="F577" s="1409">
        <v>2007</v>
      </c>
      <c r="G577" s="1410">
        <v>2010</v>
      </c>
      <c r="H577" s="1411">
        <v>2015</v>
      </c>
      <c r="I577" s="1411">
        <v>2020</v>
      </c>
      <c r="J577" s="1411">
        <v>2025</v>
      </c>
      <c r="K577" s="1411">
        <v>2030</v>
      </c>
      <c r="L577" s="1411">
        <v>2035</v>
      </c>
      <c r="M577" s="1411">
        <v>2040</v>
      </c>
      <c r="N577" s="1411">
        <v>2045</v>
      </c>
      <c r="O577" s="1411">
        <v>2050</v>
      </c>
      <c r="P577" s="1038"/>
    </row>
    <row r="578" spans="2:16" ht="15">
      <c r="B578" s="763"/>
      <c r="C578" s="1412"/>
      <c r="D578" s="1369" t="s">
        <v>911</v>
      </c>
      <c r="E578" s="1369"/>
      <c r="F578" s="1237">
        <f>INDEX(Global.Assumptions[Households], MATCH(F$577, Global.Assumptions[Year], 0))</f>
        <v>26042600</v>
      </c>
      <c r="G578" s="1413">
        <f>INDEX(Global.Assumptions[Households], MATCH(G$577, Global.Assumptions[Year], 0))</f>
        <v>26917400</v>
      </c>
      <c r="H578" s="1394">
        <f>INDEX(Global.Assumptions[Households], MATCH(H$577, Global.Assumptions[Year], 0))</f>
        <v>28469000</v>
      </c>
      <c r="I578" s="1394">
        <f>INDEX(Global.Assumptions[Households], MATCH(I$577, Global.Assumptions[Year], 0))</f>
        <v>30004800</v>
      </c>
      <c r="J578" s="1394">
        <f>INDEX(Global.Assumptions[Households], MATCH(J$577, Global.Assumptions[Year], 0))</f>
        <v>31434800</v>
      </c>
      <c r="K578" s="1394">
        <f>INDEX(Global.Assumptions[Households], MATCH(K$577, Global.Assumptions[Year], 0))</f>
        <v>32744800</v>
      </c>
      <c r="L578" s="1394">
        <f>INDEX(Global.Assumptions[Households], MATCH(L$577, Global.Assumptions[Year], 0))</f>
        <v>34415113.888514474</v>
      </c>
      <c r="M578" s="1394">
        <f>INDEX(Global.Assumptions[Households], MATCH(M$577, Global.Assumptions[Year], 0))</f>
        <v>36170630.572164804</v>
      </c>
      <c r="N578" s="1394">
        <f>INDEX(Global.Assumptions[Households], MATCH(N$577, Global.Assumptions[Year], 0))</f>
        <v>38015696.24979952</v>
      </c>
      <c r="O578" s="1394">
        <f>INDEX(Global.Assumptions[Households], MATCH(O$577, Global.Assumptions[Year], 0))</f>
        <v>39954878.82008817</v>
      </c>
      <c r="P578" s="1038"/>
    </row>
    <row r="579" spans="2:16" ht="15">
      <c r="B579" s="763"/>
      <c r="C579" s="719"/>
      <c r="D579" s="720" t="s">
        <v>912</v>
      </c>
      <c r="E579" s="720"/>
      <c r="F579" s="1523"/>
      <c r="G579" s="1285">
        <f>(G578-F578)+(F578*0.003)</f>
        <v>952927.8</v>
      </c>
      <c r="H579" s="1238">
        <f>(H578-G578)+(G578*0.005)</f>
        <v>1686187</v>
      </c>
      <c r="I579" s="1238">
        <f t="shared" ref="I579:N579" si="211">(I578-H578)+(H578*0.005)</f>
        <v>1678145</v>
      </c>
      <c r="J579" s="1238">
        <f t="shared" si="211"/>
        <v>1580024</v>
      </c>
      <c r="K579" s="1238">
        <f t="shared" si="211"/>
        <v>1467174</v>
      </c>
      <c r="L579" s="1238">
        <f t="shared" si="211"/>
        <v>1834037.888514474</v>
      </c>
      <c r="M579" s="1238">
        <f t="shared" si="211"/>
        <v>1927592.253092902</v>
      </c>
      <c r="N579" s="1238">
        <f t="shared" si="211"/>
        <v>2025918.8304955401</v>
      </c>
      <c r="O579" s="1238">
        <f>(O578-N578)+(N578*0.005)</f>
        <v>2129261.0515376483</v>
      </c>
      <c r="P579" s="1038"/>
    </row>
    <row r="580" spans="2:16">
      <c r="B580" s="764"/>
      <c r="C580" s="968"/>
      <c r="D580" s="968"/>
      <c r="E580" s="968"/>
      <c r="F580" s="968"/>
      <c r="G580" s="968"/>
      <c r="H580" s="968"/>
      <c r="I580" s="968"/>
      <c r="J580" s="968"/>
      <c r="K580" s="968"/>
      <c r="L580" s="968"/>
      <c r="M580" s="968"/>
      <c r="N580" s="968"/>
      <c r="O580" s="968"/>
      <c r="P580" s="1038"/>
    </row>
    <row r="581" spans="2:16">
      <c r="B581" s="764">
        <v>2</v>
      </c>
      <c r="C581" s="571" t="s">
        <v>1579</v>
      </c>
      <c r="D581" s="968"/>
      <c r="E581" s="968"/>
      <c r="F581" s="968"/>
      <c r="G581" s="968"/>
      <c r="H581" s="968"/>
      <c r="I581" s="968"/>
      <c r="J581" s="968"/>
      <c r="K581" s="968"/>
      <c r="L581" s="968"/>
      <c r="M581" s="968"/>
      <c r="N581" s="968"/>
      <c r="O581" s="595" t="s">
        <v>1578</v>
      </c>
      <c r="P581" s="1038"/>
    </row>
    <row r="582" spans="2:16">
      <c r="B582" s="764"/>
      <c r="C582" s="1294"/>
      <c r="D582" s="1294"/>
      <c r="E582" s="1294"/>
      <c r="F582" s="1378"/>
      <c r="G582" s="595"/>
      <c r="H582" s="595"/>
      <c r="I582" s="595"/>
      <c r="J582" s="595"/>
      <c r="K582" s="595"/>
      <c r="L582" s="595"/>
      <c r="M582" s="595"/>
      <c r="N582" s="595"/>
      <c r="O582" s="595"/>
      <c r="P582" s="1038"/>
    </row>
    <row r="583" spans="2:16">
      <c r="B583" s="764"/>
      <c r="C583" s="1366"/>
      <c r="D583" s="1366"/>
      <c r="E583" s="1366"/>
      <c r="F583" s="1367">
        <v>2007</v>
      </c>
      <c r="G583" s="1410">
        <v>2010</v>
      </c>
      <c r="H583" s="1367">
        <v>2015</v>
      </c>
      <c r="I583" s="1367">
        <v>2020</v>
      </c>
      <c r="J583" s="1367">
        <v>2025</v>
      </c>
      <c r="K583" s="1367">
        <v>2030</v>
      </c>
      <c r="L583" s="1367">
        <v>2035</v>
      </c>
      <c r="M583" s="1367">
        <v>2040</v>
      </c>
      <c r="N583" s="1367">
        <v>2045</v>
      </c>
      <c r="O583" s="1367">
        <v>2050</v>
      </c>
      <c r="P583" s="1038"/>
    </row>
    <row r="584" spans="2:16">
      <c r="B584" s="764"/>
      <c r="C584" s="1369"/>
      <c r="D584" s="1369" t="s">
        <v>1301</v>
      </c>
      <c r="E584" s="1369"/>
      <c r="F584" s="1376"/>
      <c r="G584" s="1413">
        <f t="shared" ref="G584:G589" si="212">IF($E$9=1,G255-F255,IF($E$9=2,G263-F263,IF($E$9=3,G271-F271,G279-F279)))/3</f>
        <v>169780.91115181573</v>
      </c>
      <c r="H584" s="1394">
        <f t="shared" ref="H584:O589" si="213">IF($E$9=1,H255-G255,IF($E$9=2,H263-G263,IF($E$9=3,H271-G271,H279-G279)))/5</f>
        <v>169780.91115181573</v>
      </c>
      <c r="I584" s="1394">
        <f t="shared" si="213"/>
        <v>169780.91115181576</v>
      </c>
      <c r="J584" s="1394">
        <f t="shared" si="213"/>
        <v>169780.91115181576</v>
      </c>
      <c r="K584" s="1394">
        <f t="shared" si="213"/>
        <v>169780.91115181567</v>
      </c>
      <c r="L584" s="1394">
        <f t="shared" si="213"/>
        <v>169780.91115181576</v>
      </c>
      <c r="M584" s="1394">
        <f t="shared" si="213"/>
        <v>169780.91115181576</v>
      </c>
      <c r="N584" s="1394">
        <f t="shared" si="213"/>
        <v>19500</v>
      </c>
      <c r="O584" s="1394">
        <f t="shared" si="213"/>
        <v>19500</v>
      </c>
      <c r="P584" s="1038"/>
    </row>
    <row r="585" spans="2:16">
      <c r="B585" s="764"/>
      <c r="C585" s="1389"/>
      <c r="D585" s="1390" t="s">
        <v>1302</v>
      </c>
      <c r="E585" s="717"/>
      <c r="F585" s="1378"/>
      <c r="G585" s="1284">
        <f t="shared" si="212"/>
        <v>762500</v>
      </c>
      <c r="H585" s="1396">
        <f t="shared" si="213"/>
        <v>762500</v>
      </c>
      <c r="I585" s="1396">
        <f t="shared" si="213"/>
        <v>152500</v>
      </c>
      <c r="J585" s="1396">
        <f t="shared" si="213"/>
        <v>0</v>
      </c>
      <c r="K585" s="1396">
        <f t="shared" si="213"/>
        <v>0</v>
      </c>
      <c r="L585" s="1396">
        <f t="shared" si="213"/>
        <v>0</v>
      </c>
      <c r="M585" s="1396">
        <f t="shared" si="213"/>
        <v>0</v>
      </c>
      <c r="N585" s="1396">
        <f t="shared" si="213"/>
        <v>0</v>
      </c>
      <c r="O585" s="1396">
        <f t="shared" si="213"/>
        <v>0</v>
      </c>
      <c r="P585" s="1038"/>
    </row>
    <row r="586" spans="2:16">
      <c r="B586" s="764"/>
      <c r="C586" s="1389"/>
      <c r="D586" s="1390" t="s">
        <v>1303</v>
      </c>
      <c r="E586" s="717"/>
      <c r="F586" s="1378"/>
      <c r="G586" s="1284">
        <f t="shared" si="212"/>
        <v>166046.51162790696</v>
      </c>
      <c r="H586" s="1396">
        <f t="shared" si="213"/>
        <v>166046.51162790696</v>
      </c>
      <c r="I586" s="1396">
        <f t="shared" si="213"/>
        <v>166046.51162790699</v>
      </c>
      <c r="J586" s="1396">
        <f t="shared" si="213"/>
        <v>166046.51162790702</v>
      </c>
      <c r="K586" s="1396">
        <f t="shared" si="213"/>
        <v>166046.51162790693</v>
      </c>
      <c r="L586" s="1396">
        <f t="shared" si="213"/>
        <v>166046.51162790693</v>
      </c>
      <c r="M586" s="1396">
        <f t="shared" si="213"/>
        <v>166046.51162790711</v>
      </c>
      <c r="N586" s="1396">
        <f t="shared" si="213"/>
        <v>166046.51162790693</v>
      </c>
      <c r="O586" s="1396">
        <f t="shared" si="213"/>
        <v>166046.51162790693</v>
      </c>
      <c r="P586" s="1038"/>
    </row>
    <row r="587" spans="2:16" ht="13.5" customHeight="1">
      <c r="B587" s="764"/>
      <c r="C587" s="1389"/>
      <c r="D587" s="1391" t="s">
        <v>1304</v>
      </c>
      <c r="E587" s="717"/>
      <c r="F587" s="1378"/>
      <c r="G587" s="1284">
        <f t="shared" si="212"/>
        <v>330139.53488372092</v>
      </c>
      <c r="H587" s="1396">
        <f t="shared" si="213"/>
        <v>330139.53488372092</v>
      </c>
      <c r="I587" s="1396">
        <f t="shared" si="213"/>
        <v>330139.53488372097</v>
      </c>
      <c r="J587" s="1396">
        <f t="shared" si="213"/>
        <v>330139.53488372097</v>
      </c>
      <c r="K587" s="1396">
        <f t="shared" si="213"/>
        <v>330139.5348837208</v>
      </c>
      <c r="L587" s="1396">
        <f t="shared" si="213"/>
        <v>330139.53488372097</v>
      </c>
      <c r="M587" s="1396">
        <f t="shared" si="213"/>
        <v>330139.5348837208</v>
      </c>
      <c r="N587" s="1396">
        <f t="shared" si="213"/>
        <v>330139.53488372115</v>
      </c>
      <c r="O587" s="1396">
        <f t="shared" si="213"/>
        <v>330139.5348837208</v>
      </c>
      <c r="P587" s="1038"/>
    </row>
    <row r="588" spans="2:16" ht="12.75" customHeight="1">
      <c r="B588" s="764"/>
      <c r="C588" s="1389"/>
      <c r="D588" s="1391" t="s">
        <v>1305</v>
      </c>
      <c r="E588" s="717"/>
      <c r="F588" s="1378"/>
      <c r="G588" s="1284">
        <f t="shared" si="212"/>
        <v>1071998.4000000001</v>
      </c>
      <c r="H588" s="1396">
        <f t="shared" si="213"/>
        <v>633325.37052631506</v>
      </c>
      <c r="I588" s="1396">
        <f t="shared" si="213"/>
        <v>340876.68421052548</v>
      </c>
      <c r="J588" s="1396">
        <f t="shared" si="213"/>
        <v>340876.68421052548</v>
      </c>
      <c r="K588" s="1396">
        <f t="shared" si="213"/>
        <v>340876.68421052548</v>
      </c>
      <c r="L588" s="1396">
        <f t="shared" si="213"/>
        <v>340876.68421052548</v>
      </c>
      <c r="M588" s="1396">
        <f t="shared" si="213"/>
        <v>340876.68421052472</v>
      </c>
      <c r="N588" s="1396">
        <f t="shared" si="213"/>
        <v>340876.68421052548</v>
      </c>
      <c r="O588" s="1396">
        <f t="shared" si="213"/>
        <v>340876.68421052548</v>
      </c>
      <c r="P588" s="1038"/>
    </row>
    <row r="589" spans="2:16">
      <c r="B589" s="764"/>
      <c r="C589" s="1392"/>
      <c r="D589" s="1393" t="s">
        <v>1306</v>
      </c>
      <c r="E589" s="720"/>
      <c r="F589" s="1397"/>
      <c r="G589" s="1285">
        <f t="shared" si="212"/>
        <v>966645.28112699057</v>
      </c>
      <c r="H589" s="1398">
        <f t="shared" si="213"/>
        <v>966645.28112699033</v>
      </c>
      <c r="I589" s="1398">
        <f t="shared" si="213"/>
        <v>966645.28112699057</v>
      </c>
      <c r="J589" s="1398">
        <f t="shared" si="213"/>
        <v>31415.971636627241</v>
      </c>
      <c r="K589" s="1398">
        <f t="shared" si="213"/>
        <v>31415.971636626869</v>
      </c>
      <c r="L589" s="1398">
        <f t="shared" si="213"/>
        <v>31415.971636627241</v>
      </c>
      <c r="M589" s="1398">
        <f t="shared" si="213"/>
        <v>31415.971636627241</v>
      </c>
      <c r="N589" s="1398">
        <f t="shared" si="213"/>
        <v>31415.971636626869</v>
      </c>
      <c r="O589" s="1398">
        <f t="shared" si="213"/>
        <v>31415.971636627241</v>
      </c>
      <c r="P589" s="1038"/>
    </row>
    <row r="590" spans="2:16">
      <c r="B590" s="764"/>
      <c r="C590" s="968"/>
      <c r="D590" s="968"/>
      <c r="E590" s="968"/>
      <c r="F590" s="968"/>
      <c r="G590" s="968"/>
      <c r="H590" s="968"/>
      <c r="I590" s="968"/>
      <c r="J590" s="968"/>
      <c r="K590" s="968"/>
      <c r="L590" s="968"/>
      <c r="M590" s="968"/>
      <c r="N590" s="968"/>
      <c r="O590" s="968"/>
      <c r="P590" s="1038"/>
    </row>
    <row r="591" spans="2:16">
      <c r="B591" s="1293" t="s">
        <v>1699</v>
      </c>
      <c r="C591" s="968"/>
      <c r="D591" s="968"/>
      <c r="E591" s="968"/>
      <c r="F591" s="968"/>
      <c r="G591" s="968"/>
      <c r="H591" s="968"/>
      <c r="I591" s="968"/>
      <c r="J591" s="968"/>
      <c r="K591" s="968"/>
      <c r="L591" s="968"/>
      <c r="M591" s="968"/>
      <c r="N591" s="968"/>
      <c r="O591" s="968"/>
      <c r="P591" s="1038"/>
    </row>
    <row r="592" spans="2:16">
      <c r="B592" s="764"/>
      <c r="C592" s="968"/>
      <c r="D592" s="968"/>
      <c r="E592" s="968"/>
      <c r="F592" s="968"/>
      <c r="G592" s="968"/>
      <c r="H592" s="968"/>
      <c r="I592" s="968"/>
      <c r="J592" s="968"/>
      <c r="K592" s="968"/>
      <c r="L592" s="968"/>
      <c r="M592" s="968"/>
      <c r="N592" s="968"/>
      <c r="O592" s="968"/>
      <c r="P592" s="1038"/>
    </row>
    <row r="593" spans="2:16">
      <c r="B593" s="764"/>
      <c r="C593" s="1159" t="s">
        <v>1700</v>
      </c>
      <c r="D593" s="968"/>
      <c r="E593" s="968"/>
      <c r="F593" s="968"/>
      <c r="G593" s="968"/>
      <c r="H593" s="968"/>
      <c r="I593" s="968"/>
      <c r="J593" s="968"/>
      <c r="K593" s="968"/>
      <c r="L593" s="968"/>
      <c r="M593" s="968"/>
      <c r="N593" s="968"/>
      <c r="O593" s="968"/>
      <c r="P593" s="1038"/>
    </row>
    <row r="594" spans="2:16">
      <c r="B594" s="764"/>
      <c r="C594" s="968"/>
      <c r="D594" s="968"/>
      <c r="E594" s="968"/>
      <c r="F594" s="968"/>
      <c r="G594" s="968"/>
      <c r="H594" s="968"/>
      <c r="I594" s="968"/>
      <c r="J594" s="968"/>
      <c r="K594" s="968"/>
      <c r="L594" s="968"/>
      <c r="M594" s="968"/>
      <c r="N594" s="968"/>
      <c r="O594" s="968"/>
      <c r="P594" s="1038"/>
    </row>
    <row r="595" spans="2:16">
      <c r="B595" s="764"/>
      <c r="C595" s="571" t="s">
        <v>1519</v>
      </c>
      <c r="D595" s="717"/>
      <c r="E595" s="1017"/>
      <c r="F595" s="558"/>
      <c r="G595" s="968"/>
      <c r="H595" s="968"/>
      <c r="I595" s="968"/>
      <c r="J595" s="968"/>
      <c r="K595" s="968"/>
      <c r="L595" s="968"/>
      <c r="M595" s="968"/>
      <c r="N595" s="968"/>
      <c r="O595" s="968"/>
      <c r="P595" s="1038"/>
    </row>
    <row r="596" spans="2:16" ht="4.5" customHeight="1">
      <c r="B596" s="764"/>
      <c r="C596" s="789"/>
      <c r="D596" s="717"/>
      <c r="E596" s="717"/>
      <c r="F596" s="558"/>
      <c r="G596" s="968"/>
      <c r="H596" s="968"/>
      <c r="I596" s="968"/>
      <c r="J596" s="968"/>
      <c r="K596" s="968"/>
      <c r="L596" s="968"/>
      <c r="M596" s="968"/>
      <c r="N596" s="968"/>
      <c r="O596" s="968"/>
      <c r="P596" s="1038"/>
    </row>
    <row r="597" spans="2:16" ht="15">
      <c r="B597" s="763"/>
      <c r="C597" s="1347" t="s">
        <v>77</v>
      </c>
      <c r="D597" s="1347" t="s">
        <v>907</v>
      </c>
      <c r="E597" s="1347" t="s">
        <v>422</v>
      </c>
      <c r="F597" s="1348" t="s">
        <v>936</v>
      </c>
      <c r="G597" s="968"/>
      <c r="H597" s="968"/>
      <c r="I597" s="968"/>
      <c r="J597" s="968"/>
      <c r="K597" s="968"/>
      <c r="L597" s="968"/>
      <c r="M597" s="968"/>
      <c r="N597" s="968"/>
      <c r="O597" s="968"/>
      <c r="P597" s="1038"/>
    </row>
    <row r="598" spans="2:16" ht="15">
      <c r="B598" s="763"/>
      <c r="C598" s="789">
        <v>1</v>
      </c>
      <c r="D598" s="717" t="str">
        <f t="shared" ref="D598:D610" si="214">INDEX($D$76:$D$88, MATCH($C598, $C$76:$C$88, 0))</f>
        <v>Gas boiler (old)</v>
      </c>
      <c r="E598" s="717"/>
      <c r="F598" s="972">
        <f t="shared" ref="F598:F610" si="215">INDEX($E76:$T76, MATCH($E$23, $E$75:$T$75, 0))</f>
        <v>0</v>
      </c>
      <c r="G598" s="968"/>
      <c r="H598" s="968"/>
      <c r="I598" s="968"/>
      <c r="J598" s="968"/>
      <c r="K598" s="968"/>
      <c r="L598" s="968"/>
      <c r="M598" s="968"/>
      <c r="N598" s="968"/>
      <c r="O598" s="968"/>
      <c r="P598" s="1038"/>
    </row>
    <row r="599" spans="2:16" ht="15">
      <c r="B599" s="763"/>
      <c r="C599" s="789">
        <v>2</v>
      </c>
      <c r="D599" s="717" t="str">
        <f t="shared" si="214"/>
        <v>Gas boiler (new)</v>
      </c>
      <c r="E599" s="717"/>
      <c r="F599" s="586">
        <f t="shared" si="215"/>
        <v>0</v>
      </c>
      <c r="G599" s="968"/>
      <c r="H599" s="968"/>
      <c r="I599" s="968"/>
      <c r="J599" s="968"/>
      <c r="K599" s="968"/>
      <c r="L599" s="968"/>
      <c r="M599" s="968"/>
      <c r="N599" s="968"/>
      <c r="O599" s="968"/>
      <c r="P599" s="1038"/>
    </row>
    <row r="600" spans="2:16" ht="15">
      <c r="B600" s="763"/>
      <c r="C600" s="789">
        <v>3</v>
      </c>
      <c r="D600" s="717" t="str">
        <f t="shared" si="214"/>
        <v>Resistive heating</v>
      </c>
      <c r="E600" s="717"/>
      <c r="F600" s="785">
        <f t="shared" si="215"/>
        <v>0</v>
      </c>
      <c r="G600" s="968"/>
      <c r="H600" s="968"/>
      <c r="I600" s="968"/>
      <c r="J600" s="968"/>
      <c r="K600" s="968"/>
      <c r="L600" s="968"/>
      <c r="M600" s="968"/>
      <c r="N600" s="968"/>
      <c r="O600" s="968"/>
      <c r="P600" s="1038"/>
    </row>
    <row r="601" spans="2:16" ht="15">
      <c r="B601" s="763"/>
      <c r="C601" s="789">
        <v>4</v>
      </c>
      <c r="D601" s="717" t="str">
        <f t="shared" si="214"/>
        <v>Oil-fired boiler</v>
      </c>
      <c r="E601" s="717"/>
      <c r="F601" s="785">
        <f t="shared" si="215"/>
        <v>0</v>
      </c>
      <c r="G601" s="968"/>
      <c r="H601" s="968"/>
      <c r="I601" s="968"/>
      <c r="J601" s="968"/>
      <c r="K601" s="968"/>
      <c r="L601" s="968"/>
      <c r="M601" s="968"/>
      <c r="N601" s="968"/>
      <c r="O601" s="968"/>
      <c r="P601" s="1038"/>
    </row>
    <row r="602" spans="2:16" ht="15">
      <c r="B602" s="763"/>
      <c r="C602" s="789">
        <v>5</v>
      </c>
      <c r="D602" s="717" t="str">
        <f t="shared" si="214"/>
        <v>Solid-fuel boiler</v>
      </c>
      <c r="E602" s="717"/>
      <c r="F602" s="785">
        <f t="shared" si="215"/>
        <v>0</v>
      </c>
      <c r="G602" s="968"/>
      <c r="H602" s="968"/>
      <c r="I602" s="968"/>
      <c r="J602" s="968"/>
      <c r="K602" s="968"/>
      <c r="L602" s="968"/>
      <c r="M602" s="968"/>
      <c r="N602" s="968"/>
      <c r="O602" s="968"/>
      <c r="P602" s="1038"/>
    </row>
    <row r="603" spans="2:16" ht="15">
      <c r="B603" s="763"/>
      <c r="C603" s="789">
        <v>6</v>
      </c>
      <c r="D603" s="717" t="str">
        <f t="shared" si="214"/>
        <v>Stirling engine micro-CHP</v>
      </c>
      <c r="E603" s="717"/>
      <c r="F603" s="785">
        <f t="shared" si="215"/>
        <v>0</v>
      </c>
      <c r="G603" s="968"/>
      <c r="H603" s="968"/>
      <c r="I603" s="968"/>
      <c r="J603" s="968"/>
      <c r="K603" s="968"/>
      <c r="L603" s="968"/>
      <c r="M603" s="968"/>
      <c r="N603" s="968"/>
      <c r="O603" s="968"/>
      <c r="P603" s="1038"/>
    </row>
    <row r="604" spans="2:16" ht="15">
      <c r="B604" s="763"/>
      <c r="C604" s="789">
        <v>7</v>
      </c>
      <c r="D604" s="717" t="str">
        <f t="shared" si="214"/>
        <v>Fuel-cell micro-CHP</v>
      </c>
      <c r="E604" s="717"/>
      <c r="F604" s="785">
        <f t="shared" si="215"/>
        <v>0</v>
      </c>
      <c r="G604" s="968"/>
      <c r="H604" s="968"/>
      <c r="I604" s="968"/>
      <c r="J604" s="968"/>
      <c r="K604" s="968"/>
      <c r="L604" s="968"/>
      <c r="M604" s="968"/>
      <c r="N604" s="968"/>
      <c r="O604" s="968"/>
      <c r="P604" s="1038"/>
    </row>
    <row r="605" spans="2:16" ht="15">
      <c r="B605" s="763"/>
      <c r="C605" s="789">
        <v>8</v>
      </c>
      <c r="D605" s="717" t="str">
        <f t="shared" si="214"/>
        <v>Air-source heat pump</v>
      </c>
      <c r="E605" s="717"/>
      <c r="F605" s="785">
        <f t="shared" si="215"/>
        <v>0.57999999999999996</v>
      </c>
      <c r="G605" s="968"/>
      <c r="H605" s="968"/>
      <c r="I605" s="968"/>
      <c r="J605" s="968"/>
      <c r="K605" s="968"/>
      <c r="L605" s="968"/>
      <c r="M605" s="968"/>
      <c r="N605" s="968"/>
      <c r="O605" s="968"/>
      <c r="P605" s="1038"/>
    </row>
    <row r="606" spans="2:16" ht="15">
      <c r="B606" s="763"/>
      <c r="C606" s="789">
        <v>9</v>
      </c>
      <c r="D606" s="717" t="str">
        <f t="shared" si="214"/>
        <v>Ground-source heat pump</v>
      </c>
      <c r="E606" s="717"/>
      <c r="F606" s="785">
        <f t="shared" si="215"/>
        <v>0.3</v>
      </c>
      <c r="G606" s="968"/>
      <c r="H606" s="968"/>
      <c r="I606" s="968"/>
      <c r="J606" s="968"/>
      <c r="K606" s="968"/>
      <c r="L606" s="968"/>
      <c r="M606" s="968"/>
      <c r="N606" s="968"/>
      <c r="O606" s="968"/>
      <c r="P606" s="1038"/>
    </row>
    <row r="607" spans="2:16" ht="15">
      <c r="B607" s="763"/>
      <c r="C607" s="789">
        <v>10</v>
      </c>
      <c r="D607" s="717" t="str">
        <f t="shared" si="214"/>
        <v>Geothermal electricity</v>
      </c>
      <c r="E607" s="717"/>
      <c r="F607" s="785">
        <f t="shared" si="215"/>
        <v>0.01</v>
      </c>
      <c r="G607" s="968"/>
      <c r="H607" s="968"/>
      <c r="I607" s="968"/>
      <c r="J607" s="968"/>
      <c r="K607" s="968"/>
      <c r="L607" s="968"/>
      <c r="M607" s="968"/>
      <c r="N607" s="968"/>
      <c r="O607" s="968"/>
      <c r="P607" s="1038"/>
    </row>
    <row r="608" spans="2:16" ht="15">
      <c r="B608" s="763"/>
      <c r="C608" s="789">
        <v>11</v>
      </c>
      <c r="D608" s="717" t="str">
        <f t="shared" si="214"/>
        <v>Community scale gas CHP with local district heating</v>
      </c>
      <c r="E608" s="717"/>
      <c r="F608" s="785">
        <f t="shared" si="215"/>
        <v>0</v>
      </c>
      <c r="G608" s="968"/>
      <c r="H608" s="968"/>
      <c r="I608" s="968"/>
      <c r="J608" s="968"/>
      <c r="K608" s="968"/>
      <c r="L608" s="968"/>
      <c r="M608" s="968"/>
      <c r="N608" s="968"/>
      <c r="O608" s="968"/>
      <c r="P608" s="1038"/>
    </row>
    <row r="609" spans="2:66" ht="15">
      <c r="B609" s="763"/>
      <c r="C609" s="789">
        <v>12</v>
      </c>
      <c r="D609" s="717" t="str">
        <f t="shared" si="214"/>
        <v>Community scale solid-fuel CHP with local district heating</v>
      </c>
      <c r="E609" s="717"/>
      <c r="F609" s="785">
        <f t="shared" si="215"/>
        <v>0</v>
      </c>
      <c r="G609" s="968"/>
      <c r="H609" s="968"/>
      <c r="I609" s="968"/>
      <c r="J609" s="968"/>
      <c r="K609" s="968"/>
      <c r="L609" s="968"/>
      <c r="M609" s="968"/>
      <c r="N609" s="968"/>
      <c r="O609" s="968"/>
      <c r="P609" s="1038"/>
    </row>
    <row r="610" spans="2:66" s="993" customFormat="1" ht="15">
      <c r="B610" s="763"/>
      <c r="C610" s="715">
        <v>13</v>
      </c>
      <c r="D610" s="716" t="str">
        <f t="shared" si="214"/>
        <v>Long distance district heating from large power stations</v>
      </c>
      <c r="E610" s="716"/>
      <c r="F610" s="557">
        <f t="shared" si="215"/>
        <v>0.11</v>
      </c>
      <c r="G610" s="968"/>
      <c r="H610" s="968"/>
      <c r="I610" s="968"/>
      <c r="J610" s="968"/>
      <c r="K610" s="968"/>
      <c r="L610" s="968"/>
      <c r="M610" s="968"/>
      <c r="N610" s="968"/>
      <c r="O610" s="968"/>
      <c r="P610" s="103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</row>
    <row r="611" spans="2:66" s="993" customFormat="1" ht="15">
      <c r="B611" s="763"/>
      <c r="C611" s="789"/>
      <c r="D611" s="717"/>
      <c r="E611" s="717"/>
      <c r="F611" s="570"/>
      <c r="G611" s="968"/>
      <c r="H611" s="968"/>
      <c r="I611" s="968"/>
      <c r="J611" s="968"/>
      <c r="K611" s="968"/>
      <c r="L611" s="968"/>
      <c r="M611" s="968"/>
      <c r="N611" s="968"/>
      <c r="O611" s="968"/>
      <c r="P611" s="103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</row>
    <row r="612" spans="2:66" ht="15">
      <c r="B612" s="763"/>
      <c r="C612" s="1347" t="s">
        <v>77</v>
      </c>
      <c r="D612" s="1347" t="s">
        <v>907</v>
      </c>
      <c r="E612" s="1347" t="s">
        <v>422</v>
      </c>
      <c r="F612" s="1348" t="s">
        <v>936</v>
      </c>
      <c r="G612" s="968"/>
      <c r="H612" s="968"/>
      <c r="I612" s="968"/>
      <c r="J612" s="968"/>
      <c r="K612" s="968"/>
      <c r="L612" s="968"/>
      <c r="M612" s="968"/>
      <c r="N612" s="968"/>
      <c r="O612" s="968"/>
      <c r="P612" s="1038"/>
      <c r="AE612" s="993"/>
      <c r="AF612" s="993"/>
      <c r="AG612" s="993"/>
      <c r="AH612" s="993"/>
      <c r="AI612" s="993"/>
      <c r="AJ612" s="993"/>
      <c r="AK612" s="993"/>
      <c r="AL612" s="993"/>
      <c r="AM612" s="993"/>
      <c r="AN612" s="993"/>
      <c r="AO612" s="993"/>
      <c r="AP612" s="993"/>
      <c r="AQ612" s="993"/>
      <c r="AR612" s="993"/>
      <c r="AS612" s="993"/>
      <c r="AT612" s="993"/>
      <c r="AU612" s="993"/>
      <c r="AV612" s="993"/>
      <c r="AW612" s="993"/>
      <c r="AX612" s="993"/>
      <c r="AY612" s="993"/>
      <c r="AZ612" s="993"/>
      <c r="BA612" s="993"/>
      <c r="BB612" s="993"/>
      <c r="BC612" s="993"/>
      <c r="BD612" s="993"/>
      <c r="BE612" s="993"/>
      <c r="BF612" s="993"/>
      <c r="BG612" s="993"/>
      <c r="BH612" s="993"/>
      <c r="BI612" s="993"/>
      <c r="BJ612" s="993"/>
      <c r="BK612" s="993"/>
      <c r="BL612" s="993"/>
      <c r="BM612" s="993"/>
      <c r="BN612" s="993"/>
    </row>
    <row r="613" spans="2:66" ht="15">
      <c r="B613" s="763"/>
      <c r="C613" s="789">
        <v>1</v>
      </c>
      <c r="D613" s="717" t="str">
        <f>INDEX($D$94:$D$96, MATCH($C613, $C$94:$C$96, 0))</f>
        <v>Electric air conditioner (old)</v>
      </c>
      <c r="E613" s="717"/>
      <c r="F613" s="972">
        <f>INDEX($E94:$T94, MATCH($E$23, $E$93:$T$93, 0))</f>
        <v>0</v>
      </c>
      <c r="G613" s="968"/>
      <c r="H613" s="968"/>
      <c r="I613" s="968"/>
      <c r="J613" s="968"/>
      <c r="K613" s="968"/>
      <c r="L613" s="968"/>
      <c r="M613" s="968"/>
      <c r="N613" s="968"/>
      <c r="O613" s="968"/>
      <c r="P613" s="1038"/>
      <c r="AE613" s="993"/>
      <c r="AF613" s="993"/>
      <c r="AG613" s="993"/>
      <c r="AH613" s="993"/>
      <c r="AI613" s="993"/>
      <c r="AJ613" s="993"/>
      <c r="AK613" s="993"/>
      <c r="AL613" s="993"/>
      <c r="AM613" s="993"/>
      <c r="AN613" s="993"/>
      <c r="AO613" s="993"/>
      <c r="AP613" s="993"/>
      <c r="AQ613" s="993"/>
      <c r="AR613" s="993"/>
      <c r="AS613" s="993"/>
      <c r="AT613" s="993"/>
      <c r="AU613" s="993"/>
      <c r="AV613" s="993"/>
      <c r="AW613" s="993"/>
      <c r="AX613" s="993"/>
      <c r="AY613" s="993"/>
      <c r="AZ613" s="993"/>
      <c r="BA613" s="993"/>
      <c r="BB613" s="993"/>
      <c r="BC613" s="993"/>
      <c r="BD613" s="993"/>
      <c r="BE613" s="993"/>
      <c r="BF613" s="993"/>
      <c r="BG613" s="993"/>
      <c r="BH613" s="993"/>
      <c r="BI613" s="993"/>
      <c r="BJ613" s="993"/>
      <c r="BK613" s="993"/>
      <c r="BL613" s="993"/>
      <c r="BM613" s="993"/>
      <c r="BN613" s="993"/>
    </row>
    <row r="614" spans="2:66" ht="12" customHeight="1">
      <c r="B614" s="763"/>
      <c r="C614" s="789">
        <v>2</v>
      </c>
      <c r="D614" s="717" t="str">
        <f>INDEX($D$94:$D$96, MATCH($C614, $C$94:$C$96, 0))</f>
        <v>Electric air conditioner (new)</v>
      </c>
      <c r="E614" s="717"/>
      <c r="F614" s="785">
        <f>INDEX($E95:$T95, MATCH($E$23, $E$93:$T$93, 0))</f>
        <v>0.88</v>
      </c>
      <c r="G614" s="968"/>
      <c r="H614" s="968"/>
      <c r="I614" s="968"/>
      <c r="J614" s="968"/>
      <c r="K614" s="968"/>
      <c r="L614" s="968"/>
      <c r="M614" s="968"/>
      <c r="N614" s="968"/>
      <c r="O614" s="968"/>
      <c r="P614" s="1038"/>
    </row>
    <row r="615" spans="2:66" ht="15">
      <c r="B615" s="763"/>
      <c r="C615" s="719">
        <v>3</v>
      </c>
      <c r="D615" s="720" t="str">
        <f>INDEX($D$94:$D$96, MATCH($C615, $C$94:$C$96, 0))</f>
        <v>Absorption chiller</v>
      </c>
      <c r="E615" s="720"/>
      <c r="F615" s="1137">
        <f>INDEX($E96:$T96, MATCH($E$23, $E$93:$T$93, 0))</f>
        <v>0.12</v>
      </c>
      <c r="G615" s="968"/>
      <c r="H615" s="968"/>
      <c r="I615" s="968"/>
      <c r="J615" s="968"/>
      <c r="K615" s="968"/>
      <c r="L615" s="968"/>
      <c r="M615" s="968"/>
      <c r="N615" s="968"/>
      <c r="O615" s="968"/>
      <c r="P615" s="1038"/>
    </row>
    <row r="616" spans="2:66" ht="15">
      <c r="B616" s="763"/>
      <c r="C616" s="789"/>
      <c r="D616" s="717"/>
      <c r="E616" s="717"/>
      <c r="F616" s="785"/>
      <c r="G616" s="968"/>
      <c r="H616" s="968"/>
      <c r="I616" s="968"/>
      <c r="J616" s="968"/>
      <c r="K616" s="968"/>
      <c r="L616" s="968"/>
      <c r="M616" s="968"/>
      <c r="N616" s="968"/>
      <c r="O616" s="968"/>
      <c r="P616" s="1038"/>
    </row>
    <row r="617" spans="2:66" ht="15">
      <c r="B617" s="763"/>
      <c r="C617" s="1537" t="s">
        <v>1701</v>
      </c>
      <c r="D617" s="717"/>
      <c r="E617" s="717"/>
      <c r="F617" s="785"/>
      <c r="G617" s="968"/>
      <c r="H617" s="968"/>
      <c r="I617" s="968"/>
      <c r="J617" s="968"/>
      <c r="K617" s="968"/>
      <c r="L617" s="968"/>
      <c r="M617" s="968"/>
      <c r="N617" s="968"/>
      <c r="O617" s="968"/>
      <c r="P617" s="1038"/>
    </row>
    <row r="618" spans="2:66">
      <c r="B618" s="1414"/>
      <c r="C618" s="1415"/>
      <c r="D618" s="1416"/>
      <c r="E618" s="1416"/>
      <c r="F618" s="1432"/>
      <c r="G618" s="1322"/>
      <c r="H618" s="1322"/>
      <c r="I618" s="1322"/>
      <c r="J618" s="1322"/>
      <c r="K618" s="1322"/>
      <c r="L618" s="1322"/>
      <c r="M618" s="1322"/>
      <c r="N618" s="1322"/>
      <c r="O618" s="1322"/>
      <c r="P618" s="1421"/>
    </row>
    <row r="619" spans="2:66">
      <c r="B619" s="1414"/>
      <c r="C619" s="1514" t="s">
        <v>909</v>
      </c>
      <c r="D619" s="1416"/>
      <c r="E619" s="1417"/>
      <c r="F619" s="1418"/>
      <c r="G619" s="1419"/>
      <c r="H619" s="1322"/>
      <c r="I619" s="1322"/>
      <c r="J619" s="1322"/>
      <c r="K619" s="1322"/>
      <c r="L619" s="1322"/>
      <c r="M619" s="1322"/>
      <c r="N619" s="1322"/>
      <c r="O619" s="1420" t="s">
        <v>910</v>
      </c>
      <c r="P619" s="1421"/>
    </row>
    <row r="620" spans="2:66">
      <c r="B620" s="1414"/>
      <c r="C620" s="1514"/>
      <c r="D620" s="1416"/>
      <c r="E620" s="1417"/>
      <c r="F620" s="1418"/>
      <c r="G620" s="1419"/>
      <c r="H620" s="1322"/>
      <c r="I620" s="1322"/>
      <c r="J620" s="1322"/>
      <c r="K620" s="1322"/>
      <c r="L620" s="1322"/>
      <c r="M620" s="1322"/>
      <c r="N620" s="1322"/>
      <c r="O620" s="1420"/>
      <c r="P620" s="1421"/>
    </row>
    <row r="621" spans="2:66">
      <c r="B621" s="1414"/>
      <c r="C621" s="1415" t="s">
        <v>1692</v>
      </c>
      <c r="D621" s="1416"/>
      <c r="E621" s="1416"/>
      <c r="F621" s="1418"/>
      <c r="G621" s="1419"/>
      <c r="H621" s="1322"/>
      <c r="I621" s="1322"/>
      <c r="J621" s="1322"/>
      <c r="K621" s="1322"/>
      <c r="L621" s="1322"/>
      <c r="M621" s="1322"/>
      <c r="N621" s="1322"/>
      <c r="O621" s="1322"/>
      <c r="P621" s="1421"/>
    </row>
    <row r="622" spans="2:66">
      <c r="B622" s="1414"/>
      <c r="C622" s="1415"/>
      <c r="D622" s="1416"/>
      <c r="E622" s="1416"/>
      <c r="F622" s="1418"/>
      <c r="G622" s="1419"/>
      <c r="H622" s="1322"/>
      <c r="I622" s="1322"/>
      <c r="J622" s="1322"/>
      <c r="K622" s="1322"/>
      <c r="L622" s="1322"/>
      <c r="M622" s="1322"/>
      <c r="N622" s="1322"/>
      <c r="O622" s="1322"/>
      <c r="P622" s="1322"/>
    </row>
    <row r="623" spans="2:66">
      <c r="B623" s="1414"/>
      <c r="C623" s="1422" t="s">
        <v>77</v>
      </c>
      <c r="D623" s="1422" t="s">
        <v>907</v>
      </c>
      <c r="E623" s="1422" t="s">
        <v>422</v>
      </c>
      <c r="F623" s="1423">
        <v>2007</v>
      </c>
      <c r="G623" s="1424">
        <v>2010</v>
      </c>
      <c r="H623" s="1425">
        <v>2015</v>
      </c>
      <c r="I623" s="1425">
        <v>2020</v>
      </c>
      <c r="J623" s="1425">
        <v>2025</v>
      </c>
      <c r="K623" s="1425">
        <v>2030</v>
      </c>
      <c r="L623" s="1425">
        <v>2035</v>
      </c>
      <c r="M623" s="1425">
        <v>2040</v>
      </c>
      <c r="N623" s="1425">
        <v>2045</v>
      </c>
      <c r="O623" s="1425">
        <v>2050</v>
      </c>
      <c r="P623" s="1425" t="s">
        <v>1404</v>
      </c>
    </row>
    <row r="624" spans="2:66">
      <c r="B624" s="1414"/>
      <c r="C624" s="1415">
        <v>1</v>
      </c>
      <c r="D624" s="1416" t="str">
        <f t="shared" ref="D624:D636" si="216">INDEX($D$76:$D$88, MATCH($C624, $C$76:$C$88, 0))</f>
        <v>Gas boiler (old)</v>
      </c>
      <c r="E624" s="1416"/>
      <c r="F624" s="1426">
        <f t="shared" ref="F624:F636" si="217">INDEX($F$209:$F$221, MATCH($C624,$C$209:$C$221, 0))</f>
        <v>0.67</v>
      </c>
      <c r="G624" s="1427">
        <v>0.60542466954460683</v>
      </c>
      <c r="H624" s="1428">
        <v>0.4624862467351879</v>
      </c>
      <c r="I624" s="1428">
        <f t="shared" ref="I624:N636" si="218">H624+$P624</f>
        <v>0.39641678291587534</v>
      </c>
      <c r="J624" s="1428">
        <f t="shared" si="218"/>
        <v>0.33034731909656279</v>
      </c>
      <c r="K624" s="1428">
        <f t="shared" si="218"/>
        <v>0.26427785527725023</v>
      </c>
      <c r="L624" s="1428">
        <f t="shared" si="218"/>
        <v>0.19820839145793767</v>
      </c>
      <c r="M624" s="1428">
        <f t="shared" si="218"/>
        <v>0.13213892763862511</v>
      </c>
      <c r="N624" s="1428">
        <f t="shared" si="218"/>
        <v>6.6069463819312557E-2</v>
      </c>
      <c r="O624" s="1429">
        <f>F598</f>
        <v>0</v>
      </c>
      <c r="P624" s="1429">
        <f>(O624-H624)/7</f>
        <v>-6.6069463819312557E-2</v>
      </c>
    </row>
    <row r="625" spans="2:16">
      <c r="B625" s="1414"/>
      <c r="C625" s="1415">
        <v>2</v>
      </c>
      <c r="D625" s="1416" t="str">
        <f t="shared" si="216"/>
        <v>Gas boiler (new)</v>
      </c>
      <c r="E625" s="1416"/>
      <c r="F625" s="1430">
        <f t="shared" si="217"/>
        <v>0.15</v>
      </c>
      <c r="G625" s="1431">
        <v>0.24065511527859304</v>
      </c>
      <c r="H625" s="1432">
        <v>0.41986273683253178</v>
      </c>
      <c r="I625" s="1433">
        <f t="shared" si="218"/>
        <v>0.35988234585645579</v>
      </c>
      <c r="J625" s="1433">
        <f t="shared" si="218"/>
        <v>0.2999019548803798</v>
      </c>
      <c r="K625" s="1433">
        <f t="shared" si="218"/>
        <v>0.23992156390430383</v>
      </c>
      <c r="L625" s="1433">
        <f t="shared" si="218"/>
        <v>0.17994117292822787</v>
      </c>
      <c r="M625" s="1433">
        <f t="shared" si="218"/>
        <v>0.1199607819521519</v>
      </c>
      <c r="N625" s="1433">
        <f t="shared" si="218"/>
        <v>5.998039097607593E-2</v>
      </c>
      <c r="O625" s="1434">
        <f>F599</f>
        <v>0</v>
      </c>
      <c r="P625" s="1434">
        <f t="shared" ref="P625:P636" si="219">(O625-H625)/7</f>
        <v>-5.9980390976075972E-2</v>
      </c>
    </row>
    <row r="626" spans="2:16">
      <c r="B626" s="1414"/>
      <c r="C626" s="1415">
        <v>3</v>
      </c>
      <c r="D626" s="1416" t="str">
        <f t="shared" si="216"/>
        <v>Resistive heating</v>
      </c>
      <c r="E626" s="1416"/>
      <c r="F626" s="1430">
        <f t="shared" si="217"/>
        <v>0.1</v>
      </c>
      <c r="G626" s="1431">
        <v>8.5511230653777859E-2</v>
      </c>
      <c r="H626" s="1432">
        <v>6.5322359837963029E-2</v>
      </c>
      <c r="I626" s="1433">
        <f t="shared" si="218"/>
        <v>5.5990594146825452E-2</v>
      </c>
      <c r="J626" s="1433">
        <f t="shared" si="218"/>
        <v>4.6658828455687876E-2</v>
      </c>
      <c r="K626" s="1433">
        <f t="shared" si="218"/>
        <v>3.7327062764550299E-2</v>
      </c>
      <c r="L626" s="1433">
        <f t="shared" si="218"/>
        <v>2.7995297073412723E-2</v>
      </c>
      <c r="M626" s="1433">
        <f t="shared" si="218"/>
        <v>1.8663531382275146E-2</v>
      </c>
      <c r="N626" s="1433">
        <f t="shared" si="218"/>
        <v>9.3317656911375713E-3</v>
      </c>
      <c r="O626" s="1434">
        <f>F600</f>
        <v>0</v>
      </c>
      <c r="P626" s="1434">
        <f t="shared" si="219"/>
        <v>-9.3317656911375748E-3</v>
      </c>
    </row>
    <row r="627" spans="2:16">
      <c r="B627" s="1414"/>
      <c r="C627" s="1415">
        <v>4</v>
      </c>
      <c r="D627" s="1416" t="str">
        <f t="shared" si="216"/>
        <v>Oil-fired boiler</v>
      </c>
      <c r="E627" s="1416"/>
      <c r="F627" s="1430">
        <f t="shared" si="217"/>
        <v>0.04</v>
      </c>
      <c r="G627" s="1431">
        <v>3.4204492261511142E-2</v>
      </c>
      <c r="H627" s="1432">
        <v>2.6128943935185212E-2</v>
      </c>
      <c r="I627" s="1433">
        <f t="shared" si="218"/>
        <v>2.2396237658730181E-2</v>
      </c>
      <c r="J627" s="1433">
        <f t="shared" si="218"/>
        <v>1.866353138227515E-2</v>
      </c>
      <c r="K627" s="1433">
        <f t="shared" si="218"/>
        <v>1.4930825105820118E-2</v>
      </c>
      <c r="L627" s="1433">
        <f t="shared" si="218"/>
        <v>1.1198118829365087E-2</v>
      </c>
      <c r="M627" s="1433">
        <f t="shared" si="218"/>
        <v>7.4654125529100565E-3</v>
      </c>
      <c r="N627" s="1433">
        <f t="shared" si="218"/>
        <v>3.7327062764550261E-3</v>
      </c>
      <c r="O627" s="1434">
        <f>F601</f>
        <v>0</v>
      </c>
      <c r="P627" s="1434">
        <f t="shared" si="219"/>
        <v>-3.7327062764550304E-3</v>
      </c>
    </row>
    <row r="628" spans="2:16">
      <c r="B628" s="1414"/>
      <c r="C628" s="1415">
        <v>5</v>
      </c>
      <c r="D628" s="1416" t="str">
        <f t="shared" si="216"/>
        <v>Solid-fuel boiler</v>
      </c>
      <c r="E628" s="1416"/>
      <c r="F628" s="1430">
        <f t="shared" si="217"/>
        <v>0.04</v>
      </c>
      <c r="G628" s="1431">
        <v>3.4204492261511142E-2</v>
      </c>
      <c r="H628" s="1432">
        <v>2.6128943935185212E-2</v>
      </c>
      <c r="I628" s="1433">
        <f t="shared" si="218"/>
        <v>2.2396237658730181E-2</v>
      </c>
      <c r="J628" s="1433">
        <f t="shared" si="218"/>
        <v>1.866353138227515E-2</v>
      </c>
      <c r="K628" s="1433">
        <f t="shared" si="218"/>
        <v>1.4930825105820118E-2</v>
      </c>
      <c r="L628" s="1433">
        <f t="shared" si="218"/>
        <v>1.1198118829365087E-2</v>
      </c>
      <c r="M628" s="1433">
        <f t="shared" si="218"/>
        <v>7.4654125529100565E-3</v>
      </c>
      <c r="N628" s="1433">
        <f t="shared" si="218"/>
        <v>3.7327062764550261E-3</v>
      </c>
      <c r="O628" s="1434">
        <f t="shared" ref="O628:O636" si="220">F602</f>
        <v>0</v>
      </c>
      <c r="P628" s="1434">
        <f t="shared" si="219"/>
        <v>-3.7327062764550304E-3</v>
      </c>
    </row>
    <row r="629" spans="2:16">
      <c r="B629" s="1414"/>
      <c r="C629" s="1415">
        <v>6</v>
      </c>
      <c r="D629" s="1416" t="str">
        <f t="shared" si="216"/>
        <v>Stirling engine micro-CHP</v>
      </c>
      <c r="E629" s="1416"/>
      <c r="F629" s="1430">
        <f t="shared" si="217"/>
        <v>0</v>
      </c>
      <c r="G629" s="1435">
        <v>0</v>
      </c>
      <c r="H629" s="1433">
        <v>0</v>
      </c>
      <c r="I629" s="1433">
        <f t="shared" si="218"/>
        <v>0</v>
      </c>
      <c r="J629" s="1433">
        <f t="shared" si="218"/>
        <v>0</v>
      </c>
      <c r="K629" s="1433">
        <f t="shared" si="218"/>
        <v>0</v>
      </c>
      <c r="L629" s="1433">
        <f t="shared" si="218"/>
        <v>0</v>
      </c>
      <c r="M629" s="1433">
        <f t="shared" si="218"/>
        <v>0</v>
      </c>
      <c r="N629" s="1433">
        <f t="shared" si="218"/>
        <v>0</v>
      </c>
      <c r="O629" s="1434">
        <f t="shared" si="220"/>
        <v>0</v>
      </c>
      <c r="P629" s="1434">
        <f t="shared" si="219"/>
        <v>0</v>
      </c>
    </row>
    <row r="630" spans="2:16">
      <c r="B630" s="1414"/>
      <c r="C630" s="1415">
        <v>7</v>
      </c>
      <c r="D630" s="1416" t="str">
        <f t="shared" si="216"/>
        <v>Fuel-cell micro-CHP</v>
      </c>
      <c r="E630" s="1416"/>
      <c r="F630" s="1430">
        <f t="shared" si="217"/>
        <v>0</v>
      </c>
      <c r="G630" s="1435">
        <v>0</v>
      </c>
      <c r="H630" s="1433">
        <v>0</v>
      </c>
      <c r="I630" s="1433">
        <f t="shared" si="218"/>
        <v>0</v>
      </c>
      <c r="J630" s="1433">
        <f t="shared" si="218"/>
        <v>0</v>
      </c>
      <c r="K630" s="1433">
        <f t="shared" si="218"/>
        <v>0</v>
      </c>
      <c r="L630" s="1433">
        <f t="shared" si="218"/>
        <v>0</v>
      </c>
      <c r="M630" s="1433">
        <f t="shared" si="218"/>
        <v>0</v>
      </c>
      <c r="N630" s="1433">
        <f t="shared" si="218"/>
        <v>0</v>
      </c>
      <c r="O630" s="1434">
        <f t="shared" si="220"/>
        <v>0</v>
      </c>
      <c r="P630" s="1434">
        <f t="shared" si="219"/>
        <v>0</v>
      </c>
    </row>
    <row r="631" spans="2:16">
      <c r="B631" s="1414"/>
      <c r="C631" s="1415">
        <v>8</v>
      </c>
      <c r="D631" s="1416" t="str">
        <f t="shared" si="216"/>
        <v>Air-source heat pump</v>
      </c>
      <c r="E631" s="1416"/>
      <c r="F631" s="1430">
        <f t="shared" si="217"/>
        <v>0</v>
      </c>
      <c r="G631" s="1435">
        <v>0</v>
      </c>
      <c r="H631" s="1433">
        <v>0</v>
      </c>
      <c r="I631" s="1433">
        <f t="shared" si="218"/>
        <v>8.2857142857142851E-2</v>
      </c>
      <c r="J631" s="1433">
        <f t="shared" si="218"/>
        <v>0.1657142857142857</v>
      </c>
      <c r="K631" s="1433">
        <f t="shared" si="218"/>
        <v>0.24857142857142855</v>
      </c>
      <c r="L631" s="1433">
        <f t="shared" si="218"/>
        <v>0.33142857142857141</v>
      </c>
      <c r="M631" s="1433">
        <f t="shared" si="218"/>
        <v>0.41428571428571426</v>
      </c>
      <c r="N631" s="1433">
        <f t="shared" si="218"/>
        <v>0.49714285714285711</v>
      </c>
      <c r="O631" s="1434">
        <f t="shared" si="220"/>
        <v>0.57999999999999996</v>
      </c>
      <c r="P631" s="1434">
        <f t="shared" si="219"/>
        <v>8.2857142857142851E-2</v>
      </c>
    </row>
    <row r="632" spans="2:16" ht="6.75" customHeight="1">
      <c r="B632" s="1414"/>
      <c r="C632" s="1415">
        <v>9</v>
      </c>
      <c r="D632" s="1416" t="str">
        <f t="shared" si="216"/>
        <v>Ground-source heat pump</v>
      </c>
      <c r="E632" s="1416"/>
      <c r="F632" s="1430">
        <f t="shared" si="217"/>
        <v>0</v>
      </c>
      <c r="G632" s="1435">
        <v>0</v>
      </c>
      <c r="H632" s="1433">
        <v>0</v>
      </c>
      <c r="I632" s="1433">
        <f t="shared" si="218"/>
        <v>4.2857142857142858E-2</v>
      </c>
      <c r="J632" s="1433">
        <f t="shared" si="218"/>
        <v>8.5714285714285715E-2</v>
      </c>
      <c r="K632" s="1433">
        <f t="shared" si="218"/>
        <v>0.12857142857142856</v>
      </c>
      <c r="L632" s="1433">
        <f t="shared" si="218"/>
        <v>0.17142857142857143</v>
      </c>
      <c r="M632" s="1433">
        <f t="shared" si="218"/>
        <v>0.2142857142857143</v>
      </c>
      <c r="N632" s="1433">
        <f t="shared" si="218"/>
        <v>0.25714285714285717</v>
      </c>
      <c r="O632" s="1434">
        <f t="shared" si="220"/>
        <v>0.3</v>
      </c>
      <c r="P632" s="1434">
        <f t="shared" si="219"/>
        <v>4.2857142857142858E-2</v>
      </c>
    </row>
    <row r="633" spans="2:16">
      <c r="B633" s="1414"/>
      <c r="C633" s="1415">
        <v>10</v>
      </c>
      <c r="D633" s="1416" t="str">
        <f t="shared" si="216"/>
        <v>Geothermal electricity</v>
      </c>
      <c r="E633" s="1416"/>
      <c r="F633" s="1430">
        <f t="shared" si="217"/>
        <v>0</v>
      </c>
      <c r="G633" s="1435">
        <v>0</v>
      </c>
      <c r="H633" s="1433">
        <v>0</v>
      </c>
      <c r="I633" s="1433">
        <f t="shared" si="218"/>
        <v>1.4285714285714286E-3</v>
      </c>
      <c r="J633" s="1433">
        <f t="shared" si="218"/>
        <v>2.8571428571428571E-3</v>
      </c>
      <c r="K633" s="1433">
        <f t="shared" si="218"/>
        <v>4.2857142857142859E-3</v>
      </c>
      <c r="L633" s="1433">
        <f t="shared" si="218"/>
        <v>5.7142857142857143E-3</v>
      </c>
      <c r="M633" s="1433">
        <f t="shared" si="218"/>
        <v>7.1428571428571426E-3</v>
      </c>
      <c r="N633" s="1433">
        <f t="shared" si="218"/>
        <v>8.5714285714285719E-3</v>
      </c>
      <c r="O633" s="1434">
        <f t="shared" si="220"/>
        <v>0.01</v>
      </c>
      <c r="P633" s="1434">
        <f t="shared" si="219"/>
        <v>1.4285714285714286E-3</v>
      </c>
    </row>
    <row r="634" spans="2:16">
      <c r="B634" s="1414"/>
      <c r="C634" s="1415">
        <v>11</v>
      </c>
      <c r="D634" s="1416" t="str">
        <f t="shared" si="216"/>
        <v>Community scale gas CHP with local district heating</v>
      </c>
      <c r="E634" s="1416"/>
      <c r="F634" s="1430">
        <f t="shared" si="217"/>
        <v>0</v>
      </c>
      <c r="G634" s="1435">
        <v>0</v>
      </c>
      <c r="H634" s="1433">
        <v>0</v>
      </c>
      <c r="I634" s="1433">
        <f t="shared" si="218"/>
        <v>0</v>
      </c>
      <c r="J634" s="1433">
        <f t="shared" si="218"/>
        <v>0</v>
      </c>
      <c r="K634" s="1433">
        <f t="shared" si="218"/>
        <v>0</v>
      </c>
      <c r="L634" s="1433">
        <f t="shared" si="218"/>
        <v>0</v>
      </c>
      <c r="M634" s="1433">
        <f t="shared" si="218"/>
        <v>0</v>
      </c>
      <c r="N634" s="1433">
        <f t="shared" si="218"/>
        <v>0</v>
      </c>
      <c r="O634" s="1434">
        <f t="shared" si="220"/>
        <v>0</v>
      </c>
      <c r="P634" s="1434">
        <f t="shared" si="219"/>
        <v>0</v>
      </c>
    </row>
    <row r="635" spans="2:16">
      <c r="B635" s="1414"/>
      <c r="C635" s="1415">
        <v>12</v>
      </c>
      <c r="D635" s="1416" t="str">
        <f t="shared" si="216"/>
        <v>Community scale solid-fuel CHP with local district heating</v>
      </c>
      <c r="E635" s="1416"/>
      <c r="F635" s="1430">
        <f t="shared" si="217"/>
        <v>0</v>
      </c>
      <c r="G635" s="1435">
        <v>0</v>
      </c>
      <c r="H635" s="1433">
        <v>0</v>
      </c>
      <c r="I635" s="1433">
        <f t="shared" si="218"/>
        <v>0</v>
      </c>
      <c r="J635" s="1433">
        <f t="shared" si="218"/>
        <v>0</v>
      </c>
      <c r="K635" s="1433">
        <f t="shared" si="218"/>
        <v>0</v>
      </c>
      <c r="L635" s="1433">
        <f t="shared" si="218"/>
        <v>0</v>
      </c>
      <c r="M635" s="1433">
        <f t="shared" si="218"/>
        <v>0</v>
      </c>
      <c r="N635" s="1433">
        <f t="shared" si="218"/>
        <v>0</v>
      </c>
      <c r="O635" s="1434">
        <f t="shared" si="220"/>
        <v>0</v>
      </c>
      <c r="P635" s="1434">
        <f t="shared" si="219"/>
        <v>0</v>
      </c>
    </row>
    <row r="636" spans="2:16">
      <c r="B636" s="1414"/>
      <c r="C636" s="1436">
        <v>13</v>
      </c>
      <c r="D636" s="1437" t="str">
        <f t="shared" si="216"/>
        <v>Long distance district heating from large power stations</v>
      </c>
      <c r="E636" s="1437"/>
      <c r="F636" s="1438">
        <f t="shared" si="217"/>
        <v>0</v>
      </c>
      <c r="G636" s="1439">
        <v>0</v>
      </c>
      <c r="H636" s="1440">
        <v>0</v>
      </c>
      <c r="I636" s="1440">
        <f t="shared" si="218"/>
        <v>1.5714285714285715E-2</v>
      </c>
      <c r="J636" s="1440">
        <f t="shared" si="218"/>
        <v>3.1428571428571431E-2</v>
      </c>
      <c r="K636" s="1440">
        <f t="shared" si="218"/>
        <v>4.7142857142857146E-2</v>
      </c>
      <c r="L636" s="1440">
        <f t="shared" si="218"/>
        <v>6.2857142857142861E-2</v>
      </c>
      <c r="M636" s="1440">
        <f t="shared" si="218"/>
        <v>7.857142857142857E-2</v>
      </c>
      <c r="N636" s="1440">
        <f t="shared" si="218"/>
        <v>9.4285714285714278E-2</v>
      </c>
      <c r="O636" s="1441">
        <f t="shared" si="220"/>
        <v>0.11</v>
      </c>
      <c r="P636" s="1441">
        <f t="shared" si="219"/>
        <v>1.5714285714285715E-2</v>
      </c>
    </row>
    <row r="637" spans="2:16">
      <c r="B637" s="1414"/>
      <c r="C637" s="1415"/>
      <c r="D637" s="1416" t="s">
        <v>133</v>
      </c>
      <c r="E637" s="1416"/>
      <c r="F637" s="1432">
        <f>SUM(F624:F636)</f>
        <v>1</v>
      </c>
      <c r="G637" s="1432">
        <f t="shared" ref="G637:O637" si="221">SUM(G624:G636)</f>
        <v>1</v>
      </c>
      <c r="H637" s="1442">
        <f>SUM(H624:H636)</f>
        <v>0.99992923127605304</v>
      </c>
      <c r="I637" s="1442">
        <f t="shared" si="221"/>
        <v>0.99993934109375981</v>
      </c>
      <c r="J637" s="1442">
        <f t="shared" si="221"/>
        <v>0.99994945091146659</v>
      </c>
      <c r="K637" s="1442">
        <f t="shared" si="221"/>
        <v>0.99995956072917325</v>
      </c>
      <c r="L637" s="1442">
        <f t="shared" si="221"/>
        <v>0.99996967054687991</v>
      </c>
      <c r="M637" s="1442">
        <f t="shared" si="221"/>
        <v>0.99997978036458646</v>
      </c>
      <c r="N637" s="1442">
        <f t="shared" si="221"/>
        <v>0.99998989018229334</v>
      </c>
      <c r="O637" s="1442">
        <f t="shared" si="221"/>
        <v>0.99999999999999989</v>
      </c>
      <c r="P637" s="1442"/>
    </row>
    <row r="638" spans="2:16">
      <c r="B638" s="1414"/>
      <c r="C638" s="1415"/>
      <c r="D638" s="1416"/>
      <c r="E638" s="1416"/>
      <c r="F638" s="1432"/>
      <c r="G638" s="1432"/>
      <c r="H638" s="1442"/>
      <c r="I638" s="1442"/>
      <c r="J638" s="1442"/>
      <c r="K638" s="1442"/>
      <c r="L638" s="1442"/>
      <c r="M638" s="1442"/>
      <c r="N638" s="1442"/>
      <c r="O638" s="1442"/>
      <c r="P638" s="1442"/>
    </row>
    <row r="639" spans="2:16">
      <c r="B639" s="1414"/>
      <c r="C639" s="1415" t="s">
        <v>1693</v>
      </c>
      <c r="D639" s="1416"/>
      <c r="E639" s="1416"/>
      <c r="F639" s="1432"/>
      <c r="G639" s="1432"/>
      <c r="H639" s="1442"/>
      <c r="I639" s="1442"/>
      <c r="J639" s="1442"/>
      <c r="K639" s="1442"/>
      <c r="L639" s="1442"/>
      <c r="M639" s="1442"/>
      <c r="N639" s="1442"/>
      <c r="O639" s="1442"/>
      <c r="P639" s="1442"/>
    </row>
    <row r="640" spans="2:16">
      <c r="B640" s="1414"/>
      <c r="C640" s="1322"/>
      <c r="D640" s="1322"/>
      <c r="E640" s="1322"/>
      <c r="F640" s="1322"/>
      <c r="G640" s="1322"/>
      <c r="H640" s="1322"/>
      <c r="I640" s="1322"/>
      <c r="J640" s="1322"/>
      <c r="K640" s="1322"/>
      <c r="L640" s="1322"/>
      <c r="M640" s="1322"/>
      <c r="N640" s="1322"/>
      <c r="O640" s="1322"/>
      <c r="P640" s="1421"/>
    </row>
    <row r="641" spans="2:16" ht="12.75" customHeight="1">
      <c r="B641" s="1414"/>
      <c r="C641" s="1422" t="s">
        <v>77</v>
      </c>
      <c r="D641" s="1422" t="s">
        <v>907</v>
      </c>
      <c r="E641" s="1422" t="s">
        <v>422</v>
      </c>
      <c r="F641" s="1423">
        <v>2007</v>
      </c>
      <c r="G641" s="1424">
        <v>2010</v>
      </c>
      <c r="H641" s="1425">
        <v>2015</v>
      </c>
      <c r="I641" s="1425">
        <v>2020</v>
      </c>
      <c r="J641" s="1425">
        <v>2025</v>
      </c>
      <c r="K641" s="1425">
        <v>2030</v>
      </c>
      <c r="L641" s="1425">
        <v>2035</v>
      </c>
      <c r="M641" s="1425">
        <v>2040</v>
      </c>
      <c r="N641" s="1425">
        <v>2045</v>
      </c>
      <c r="O641" s="1425">
        <v>2050</v>
      </c>
      <c r="P641" s="1421"/>
    </row>
    <row r="642" spans="2:16" ht="12.75" customHeight="1">
      <c r="B642" s="1414"/>
      <c r="C642" s="1415">
        <v>1</v>
      </c>
      <c r="D642" s="1416" t="str">
        <f>INDEX($D$94:$D$96, MATCH($C642, $C$94:$C$96, 0))</f>
        <v>Electric air conditioner (old)</v>
      </c>
      <c r="E642" s="1416"/>
      <c r="F642" s="1426">
        <f>INDEX($F$225:$F$227, MATCH($C642,$C$225:$C$227, 0))</f>
        <v>0</v>
      </c>
      <c r="G642" s="1531">
        <v>0</v>
      </c>
      <c r="H642" s="1532">
        <f t="shared" ref="H642:N644" si="222">$G642+$P642</f>
        <v>0</v>
      </c>
      <c r="I642" s="1532">
        <f t="shared" si="222"/>
        <v>0</v>
      </c>
      <c r="J642" s="1532">
        <f t="shared" si="222"/>
        <v>0</v>
      </c>
      <c r="K642" s="1532">
        <f t="shared" si="222"/>
        <v>0</v>
      </c>
      <c r="L642" s="1532">
        <f t="shared" si="222"/>
        <v>0</v>
      </c>
      <c r="M642" s="1532">
        <f t="shared" si="222"/>
        <v>0</v>
      </c>
      <c r="N642" s="1532">
        <f t="shared" si="222"/>
        <v>0</v>
      </c>
      <c r="O642" s="1532">
        <f>F613</f>
        <v>0</v>
      </c>
      <c r="P642" s="1434">
        <f>(O642-G642)/8</f>
        <v>0</v>
      </c>
    </row>
    <row r="643" spans="2:16">
      <c r="B643" s="1414"/>
      <c r="C643" s="1415">
        <v>2</v>
      </c>
      <c r="D643" s="1416" t="str">
        <f>INDEX($D$94:$D$96, MATCH($C643, $C$94:$C$96, 0))</f>
        <v>Electric air conditioner (new)</v>
      </c>
      <c r="E643" s="1416"/>
      <c r="F643" s="1430">
        <f>INDEX($F$225:$F$227, MATCH($C643,$C$225:$C$227, 0))</f>
        <v>0</v>
      </c>
      <c r="G643" s="1533">
        <v>1</v>
      </c>
      <c r="H643" s="1534">
        <f t="shared" si="222"/>
        <v>0.98499999999999999</v>
      </c>
      <c r="I643" s="1534">
        <f t="shared" si="222"/>
        <v>0.98499999999999999</v>
      </c>
      <c r="J643" s="1534">
        <f t="shared" si="222"/>
        <v>0.98499999999999999</v>
      </c>
      <c r="K643" s="1534">
        <f t="shared" si="222"/>
        <v>0.98499999999999999</v>
      </c>
      <c r="L643" s="1534">
        <f t="shared" si="222"/>
        <v>0.98499999999999999</v>
      </c>
      <c r="M643" s="1534">
        <f t="shared" si="222"/>
        <v>0.98499999999999999</v>
      </c>
      <c r="N643" s="1534">
        <f t="shared" si="222"/>
        <v>0.98499999999999999</v>
      </c>
      <c r="O643" s="1534">
        <f>F614</f>
        <v>0.88</v>
      </c>
      <c r="P643" s="1434">
        <f>(O643-G643)/8</f>
        <v>-1.4999999999999999E-2</v>
      </c>
    </row>
    <row r="644" spans="2:16">
      <c r="B644" s="1414"/>
      <c r="C644" s="1415">
        <v>3</v>
      </c>
      <c r="D644" s="1416" t="str">
        <f>INDEX($D$94:$D$96, MATCH($C644, $C$94:$C$96, 0))</f>
        <v>Absorption chiller</v>
      </c>
      <c r="E644" s="1416"/>
      <c r="F644" s="1430">
        <f>INDEX($F$225:$F$227, MATCH($C644,$C$225:$C$227, 0))</f>
        <v>0</v>
      </c>
      <c r="G644" s="1535">
        <v>0</v>
      </c>
      <c r="H644" s="1534">
        <f t="shared" si="222"/>
        <v>1.4999999999999999E-2</v>
      </c>
      <c r="I644" s="1534">
        <f t="shared" si="222"/>
        <v>1.4999999999999999E-2</v>
      </c>
      <c r="J644" s="1534">
        <f t="shared" si="222"/>
        <v>1.4999999999999999E-2</v>
      </c>
      <c r="K644" s="1534">
        <f t="shared" si="222"/>
        <v>1.4999999999999999E-2</v>
      </c>
      <c r="L644" s="1534">
        <f t="shared" si="222"/>
        <v>1.4999999999999999E-2</v>
      </c>
      <c r="M644" s="1534">
        <f t="shared" si="222"/>
        <v>1.4999999999999999E-2</v>
      </c>
      <c r="N644" s="1534">
        <f t="shared" si="222"/>
        <v>1.4999999999999999E-2</v>
      </c>
      <c r="O644" s="1536">
        <f>F615</f>
        <v>0.12</v>
      </c>
      <c r="P644" s="1434">
        <f>(O644-G644)/8</f>
        <v>1.4999999999999999E-2</v>
      </c>
    </row>
    <row r="645" spans="2:16">
      <c r="B645" s="1414"/>
      <c r="C645" s="1443"/>
      <c r="D645" s="1444"/>
      <c r="E645" s="1444"/>
      <c r="F645" s="1445">
        <f t="shared" ref="F645:O645" si="223">SUM(F642:F644)</f>
        <v>0</v>
      </c>
      <c r="G645" s="1445">
        <f t="shared" si="223"/>
        <v>1</v>
      </c>
      <c r="H645" s="1445">
        <f t="shared" si="223"/>
        <v>1</v>
      </c>
      <c r="I645" s="1445">
        <f t="shared" si="223"/>
        <v>1</v>
      </c>
      <c r="J645" s="1445">
        <f t="shared" si="223"/>
        <v>1</v>
      </c>
      <c r="K645" s="1445">
        <f t="shared" si="223"/>
        <v>1</v>
      </c>
      <c r="L645" s="1445">
        <f t="shared" si="223"/>
        <v>1</v>
      </c>
      <c r="M645" s="1445">
        <f t="shared" si="223"/>
        <v>1</v>
      </c>
      <c r="N645" s="1445">
        <f t="shared" si="223"/>
        <v>1</v>
      </c>
      <c r="O645" s="1445">
        <f t="shared" si="223"/>
        <v>1</v>
      </c>
      <c r="P645" s="1421"/>
    </row>
    <row r="646" spans="2:16">
      <c r="B646" s="1414"/>
      <c r="C646" s="1415"/>
      <c r="D646" s="1416"/>
      <c r="E646" s="1416"/>
      <c r="F646" s="1430"/>
      <c r="G646" s="1430"/>
      <c r="H646" s="1430"/>
      <c r="I646" s="1430"/>
      <c r="J646" s="1430"/>
      <c r="K646" s="1430"/>
      <c r="L646" s="1430"/>
      <c r="M646" s="1430"/>
      <c r="N646" s="1430"/>
      <c r="O646" s="1430"/>
      <c r="P646" s="1421"/>
    </row>
    <row r="647" spans="2:16">
      <c r="B647" s="1414"/>
      <c r="C647" s="1538" t="s">
        <v>1702</v>
      </c>
      <c r="D647" s="1416"/>
      <c r="E647" s="1416"/>
      <c r="F647" s="1430"/>
      <c r="G647" s="1430"/>
      <c r="H647" s="1430"/>
      <c r="I647" s="1430"/>
      <c r="J647" s="1430"/>
      <c r="K647" s="1430"/>
      <c r="L647" s="1430"/>
      <c r="M647" s="1430"/>
      <c r="N647" s="1430"/>
      <c r="O647" s="1430"/>
      <c r="P647" s="1421"/>
    </row>
    <row r="648" spans="2:16">
      <c r="B648" s="1414"/>
      <c r="C648" s="1415"/>
      <c r="D648" s="1416"/>
      <c r="E648" s="1416"/>
      <c r="F648" s="1430"/>
      <c r="G648" s="1430"/>
      <c r="H648" s="1430"/>
      <c r="I648" s="1430"/>
      <c r="J648" s="1430"/>
      <c r="K648" s="1430"/>
      <c r="L648" s="1430"/>
      <c r="M648" s="1430"/>
      <c r="N648" s="1430"/>
      <c r="O648" s="1430"/>
      <c r="P648" s="1421"/>
    </row>
    <row r="649" spans="2:16">
      <c r="B649" s="1414"/>
      <c r="C649" s="1415" t="s">
        <v>1694</v>
      </c>
      <c r="D649" s="1416"/>
      <c r="E649" s="1416"/>
      <c r="F649" s="1430"/>
      <c r="G649" s="1430"/>
      <c r="H649" s="1430"/>
      <c r="I649" s="1430"/>
      <c r="J649" s="1430"/>
      <c r="K649" s="1430"/>
      <c r="L649" s="1430"/>
      <c r="M649" s="1430"/>
      <c r="N649" s="1430"/>
      <c r="O649" s="1430"/>
      <c r="P649" s="1421"/>
    </row>
    <row r="650" spans="2:16">
      <c r="B650" s="1414"/>
      <c r="C650" s="1415"/>
      <c r="D650" s="1416"/>
      <c r="E650" s="1416"/>
      <c r="F650" s="1430"/>
      <c r="G650" s="1430"/>
      <c r="H650" s="1430"/>
      <c r="I650" s="1430"/>
      <c r="J650" s="1430"/>
      <c r="K650" s="1430"/>
      <c r="L650" s="1430"/>
      <c r="M650" s="1430"/>
      <c r="N650" s="1430"/>
      <c r="O650" s="1430"/>
      <c r="P650" s="1421"/>
    </row>
    <row r="651" spans="2:16">
      <c r="B651" s="1414"/>
      <c r="C651" s="1422" t="s">
        <v>77</v>
      </c>
      <c r="D651" s="1422" t="s">
        <v>907</v>
      </c>
      <c r="E651" s="1422" t="s">
        <v>422</v>
      </c>
      <c r="F651" s="1423">
        <v>2007</v>
      </c>
      <c r="G651" s="1424">
        <v>2010</v>
      </c>
      <c r="H651" s="1425">
        <v>2015</v>
      </c>
      <c r="I651" s="1425">
        <v>2020</v>
      </c>
      <c r="J651" s="1425">
        <v>2025</v>
      </c>
      <c r="K651" s="1425">
        <v>2030</v>
      </c>
      <c r="L651" s="1425">
        <v>2035</v>
      </c>
      <c r="M651" s="1425">
        <v>2040</v>
      </c>
      <c r="N651" s="1425">
        <v>2045</v>
      </c>
      <c r="O651" s="1425">
        <v>2050</v>
      </c>
      <c r="P651" s="1421"/>
    </row>
    <row r="652" spans="2:16">
      <c r="B652" s="1414"/>
      <c r="C652" s="1415">
        <v>1</v>
      </c>
      <c r="D652" s="1416" t="str">
        <f t="shared" ref="D652:D664" si="224">INDEX($D$76:$D$88, MATCH($C652, $C$76:$C$88, 0))</f>
        <v>Gas boiler (old)</v>
      </c>
      <c r="E652" s="1416"/>
      <c r="F652" s="1515">
        <f t="shared" ref="F652:O652" si="225">F$665*F624</f>
        <v>17448542</v>
      </c>
      <c r="G652" s="1517">
        <f t="shared" si="225"/>
        <v>16296458</v>
      </c>
      <c r="H652" s="1515">
        <f t="shared" si="225"/>
        <v>13166520.958304064</v>
      </c>
      <c r="I652" s="1515">
        <f t="shared" si="225"/>
        <v>11894406.288034257</v>
      </c>
      <c r="J652" s="1515">
        <f t="shared" si="225"/>
        <v>10384401.906336632</v>
      </c>
      <c r="K652" s="1515">
        <f t="shared" si="225"/>
        <v>8653725.5154825039</v>
      </c>
      <c r="L652" s="1515">
        <f t="shared" si="225"/>
        <v>6821364.3656841842</v>
      </c>
      <c r="M652" s="1515">
        <f t="shared" si="225"/>
        <v>4779548.3358187266</v>
      </c>
      <c r="N652" s="1515">
        <f t="shared" si="225"/>
        <v>2511676.6679421053</v>
      </c>
      <c r="O652" s="1515">
        <f t="shared" si="225"/>
        <v>0</v>
      </c>
      <c r="P652" s="1421"/>
    </row>
    <row r="653" spans="2:16">
      <c r="B653" s="1414"/>
      <c r="C653" s="1415">
        <v>2</v>
      </c>
      <c r="D653" s="1416" t="str">
        <f t="shared" si="224"/>
        <v>Gas boiler (new)</v>
      </c>
      <c r="E653" s="1416"/>
      <c r="F653" s="1447">
        <f t="shared" ref="F653:O653" si="226">F$665*F625</f>
        <v>3906390</v>
      </c>
      <c r="G653" s="1518">
        <f t="shared" si="226"/>
        <v>6477810</v>
      </c>
      <c r="H653" s="1447">
        <f t="shared" si="226"/>
        <v>11953072.254885348</v>
      </c>
      <c r="I653" s="1447">
        <f t="shared" si="226"/>
        <v>10798197.810953785</v>
      </c>
      <c r="J653" s="1447">
        <f t="shared" si="226"/>
        <v>9427357.9712737631</v>
      </c>
      <c r="K653" s="1447">
        <f t="shared" si="226"/>
        <v>7856183.6257336484</v>
      </c>
      <c r="L653" s="1447">
        <f t="shared" si="226"/>
        <v>6192695.9595578397</v>
      </c>
      <c r="M653" s="1447">
        <f t="shared" si="226"/>
        <v>4339057.127139301</v>
      </c>
      <c r="N653" s="1447">
        <f t="shared" si="226"/>
        <v>2280196.3242907189</v>
      </c>
      <c r="O653" s="1447">
        <f t="shared" si="226"/>
        <v>0</v>
      </c>
      <c r="P653" s="1421"/>
    </row>
    <row r="654" spans="2:16">
      <c r="B654" s="1414"/>
      <c r="C654" s="1415">
        <v>3</v>
      </c>
      <c r="D654" s="1416" t="str">
        <f t="shared" si="224"/>
        <v>Resistive heating</v>
      </c>
      <c r="E654" s="1416"/>
      <c r="F654" s="1447">
        <f t="shared" ref="F654:O654" si="227">F$665*F626</f>
        <v>2604260</v>
      </c>
      <c r="G654" s="1518">
        <f t="shared" si="227"/>
        <v>2301740</v>
      </c>
      <c r="H654" s="1447">
        <f t="shared" si="227"/>
        <v>1859662.2622269695</v>
      </c>
      <c r="I654" s="1447">
        <f t="shared" si="227"/>
        <v>1679986.5792566682</v>
      </c>
      <c r="J654" s="1447">
        <f t="shared" si="227"/>
        <v>1466710.9407388573</v>
      </c>
      <c r="K654" s="1447">
        <f t="shared" si="227"/>
        <v>1222267.2048126466</v>
      </c>
      <c r="L654" s="1447">
        <f t="shared" si="227"/>
        <v>963461.33712429483</v>
      </c>
      <c r="M654" s="1447">
        <f t="shared" si="227"/>
        <v>675071.69880027859</v>
      </c>
      <c r="N654" s="1447">
        <f t="shared" si="227"/>
        <v>354753.56998858642</v>
      </c>
      <c r="O654" s="1447">
        <f t="shared" si="227"/>
        <v>0</v>
      </c>
      <c r="P654" s="1421"/>
    </row>
    <row r="655" spans="2:16">
      <c r="B655" s="1414"/>
      <c r="C655" s="1415">
        <v>4</v>
      </c>
      <c r="D655" s="1416" t="str">
        <f t="shared" si="224"/>
        <v>Oil-fired boiler</v>
      </c>
      <c r="E655" s="1416"/>
      <c r="F655" s="1447">
        <f t="shared" ref="F655:O655" si="228">F$665*F627</f>
        <v>1041704</v>
      </c>
      <c r="G655" s="1518">
        <f t="shared" si="228"/>
        <v>920696</v>
      </c>
      <c r="H655" s="1447">
        <f t="shared" si="228"/>
        <v>743864.90489078779</v>
      </c>
      <c r="I655" s="1447">
        <f t="shared" si="228"/>
        <v>671994.63170266734</v>
      </c>
      <c r="J655" s="1447">
        <f t="shared" si="228"/>
        <v>586684.37629554293</v>
      </c>
      <c r="K655" s="1447">
        <f t="shared" si="228"/>
        <v>488906.88192505861</v>
      </c>
      <c r="L655" s="1447">
        <f t="shared" si="228"/>
        <v>385384.53484971786</v>
      </c>
      <c r="M655" s="1447">
        <f t="shared" si="228"/>
        <v>270028.67952011141</v>
      </c>
      <c r="N655" s="1447">
        <f t="shared" si="228"/>
        <v>141901.42799543447</v>
      </c>
      <c r="O655" s="1447">
        <f t="shared" si="228"/>
        <v>0</v>
      </c>
      <c r="P655" s="1421"/>
    </row>
    <row r="656" spans="2:16">
      <c r="B656" s="1414"/>
      <c r="C656" s="1415">
        <v>5</v>
      </c>
      <c r="D656" s="1416" t="str">
        <f t="shared" si="224"/>
        <v>Solid-fuel boiler</v>
      </c>
      <c r="E656" s="1416"/>
      <c r="F656" s="1447">
        <f t="shared" ref="F656:O656" si="229">F$665*F628</f>
        <v>1041704</v>
      </c>
      <c r="G656" s="1518">
        <f t="shared" si="229"/>
        <v>920696</v>
      </c>
      <c r="H656" s="1447">
        <f t="shared" si="229"/>
        <v>743864.90489078779</v>
      </c>
      <c r="I656" s="1447">
        <f t="shared" si="229"/>
        <v>671994.63170266734</v>
      </c>
      <c r="J656" s="1447">
        <f t="shared" si="229"/>
        <v>586684.37629554293</v>
      </c>
      <c r="K656" s="1447">
        <f t="shared" si="229"/>
        <v>488906.88192505861</v>
      </c>
      <c r="L656" s="1447">
        <f t="shared" si="229"/>
        <v>385384.53484971786</v>
      </c>
      <c r="M656" s="1447">
        <f t="shared" si="229"/>
        <v>270028.67952011141</v>
      </c>
      <c r="N656" s="1447">
        <f t="shared" si="229"/>
        <v>141901.42799543447</v>
      </c>
      <c r="O656" s="1447">
        <f t="shared" si="229"/>
        <v>0</v>
      </c>
      <c r="P656" s="1421"/>
    </row>
    <row r="657" spans="2:16">
      <c r="B657" s="1414"/>
      <c r="C657" s="1415">
        <v>6</v>
      </c>
      <c r="D657" s="1416" t="str">
        <f t="shared" si="224"/>
        <v>Stirling engine micro-CHP</v>
      </c>
      <c r="E657" s="1416"/>
      <c r="F657" s="1447">
        <f t="shared" ref="F657:O657" si="230">F$665*F629</f>
        <v>0</v>
      </c>
      <c r="G657" s="1518">
        <f t="shared" si="230"/>
        <v>0</v>
      </c>
      <c r="H657" s="1447">
        <f t="shared" si="230"/>
        <v>0</v>
      </c>
      <c r="I657" s="1447">
        <f t="shared" si="230"/>
        <v>0</v>
      </c>
      <c r="J657" s="1447">
        <f t="shared" si="230"/>
        <v>0</v>
      </c>
      <c r="K657" s="1447">
        <f t="shared" si="230"/>
        <v>0</v>
      </c>
      <c r="L657" s="1447">
        <f t="shared" si="230"/>
        <v>0</v>
      </c>
      <c r="M657" s="1447">
        <f t="shared" si="230"/>
        <v>0</v>
      </c>
      <c r="N657" s="1447">
        <f t="shared" si="230"/>
        <v>0</v>
      </c>
      <c r="O657" s="1447">
        <f t="shared" si="230"/>
        <v>0</v>
      </c>
      <c r="P657" s="1421"/>
    </row>
    <row r="658" spans="2:16">
      <c r="B658" s="1414"/>
      <c r="C658" s="1415">
        <v>7</v>
      </c>
      <c r="D658" s="1416" t="str">
        <f t="shared" si="224"/>
        <v>Fuel-cell micro-CHP</v>
      </c>
      <c r="E658" s="1416"/>
      <c r="F658" s="1447">
        <f t="shared" ref="F658:O658" si="231">F$665*F630</f>
        <v>0</v>
      </c>
      <c r="G658" s="1518">
        <f t="shared" si="231"/>
        <v>0</v>
      </c>
      <c r="H658" s="1447">
        <f t="shared" si="231"/>
        <v>0</v>
      </c>
      <c r="I658" s="1447">
        <f t="shared" si="231"/>
        <v>0</v>
      </c>
      <c r="J658" s="1447">
        <f t="shared" si="231"/>
        <v>0</v>
      </c>
      <c r="K658" s="1447">
        <f t="shared" si="231"/>
        <v>0</v>
      </c>
      <c r="L658" s="1447">
        <f t="shared" si="231"/>
        <v>0</v>
      </c>
      <c r="M658" s="1447">
        <f t="shared" si="231"/>
        <v>0</v>
      </c>
      <c r="N658" s="1447">
        <f t="shared" si="231"/>
        <v>0</v>
      </c>
      <c r="O658" s="1447">
        <f t="shared" si="231"/>
        <v>0</v>
      </c>
      <c r="P658" s="1421"/>
    </row>
    <row r="659" spans="2:16">
      <c r="B659" s="1414"/>
      <c r="C659" s="1415">
        <v>8</v>
      </c>
      <c r="D659" s="1416" t="str">
        <f t="shared" si="224"/>
        <v>Air-source heat pump</v>
      </c>
      <c r="E659" s="1416"/>
      <c r="F659" s="1447">
        <f t="shared" ref="F659:O659" si="232">F$665*F631</f>
        <v>0</v>
      </c>
      <c r="G659" s="1518">
        <f t="shared" si="232"/>
        <v>0</v>
      </c>
      <c r="H659" s="1447">
        <f t="shared" si="232"/>
        <v>0</v>
      </c>
      <c r="I659" s="1447">
        <f t="shared" si="232"/>
        <v>2486112</v>
      </c>
      <c r="J659" s="1447">
        <f t="shared" si="232"/>
        <v>5209195.4285714282</v>
      </c>
      <c r="K659" s="1447">
        <f t="shared" si="232"/>
        <v>8139421.7142857136</v>
      </c>
      <c r="L659" s="1447">
        <f t="shared" si="232"/>
        <v>11406152.031621939</v>
      </c>
      <c r="M659" s="1447">
        <f t="shared" si="232"/>
        <v>14984975.522753989</v>
      </c>
      <c r="N659" s="1447">
        <f t="shared" si="232"/>
        <v>18899231.849900331</v>
      </c>
      <c r="O659" s="1447">
        <f t="shared" si="232"/>
        <v>23173829.715651136</v>
      </c>
      <c r="P659" s="1421"/>
    </row>
    <row r="660" spans="2:16">
      <c r="B660" s="1414"/>
      <c r="C660" s="1415">
        <v>9</v>
      </c>
      <c r="D660" s="1416" t="str">
        <f t="shared" si="224"/>
        <v>Ground-source heat pump</v>
      </c>
      <c r="E660" s="1416"/>
      <c r="F660" s="1447">
        <f t="shared" ref="F660:O660" si="233">F$665*F632</f>
        <v>0</v>
      </c>
      <c r="G660" s="1518">
        <f t="shared" si="233"/>
        <v>0</v>
      </c>
      <c r="H660" s="1447">
        <f t="shared" si="233"/>
        <v>0</v>
      </c>
      <c r="I660" s="1447">
        <f t="shared" si="233"/>
        <v>1285920</v>
      </c>
      <c r="J660" s="1447">
        <f t="shared" si="233"/>
        <v>2694411.4285714286</v>
      </c>
      <c r="K660" s="1447">
        <f t="shared" si="233"/>
        <v>4210045.7142857136</v>
      </c>
      <c r="L660" s="1447">
        <f t="shared" si="233"/>
        <v>5899733.8094596239</v>
      </c>
      <c r="M660" s="1447">
        <f t="shared" si="233"/>
        <v>7750849.4083210295</v>
      </c>
      <c r="N660" s="1447">
        <f t="shared" si="233"/>
        <v>9775464.7499484494</v>
      </c>
      <c r="O660" s="1447">
        <f t="shared" si="233"/>
        <v>11986463.646026451</v>
      </c>
      <c r="P660" s="1421"/>
    </row>
    <row r="661" spans="2:16">
      <c r="B661" s="1414"/>
      <c r="C661" s="1415">
        <v>10</v>
      </c>
      <c r="D661" s="1416" t="str">
        <f t="shared" si="224"/>
        <v>Geothermal electricity</v>
      </c>
      <c r="E661" s="1416"/>
      <c r="F661" s="1447">
        <f t="shared" ref="F661:O661" si="234">F$665*F633</f>
        <v>0</v>
      </c>
      <c r="G661" s="1518">
        <f t="shared" si="234"/>
        <v>0</v>
      </c>
      <c r="H661" s="1447">
        <f t="shared" si="234"/>
        <v>0</v>
      </c>
      <c r="I661" s="1447">
        <f t="shared" si="234"/>
        <v>42864</v>
      </c>
      <c r="J661" s="1447">
        <f t="shared" si="234"/>
        <v>89813.71428571429</v>
      </c>
      <c r="K661" s="1447">
        <f t="shared" si="234"/>
        <v>140334.85714285716</v>
      </c>
      <c r="L661" s="1447">
        <f t="shared" si="234"/>
        <v>196657.79364865413</v>
      </c>
      <c r="M661" s="1447">
        <f t="shared" si="234"/>
        <v>258361.64694403429</v>
      </c>
      <c r="N661" s="1447">
        <f t="shared" si="234"/>
        <v>325848.82499828161</v>
      </c>
      <c r="O661" s="1447">
        <f t="shared" si="234"/>
        <v>399548.78820088174</v>
      </c>
      <c r="P661" s="1421"/>
    </row>
    <row r="662" spans="2:16" ht="12.75" customHeight="1">
      <c r="B662" s="1414"/>
      <c r="C662" s="1415">
        <v>11</v>
      </c>
      <c r="D662" s="1416" t="str">
        <f t="shared" si="224"/>
        <v>Community scale gas CHP with local district heating</v>
      </c>
      <c r="E662" s="1416"/>
      <c r="F662" s="1447">
        <f t="shared" ref="F662:O662" si="235">F$665*F634</f>
        <v>0</v>
      </c>
      <c r="G662" s="1518">
        <f t="shared" si="235"/>
        <v>0</v>
      </c>
      <c r="H662" s="1447">
        <f t="shared" si="235"/>
        <v>0</v>
      </c>
      <c r="I662" s="1447">
        <f t="shared" si="235"/>
        <v>0</v>
      </c>
      <c r="J662" s="1447">
        <f t="shared" si="235"/>
        <v>0</v>
      </c>
      <c r="K662" s="1447">
        <f t="shared" si="235"/>
        <v>0</v>
      </c>
      <c r="L662" s="1447">
        <f t="shared" si="235"/>
        <v>0</v>
      </c>
      <c r="M662" s="1447">
        <f t="shared" si="235"/>
        <v>0</v>
      </c>
      <c r="N662" s="1447">
        <f t="shared" si="235"/>
        <v>0</v>
      </c>
      <c r="O662" s="1447">
        <f t="shared" si="235"/>
        <v>0</v>
      </c>
      <c r="P662" s="1421"/>
    </row>
    <row r="663" spans="2:16">
      <c r="B663" s="1414"/>
      <c r="C663" s="1415">
        <v>12</v>
      </c>
      <c r="D663" s="1416" t="str">
        <f t="shared" si="224"/>
        <v>Community scale solid-fuel CHP with local district heating</v>
      </c>
      <c r="E663" s="1416"/>
      <c r="F663" s="1447">
        <f t="shared" ref="F663:O663" si="236">F$665*F635</f>
        <v>0</v>
      </c>
      <c r="G663" s="1518">
        <f t="shared" si="236"/>
        <v>0</v>
      </c>
      <c r="H663" s="1447">
        <f t="shared" si="236"/>
        <v>0</v>
      </c>
      <c r="I663" s="1447">
        <f t="shared" si="236"/>
        <v>0</v>
      </c>
      <c r="J663" s="1447">
        <f t="shared" si="236"/>
        <v>0</v>
      </c>
      <c r="K663" s="1447">
        <f t="shared" si="236"/>
        <v>0</v>
      </c>
      <c r="L663" s="1447">
        <f t="shared" si="236"/>
        <v>0</v>
      </c>
      <c r="M663" s="1447">
        <f t="shared" si="236"/>
        <v>0</v>
      </c>
      <c r="N663" s="1447">
        <f t="shared" si="236"/>
        <v>0</v>
      </c>
      <c r="O663" s="1447">
        <f t="shared" si="236"/>
        <v>0</v>
      </c>
      <c r="P663" s="1421"/>
    </row>
    <row r="664" spans="2:16">
      <c r="B664" s="1414"/>
      <c r="C664" s="1436">
        <v>13</v>
      </c>
      <c r="D664" s="1437" t="str">
        <f t="shared" si="224"/>
        <v>Long distance district heating from large power stations</v>
      </c>
      <c r="E664" s="1437"/>
      <c r="F664" s="1519">
        <f t="shared" ref="F664:O664" si="237">F$665*F636</f>
        <v>0</v>
      </c>
      <c r="G664" s="1520">
        <f t="shared" si="237"/>
        <v>0</v>
      </c>
      <c r="H664" s="1521">
        <f t="shared" si="237"/>
        <v>0</v>
      </c>
      <c r="I664" s="1521">
        <f t="shared" si="237"/>
        <v>471504.00000000006</v>
      </c>
      <c r="J664" s="1521">
        <f t="shared" si="237"/>
        <v>987950.85714285716</v>
      </c>
      <c r="K664" s="1521">
        <f t="shared" si="237"/>
        <v>1543683.4285714286</v>
      </c>
      <c r="L664" s="1521">
        <f t="shared" si="237"/>
        <v>2163235.7301351959</v>
      </c>
      <c r="M664" s="1521">
        <f t="shared" si="237"/>
        <v>2841978.1163843772</v>
      </c>
      <c r="N664" s="1521">
        <f t="shared" si="237"/>
        <v>3584337.0749810971</v>
      </c>
      <c r="O664" s="1521">
        <f t="shared" si="237"/>
        <v>4395036.6702096984</v>
      </c>
      <c r="P664" s="1421"/>
    </row>
    <row r="665" spans="2:16">
      <c r="B665" s="1414"/>
      <c r="C665" s="1415"/>
      <c r="D665" s="1416" t="s">
        <v>1588</v>
      </c>
      <c r="E665" s="1416"/>
      <c r="F665" s="1447">
        <f>F578</f>
        <v>26042600</v>
      </c>
      <c r="G665" s="1447">
        <f t="shared" ref="G665:O665" si="238">G578</f>
        <v>26917400</v>
      </c>
      <c r="H665" s="1447">
        <f t="shared" si="238"/>
        <v>28469000</v>
      </c>
      <c r="I665" s="1447">
        <f t="shared" si="238"/>
        <v>30004800</v>
      </c>
      <c r="J665" s="1447">
        <f t="shared" si="238"/>
        <v>31434800</v>
      </c>
      <c r="K665" s="1447">
        <f t="shared" si="238"/>
        <v>32744800</v>
      </c>
      <c r="L665" s="1447">
        <f t="shared" si="238"/>
        <v>34415113.888514474</v>
      </c>
      <c r="M665" s="1447">
        <f t="shared" si="238"/>
        <v>36170630.572164804</v>
      </c>
      <c r="N665" s="1447">
        <f t="shared" si="238"/>
        <v>38015696.24979952</v>
      </c>
      <c r="O665" s="1447">
        <f t="shared" si="238"/>
        <v>39954878.82008817</v>
      </c>
      <c r="P665" s="1421"/>
    </row>
    <row r="666" spans="2:16">
      <c r="B666" s="1414"/>
      <c r="C666" s="1415"/>
      <c r="D666" s="1416"/>
      <c r="E666" s="1416"/>
      <c r="F666" s="1430"/>
      <c r="G666" s="1430"/>
      <c r="H666" s="1430"/>
      <c r="I666" s="1430"/>
      <c r="J666" s="1430"/>
      <c r="K666" s="1430"/>
      <c r="L666" s="1430"/>
      <c r="M666" s="1430"/>
      <c r="N666" s="1430"/>
      <c r="O666" s="1430"/>
      <c r="P666" s="1421"/>
    </row>
    <row r="667" spans="2:16">
      <c r="B667" s="1414"/>
      <c r="C667" s="1522" t="s">
        <v>1603</v>
      </c>
      <c r="D667" s="1323"/>
      <c r="E667" s="1432">
        <v>0.33</v>
      </c>
      <c r="F667" s="1430"/>
      <c r="G667" s="1430"/>
      <c r="H667" s="1430"/>
      <c r="I667" s="1430"/>
      <c r="J667" s="1430"/>
      <c r="K667" s="1430"/>
      <c r="L667" s="1430"/>
      <c r="M667" s="1430"/>
      <c r="N667" s="1430"/>
      <c r="O667" s="1430"/>
      <c r="P667" s="1421"/>
    </row>
    <row r="668" spans="2:16">
      <c r="B668" s="1414"/>
      <c r="C668" s="1415"/>
      <c r="D668" s="1416"/>
      <c r="E668" s="1416"/>
      <c r="F668" s="1430"/>
      <c r="G668" s="1430"/>
      <c r="H668" s="1430"/>
      <c r="I668" s="1430"/>
      <c r="J668" s="1430"/>
      <c r="K668" s="1430"/>
      <c r="L668" s="1430"/>
      <c r="M668" s="1430"/>
      <c r="N668" s="1430"/>
      <c r="O668" s="1430"/>
      <c r="P668" s="1421"/>
    </row>
    <row r="669" spans="2:16">
      <c r="B669" s="1414"/>
      <c r="C669" s="1415" t="s">
        <v>1604</v>
      </c>
      <c r="D669" s="1416"/>
      <c r="E669" s="1416"/>
      <c r="F669" s="1430"/>
      <c r="G669" s="1430"/>
      <c r="H669" s="1430"/>
      <c r="I669" s="1430"/>
      <c r="J669" s="1430"/>
      <c r="K669" s="1430"/>
      <c r="L669" s="1430"/>
      <c r="M669" s="1430"/>
      <c r="N669" s="1430"/>
      <c r="O669" s="1430"/>
      <c r="P669" s="1421"/>
    </row>
    <row r="670" spans="2:16">
      <c r="B670" s="1414"/>
      <c r="C670" s="1415"/>
      <c r="D670" s="1416"/>
      <c r="E670" s="1416"/>
      <c r="F670" s="1430"/>
      <c r="G670" s="1430"/>
      <c r="H670" s="1430"/>
      <c r="I670" s="1430"/>
      <c r="J670" s="1430"/>
      <c r="K670" s="1430"/>
      <c r="L670" s="1430"/>
      <c r="M670" s="1430"/>
      <c r="N670" s="1430"/>
      <c r="O670" s="1430"/>
      <c r="P670" s="1421"/>
    </row>
    <row r="671" spans="2:16">
      <c r="B671" s="1414"/>
      <c r="C671" s="1422" t="s">
        <v>77</v>
      </c>
      <c r="D671" s="1422" t="s">
        <v>907</v>
      </c>
      <c r="E671" s="1422" t="s">
        <v>422</v>
      </c>
      <c r="F671" s="1423">
        <v>2007</v>
      </c>
      <c r="G671" s="1424">
        <v>2010</v>
      </c>
      <c r="H671" s="1425">
        <v>2015</v>
      </c>
      <c r="I671" s="1425">
        <v>2020</v>
      </c>
      <c r="J671" s="1425">
        <v>2025</v>
      </c>
      <c r="K671" s="1425">
        <v>2030</v>
      </c>
      <c r="L671" s="1425">
        <v>2035</v>
      </c>
      <c r="M671" s="1425">
        <v>2040</v>
      </c>
      <c r="N671" s="1425">
        <v>2045</v>
      </c>
      <c r="O671" s="1425">
        <v>2050</v>
      </c>
      <c r="P671" s="1421"/>
    </row>
    <row r="672" spans="2:16">
      <c r="B672" s="1414"/>
      <c r="C672" s="1415">
        <v>1</v>
      </c>
      <c r="D672" s="1416" t="str">
        <f t="shared" ref="D672:D684" si="239">INDEX($D$76:$D$88, MATCH($C672, $C$76:$C$88, 0))</f>
        <v>Gas boiler (old)</v>
      </c>
      <c r="E672" s="1416"/>
      <c r="F672" s="1446">
        <f t="shared" ref="F672:O672" si="240">$E$667*F652</f>
        <v>5758018.8600000003</v>
      </c>
      <c r="G672" s="1515">
        <f t="shared" si="240"/>
        <v>5377831.1400000006</v>
      </c>
      <c r="H672" s="1515">
        <f t="shared" si="240"/>
        <v>4344951.916240341</v>
      </c>
      <c r="I672" s="1515">
        <f t="shared" si="240"/>
        <v>3925154.0750513049</v>
      </c>
      <c r="J672" s="1515">
        <f t="shared" si="240"/>
        <v>3426852.6290910887</v>
      </c>
      <c r="K672" s="1515">
        <f t="shared" si="240"/>
        <v>2855729.4201092264</v>
      </c>
      <c r="L672" s="1515">
        <f t="shared" si="240"/>
        <v>2251050.2406757809</v>
      </c>
      <c r="M672" s="1515">
        <f t="shared" si="240"/>
        <v>1577250.9508201799</v>
      </c>
      <c r="N672" s="1515">
        <f t="shared" si="240"/>
        <v>828853.30042089475</v>
      </c>
      <c r="O672" s="1515">
        <f t="shared" si="240"/>
        <v>0</v>
      </c>
      <c r="P672" s="1421"/>
    </row>
    <row r="673" spans="2:16">
      <c r="B673" s="1414"/>
      <c r="C673" s="1415">
        <v>2</v>
      </c>
      <c r="D673" s="1416" t="str">
        <f t="shared" si="239"/>
        <v>Gas boiler (new)</v>
      </c>
      <c r="E673" s="1416"/>
      <c r="F673" s="1516">
        <f t="shared" ref="F673:O673" si="241">$E$667*F653</f>
        <v>1289108.7</v>
      </c>
      <c r="G673" s="1447">
        <f t="shared" si="241"/>
        <v>2137677.3000000003</v>
      </c>
      <c r="H673" s="1447">
        <f t="shared" si="241"/>
        <v>3944513.8441121648</v>
      </c>
      <c r="I673" s="1447">
        <f t="shared" si="241"/>
        <v>3563405.277614749</v>
      </c>
      <c r="J673" s="1447">
        <f t="shared" si="241"/>
        <v>3111028.1305203419</v>
      </c>
      <c r="K673" s="1447">
        <f t="shared" si="241"/>
        <v>2592540.5964921042</v>
      </c>
      <c r="L673" s="1447">
        <f t="shared" si="241"/>
        <v>2043589.6666540871</v>
      </c>
      <c r="M673" s="1447">
        <f t="shared" si="241"/>
        <v>1431888.8519559694</v>
      </c>
      <c r="N673" s="1447">
        <f t="shared" si="241"/>
        <v>752464.78701593727</v>
      </c>
      <c r="O673" s="1447">
        <f t="shared" si="241"/>
        <v>0</v>
      </c>
      <c r="P673" s="1421"/>
    </row>
    <row r="674" spans="2:16">
      <c r="B674" s="1414"/>
      <c r="C674" s="1415">
        <v>3</v>
      </c>
      <c r="D674" s="1416" t="str">
        <f t="shared" si="239"/>
        <v>Resistive heating</v>
      </c>
      <c r="E674" s="1416"/>
      <c r="F674" s="1516">
        <f t="shared" ref="F674:O674" si="242">$E$667*F654</f>
        <v>859405.8</v>
      </c>
      <c r="G674" s="1447">
        <f t="shared" si="242"/>
        <v>759574.20000000007</v>
      </c>
      <c r="H674" s="1447">
        <f t="shared" si="242"/>
        <v>613688.54653489997</v>
      </c>
      <c r="I674" s="1447">
        <f t="shared" si="242"/>
        <v>554395.57115470059</v>
      </c>
      <c r="J674" s="1447">
        <f t="shared" si="242"/>
        <v>484014.61044382292</v>
      </c>
      <c r="K674" s="1447">
        <f t="shared" si="242"/>
        <v>403348.17758817342</v>
      </c>
      <c r="L674" s="1447">
        <f t="shared" si="242"/>
        <v>317942.24125101732</v>
      </c>
      <c r="M674" s="1447">
        <f t="shared" si="242"/>
        <v>222773.66060409194</v>
      </c>
      <c r="N674" s="1447">
        <f t="shared" si="242"/>
        <v>117068.67809623352</v>
      </c>
      <c r="O674" s="1447">
        <f t="shared" si="242"/>
        <v>0</v>
      </c>
      <c r="P674" s="1421"/>
    </row>
    <row r="675" spans="2:16">
      <c r="B675" s="1414"/>
      <c r="C675" s="1415">
        <v>4</v>
      </c>
      <c r="D675" s="1416" t="str">
        <f t="shared" si="239"/>
        <v>Oil-fired boiler</v>
      </c>
      <c r="E675" s="1416"/>
      <c r="F675" s="1516">
        <f t="shared" ref="F675:O675" si="243">$E$667*F655</f>
        <v>343762.32</v>
      </c>
      <c r="G675" s="1447">
        <f t="shared" si="243"/>
        <v>303829.68</v>
      </c>
      <c r="H675" s="1447">
        <f t="shared" si="243"/>
        <v>245475.41861395998</v>
      </c>
      <c r="I675" s="1447">
        <f t="shared" si="243"/>
        <v>221758.22846188024</v>
      </c>
      <c r="J675" s="1447">
        <f t="shared" si="243"/>
        <v>193605.84417752919</v>
      </c>
      <c r="K675" s="1447">
        <f t="shared" si="243"/>
        <v>161339.27103526934</v>
      </c>
      <c r="L675" s="1447">
        <f t="shared" si="243"/>
        <v>127176.8965004069</v>
      </c>
      <c r="M675" s="1447">
        <f t="shared" si="243"/>
        <v>89109.464241636771</v>
      </c>
      <c r="N675" s="1447">
        <f t="shared" si="243"/>
        <v>46827.471238493374</v>
      </c>
      <c r="O675" s="1447">
        <f t="shared" si="243"/>
        <v>0</v>
      </c>
      <c r="P675" s="1421"/>
    </row>
    <row r="676" spans="2:16">
      <c r="B676" s="1414"/>
      <c r="C676" s="1415">
        <v>5</v>
      </c>
      <c r="D676" s="1416" t="str">
        <f t="shared" si="239"/>
        <v>Solid-fuel boiler</v>
      </c>
      <c r="E676" s="1416"/>
      <c r="F676" s="1516">
        <f t="shared" ref="F676:O676" si="244">$E$667*F656</f>
        <v>343762.32</v>
      </c>
      <c r="G676" s="1447">
        <f t="shared" si="244"/>
        <v>303829.68</v>
      </c>
      <c r="H676" s="1447">
        <f t="shared" si="244"/>
        <v>245475.41861395998</v>
      </c>
      <c r="I676" s="1447">
        <f t="shared" si="244"/>
        <v>221758.22846188024</v>
      </c>
      <c r="J676" s="1447">
        <f t="shared" si="244"/>
        <v>193605.84417752919</v>
      </c>
      <c r="K676" s="1447">
        <f t="shared" si="244"/>
        <v>161339.27103526934</v>
      </c>
      <c r="L676" s="1447">
        <f t="shared" si="244"/>
        <v>127176.8965004069</v>
      </c>
      <c r="M676" s="1447">
        <f t="shared" si="244"/>
        <v>89109.464241636771</v>
      </c>
      <c r="N676" s="1447">
        <f t="shared" si="244"/>
        <v>46827.471238493374</v>
      </c>
      <c r="O676" s="1447">
        <f t="shared" si="244"/>
        <v>0</v>
      </c>
      <c r="P676" s="1421"/>
    </row>
    <row r="677" spans="2:16">
      <c r="B677" s="1414"/>
      <c r="C677" s="1415">
        <v>6</v>
      </c>
      <c r="D677" s="1416" t="str">
        <f t="shared" si="239"/>
        <v>Stirling engine micro-CHP</v>
      </c>
      <c r="E677" s="1416"/>
      <c r="F677" s="1516">
        <f t="shared" ref="F677:O677" si="245">$E$667*F657</f>
        <v>0</v>
      </c>
      <c r="G677" s="1447">
        <f t="shared" si="245"/>
        <v>0</v>
      </c>
      <c r="H677" s="1447">
        <f t="shared" si="245"/>
        <v>0</v>
      </c>
      <c r="I677" s="1447">
        <f t="shared" si="245"/>
        <v>0</v>
      </c>
      <c r="J677" s="1447">
        <f t="shared" si="245"/>
        <v>0</v>
      </c>
      <c r="K677" s="1447">
        <f t="shared" si="245"/>
        <v>0</v>
      </c>
      <c r="L677" s="1447">
        <f t="shared" si="245"/>
        <v>0</v>
      </c>
      <c r="M677" s="1447">
        <f t="shared" si="245"/>
        <v>0</v>
      </c>
      <c r="N677" s="1447">
        <f t="shared" si="245"/>
        <v>0</v>
      </c>
      <c r="O677" s="1447">
        <f t="shared" si="245"/>
        <v>0</v>
      </c>
      <c r="P677" s="1421"/>
    </row>
    <row r="678" spans="2:16">
      <c r="B678" s="1414"/>
      <c r="C678" s="1415">
        <v>7</v>
      </c>
      <c r="D678" s="1416" t="str">
        <f t="shared" si="239"/>
        <v>Fuel-cell micro-CHP</v>
      </c>
      <c r="E678" s="1416"/>
      <c r="F678" s="1516">
        <f t="shared" ref="F678:O678" si="246">$E$667*F658</f>
        <v>0</v>
      </c>
      <c r="G678" s="1447">
        <f t="shared" si="246"/>
        <v>0</v>
      </c>
      <c r="H678" s="1447">
        <f t="shared" si="246"/>
        <v>0</v>
      </c>
      <c r="I678" s="1447">
        <f t="shared" si="246"/>
        <v>0</v>
      </c>
      <c r="J678" s="1447">
        <f t="shared" si="246"/>
        <v>0</v>
      </c>
      <c r="K678" s="1447">
        <f t="shared" si="246"/>
        <v>0</v>
      </c>
      <c r="L678" s="1447">
        <f t="shared" si="246"/>
        <v>0</v>
      </c>
      <c r="M678" s="1447">
        <f t="shared" si="246"/>
        <v>0</v>
      </c>
      <c r="N678" s="1447">
        <f t="shared" si="246"/>
        <v>0</v>
      </c>
      <c r="O678" s="1447">
        <f t="shared" si="246"/>
        <v>0</v>
      </c>
      <c r="P678" s="1421"/>
    </row>
    <row r="679" spans="2:16">
      <c r="B679" s="1414"/>
      <c r="C679" s="1415">
        <v>8</v>
      </c>
      <c r="D679" s="1416" t="str">
        <f t="shared" si="239"/>
        <v>Air-source heat pump</v>
      </c>
      <c r="E679" s="1416"/>
      <c r="F679" s="1516">
        <f t="shared" ref="F679:O679" si="247">$E$667*F659</f>
        <v>0</v>
      </c>
      <c r="G679" s="1447">
        <f t="shared" si="247"/>
        <v>0</v>
      </c>
      <c r="H679" s="1447">
        <f t="shared" si="247"/>
        <v>0</v>
      </c>
      <c r="I679" s="1447">
        <f t="shared" si="247"/>
        <v>820416.96000000008</v>
      </c>
      <c r="J679" s="1447">
        <f t="shared" si="247"/>
        <v>1719034.4914285713</v>
      </c>
      <c r="K679" s="1447">
        <f t="shared" si="247"/>
        <v>2686009.1657142858</v>
      </c>
      <c r="L679" s="1447">
        <f t="shared" si="247"/>
        <v>3764030.17043524</v>
      </c>
      <c r="M679" s="1447">
        <f t="shared" si="247"/>
        <v>4945041.9225088172</v>
      </c>
      <c r="N679" s="1447">
        <f t="shared" si="247"/>
        <v>6236746.5104671093</v>
      </c>
      <c r="O679" s="1447">
        <f t="shared" si="247"/>
        <v>7647363.8061648756</v>
      </c>
      <c r="P679" s="1421"/>
    </row>
    <row r="680" spans="2:16" ht="12.75" customHeight="1">
      <c r="B680" s="1414"/>
      <c r="C680" s="1415">
        <v>9</v>
      </c>
      <c r="D680" s="1416" t="str">
        <f t="shared" si="239"/>
        <v>Ground-source heat pump</v>
      </c>
      <c r="E680" s="1416"/>
      <c r="F680" s="1516">
        <f t="shared" ref="F680:O680" si="248">$E$667*F660</f>
        <v>0</v>
      </c>
      <c r="G680" s="1447">
        <f t="shared" si="248"/>
        <v>0</v>
      </c>
      <c r="H680" s="1447">
        <f t="shared" si="248"/>
        <v>0</v>
      </c>
      <c r="I680" s="1447">
        <f t="shared" si="248"/>
        <v>424353.60000000003</v>
      </c>
      <c r="J680" s="1447">
        <f t="shared" si="248"/>
        <v>889155.77142857155</v>
      </c>
      <c r="K680" s="1447">
        <f t="shared" si="248"/>
        <v>1389315.0857142855</v>
      </c>
      <c r="L680" s="1447">
        <f t="shared" si="248"/>
        <v>1946912.157121676</v>
      </c>
      <c r="M680" s="1447">
        <f t="shared" si="248"/>
        <v>2557780.30474594</v>
      </c>
      <c r="N680" s="1447">
        <f t="shared" si="248"/>
        <v>3225903.3674829886</v>
      </c>
      <c r="O680" s="1447">
        <f t="shared" si="248"/>
        <v>3955533.0031887293</v>
      </c>
      <c r="P680" s="1421"/>
    </row>
    <row r="681" spans="2:16">
      <c r="B681" s="1414"/>
      <c r="C681" s="1415">
        <v>10</v>
      </c>
      <c r="D681" s="1416" t="str">
        <f t="shared" si="239"/>
        <v>Geothermal electricity</v>
      </c>
      <c r="E681" s="1416"/>
      <c r="F681" s="1516">
        <f t="shared" ref="F681:O681" si="249">$E$667*F661</f>
        <v>0</v>
      </c>
      <c r="G681" s="1447">
        <f t="shared" si="249"/>
        <v>0</v>
      </c>
      <c r="H681" s="1447">
        <f t="shared" si="249"/>
        <v>0</v>
      </c>
      <c r="I681" s="1447">
        <f t="shared" si="249"/>
        <v>14145.12</v>
      </c>
      <c r="J681" s="1447">
        <f t="shared" si="249"/>
        <v>29638.525714285715</v>
      </c>
      <c r="K681" s="1447">
        <f t="shared" si="249"/>
        <v>46310.502857142863</v>
      </c>
      <c r="L681" s="1447">
        <f t="shared" si="249"/>
        <v>64897.071904055869</v>
      </c>
      <c r="M681" s="1447">
        <f t="shared" si="249"/>
        <v>85259.343491531326</v>
      </c>
      <c r="N681" s="1447">
        <f t="shared" si="249"/>
        <v>107530.11224943293</v>
      </c>
      <c r="O681" s="1447">
        <f t="shared" si="249"/>
        <v>131851.10010629098</v>
      </c>
      <c r="P681" s="1421"/>
    </row>
    <row r="682" spans="2:16">
      <c r="B682" s="1414"/>
      <c r="C682" s="1415">
        <v>11</v>
      </c>
      <c r="D682" s="1416" t="str">
        <f t="shared" si="239"/>
        <v>Community scale gas CHP with local district heating</v>
      </c>
      <c r="E682" s="1416"/>
      <c r="F682" s="1516">
        <f t="shared" ref="F682:O682" si="250">$E$667*F662</f>
        <v>0</v>
      </c>
      <c r="G682" s="1447">
        <f t="shared" si="250"/>
        <v>0</v>
      </c>
      <c r="H682" s="1447">
        <f t="shared" si="250"/>
        <v>0</v>
      </c>
      <c r="I682" s="1447">
        <f t="shared" si="250"/>
        <v>0</v>
      </c>
      <c r="J682" s="1447">
        <f t="shared" si="250"/>
        <v>0</v>
      </c>
      <c r="K682" s="1447">
        <f t="shared" si="250"/>
        <v>0</v>
      </c>
      <c r="L682" s="1447">
        <f t="shared" si="250"/>
        <v>0</v>
      </c>
      <c r="M682" s="1447">
        <f t="shared" si="250"/>
        <v>0</v>
      </c>
      <c r="N682" s="1447">
        <f t="shared" si="250"/>
        <v>0</v>
      </c>
      <c r="O682" s="1447">
        <f t="shared" si="250"/>
        <v>0</v>
      </c>
      <c r="P682" s="1421"/>
    </row>
    <row r="683" spans="2:16">
      <c r="B683" s="1414"/>
      <c r="C683" s="1415">
        <v>12</v>
      </c>
      <c r="D683" s="1416" t="str">
        <f t="shared" si="239"/>
        <v>Community scale solid-fuel CHP with local district heating</v>
      </c>
      <c r="E683" s="1416"/>
      <c r="F683" s="1516">
        <f t="shared" ref="F683:O683" si="251">$E$667*F663</f>
        <v>0</v>
      </c>
      <c r="G683" s="1447">
        <f t="shared" si="251"/>
        <v>0</v>
      </c>
      <c r="H683" s="1447">
        <f t="shared" si="251"/>
        <v>0</v>
      </c>
      <c r="I683" s="1447">
        <f t="shared" si="251"/>
        <v>0</v>
      </c>
      <c r="J683" s="1447">
        <f t="shared" si="251"/>
        <v>0</v>
      </c>
      <c r="K683" s="1447">
        <f t="shared" si="251"/>
        <v>0</v>
      </c>
      <c r="L683" s="1447">
        <f t="shared" si="251"/>
        <v>0</v>
      </c>
      <c r="M683" s="1447">
        <f t="shared" si="251"/>
        <v>0</v>
      </c>
      <c r="N683" s="1447">
        <f t="shared" si="251"/>
        <v>0</v>
      </c>
      <c r="O683" s="1447">
        <f t="shared" si="251"/>
        <v>0</v>
      </c>
      <c r="P683" s="1421"/>
    </row>
    <row r="684" spans="2:16">
      <c r="B684" s="1414"/>
      <c r="C684" s="1436">
        <v>13</v>
      </c>
      <c r="D684" s="1437" t="str">
        <f t="shared" si="239"/>
        <v>Long distance district heating from large power stations</v>
      </c>
      <c r="E684" s="1437"/>
      <c r="F684" s="1519">
        <f t="shared" ref="F684:O684" si="252">$E$667*F664</f>
        <v>0</v>
      </c>
      <c r="G684" s="1521">
        <f t="shared" si="252"/>
        <v>0</v>
      </c>
      <c r="H684" s="1521">
        <f t="shared" si="252"/>
        <v>0</v>
      </c>
      <c r="I684" s="1521">
        <f t="shared" si="252"/>
        <v>155596.32000000004</v>
      </c>
      <c r="J684" s="1521">
        <f t="shared" si="252"/>
        <v>326023.78285714285</v>
      </c>
      <c r="K684" s="1521">
        <f t="shared" si="252"/>
        <v>509415.5314285715</v>
      </c>
      <c r="L684" s="1521">
        <f t="shared" si="252"/>
        <v>713867.79094461468</v>
      </c>
      <c r="M684" s="1521">
        <f t="shared" si="252"/>
        <v>937852.77840684447</v>
      </c>
      <c r="N684" s="1521">
        <f t="shared" si="252"/>
        <v>1182831.2347437621</v>
      </c>
      <c r="O684" s="1521">
        <f t="shared" si="252"/>
        <v>1450362.1011692006</v>
      </c>
      <c r="P684" s="1421"/>
    </row>
    <row r="685" spans="2:16">
      <c r="B685" s="1414"/>
      <c r="C685" s="1415"/>
      <c r="D685" s="1416" t="s">
        <v>1688</v>
      </c>
      <c r="E685" s="1416"/>
      <c r="F685" s="1447">
        <f>SUM(F672:F684)</f>
        <v>8594058</v>
      </c>
      <c r="G685" s="1447">
        <f>SUM(G672:G684)</f>
        <v>8882742.0000000019</v>
      </c>
      <c r="H685" s="1447">
        <f t="shared" ref="H685:O685" si="253">SUM(H672:H684)</f>
        <v>9394105.1441153232</v>
      </c>
      <c r="I685" s="1447">
        <f t="shared" si="253"/>
        <v>9900983.380744515</v>
      </c>
      <c r="J685" s="1447">
        <f t="shared" si="253"/>
        <v>10372959.629838884</v>
      </c>
      <c r="K685" s="1447">
        <f t="shared" si="253"/>
        <v>10805347.021974329</v>
      </c>
      <c r="L685" s="1447">
        <f t="shared" si="253"/>
        <v>11356643.131987287</v>
      </c>
      <c r="M685" s="1447">
        <f t="shared" si="253"/>
        <v>11936066.741016649</v>
      </c>
      <c r="N685" s="1447">
        <f t="shared" si="253"/>
        <v>12545052.932953345</v>
      </c>
      <c r="O685" s="1447">
        <f t="shared" si="253"/>
        <v>13185110.010629097</v>
      </c>
      <c r="P685" s="1421"/>
    </row>
    <row r="686" spans="2:16">
      <c r="B686" s="1414"/>
      <c r="C686" s="1415"/>
      <c r="D686" s="1416"/>
      <c r="E686" s="1416"/>
      <c r="F686" s="1430"/>
      <c r="G686" s="1430"/>
      <c r="H686" s="1430"/>
      <c r="I686" s="1430"/>
      <c r="J686" s="1430"/>
      <c r="K686" s="1430"/>
      <c r="L686" s="1430"/>
      <c r="M686" s="1430"/>
      <c r="N686" s="1430"/>
      <c r="O686" s="1430"/>
      <c r="P686" s="1421"/>
    </row>
    <row r="687" spans="2:16">
      <c r="B687" s="1414"/>
      <c r="C687" s="1415" t="s">
        <v>1589</v>
      </c>
      <c r="D687" s="1416"/>
      <c r="E687" s="1416"/>
      <c r="F687" s="1430"/>
      <c r="G687" s="1430"/>
      <c r="H687" s="1430"/>
      <c r="I687" s="1430"/>
      <c r="J687" s="1430"/>
      <c r="K687" s="1430"/>
      <c r="L687" s="1430"/>
      <c r="M687" s="1430"/>
      <c r="N687" s="1430"/>
      <c r="O687" s="1430"/>
      <c r="P687" s="1421"/>
    </row>
    <row r="688" spans="2:16">
      <c r="B688" s="1414"/>
      <c r="C688" s="1415"/>
      <c r="D688" s="1416"/>
      <c r="E688" s="1416"/>
      <c r="F688" s="1430"/>
      <c r="G688" s="1430"/>
      <c r="H688" s="1430"/>
      <c r="I688" s="1430"/>
      <c r="J688" s="1430"/>
      <c r="K688" s="1430"/>
      <c r="L688" s="1430"/>
      <c r="M688" s="1430"/>
      <c r="N688" s="1430"/>
      <c r="O688" s="1430"/>
      <c r="P688" s="1421"/>
    </row>
    <row r="689" spans="2:16">
      <c r="B689" s="1414"/>
      <c r="C689" s="1422" t="s">
        <v>77</v>
      </c>
      <c r="D689" s="1422" t="s">
        <v>907</v>
      </c>
      <c r="E689" s="1422" t="s">
        <v>422</v>
      </c>
      <c r="F689" s="1423">
        <v>2007</v>
      </c>
      <c r="G689" s="1424">
        <v>2010</v>
      </c>
      <c r="H689" s="1425">
        <v>2015</v>
      </c>
      <c r="I689" s="1425">
        <v>2020</v>
      </c>
      <c r="J689" s="1425">
        <v>2025</v>
      </c>
      <c r="K689" s="1425">
        <v>2030</v>
      </c>
      <c r="L689" s="1425">
        <v>2035</v>
      </c>
      <c r="M689" s="1425">
        <v>2040</v>
      </c>
      <c r="N689" s="1425">
        <v>2045</v>
      </c>
      <c r="O689" s="1425">
        <v>2050</v>
      </c>
      <c r="P689" s="1421"/>
    </row>
    <row r="690" spans="2:16">
      <c r="B690" s="1414"/>
      <c r="C690" s="1415">
        <v>1</v>
      </c>
      <c r="D690" s="1416" t="str">
        <f t="shared" ref="D690:D702" si="254">INDEX($D$76:$D$88, MATCH($C690, $C$76:$C$88, 0))</f>
        <v>Gas boiler (old)</v>
      </c>
      <c r="E690" s="1416"/>
      <c r="F690" s="1446"/>
      <c r="G690" s="1515">
        <f t="shared" ref="G690:O690" si="255">IF(G652-F652+F672&gt;0,G652-F652+F672,0)</f>
        <v>4605934.8600000003</v>
      </c>
      <c r="H690" s="1515">
        <f t="shared" si="255"/>
        <v>2247894.0983040649</v>
      </c>
      <c r="I690" s="1515">
        <f t="shared" si="255"/>
        <v>3072837.2459705332</v>
      </c>
      <c r="J690" s="1515">
        <f t="shared" si="255"/>
        <v>2415149.69335368</v>
      </c>
      <c r="K690" s="1515">
        <f t="shared" si="255"/>
        <v>1696176.238236961</v>
      </c>
      <c r="L690" s="1515">
        <f t="shared" si="255"/>
        <v>1023368.2703109067</v>
      </c>
      <c r="M690" s="1515">
        <f t="shared" si="255"/>
        <v>209234.21081032325</v>
      </c>
      <c r="N690" s="1515">
        <f t="shared" si="255"/>
        <v>0</v>
      </c>
      <c r="O690" s="1515">
        <f t="shared" si="255"/>
        <v>0</v>
      </c>
      <c r="P690" s="1421"/>
    </row>
    <row r="691" spans="2:16">
      <c r="B691" s="1414"/>
      <c r="C691" s="1415">
        <v>2</v>
      </c>
      <c r="D691" s="1416" t="str">
        <f t="shared" si="254"/>
        <v>Gas boiler (new)</v>
      </c>
      <c r="E691" s="1416"/>
      <c r="F691" s="1516"/>
      <c r="G691" s="1447">
        <f t="shared" ref="G691:O691" si="256">IF(G653-F653+F673&gt;0,G653-F653+F673,0)</f>
        <v>3860528.7</v>
      </c>
      <c r="H691" s="1447">
        <f t="shared" si="256"/>
        <v>7612939.5548853483</v>
      </c>
      <c r="I691" s="1447">
        <f t="shared" si="256"/>
        <v>2789639.400180602</v>
      </c>
      <c r="J691" s="1447">
        <f t="shared" si="256"/>
        <v>2192565.4379347274</v>
      </c>
      <c r="K691" s="1447">
        <f t="shared" si="256"/>
        <v>1539853.7849802272</v>
      </c>
      <c r="L691" s="1447">
        <f t="shared" si="256"/>
        <v>929052.93031629547</v>
      </c>
      <c r="M691" s="1447">
        <f t="shared" si="256"/>
        <v>189950.83423554851</v>
      </c>
      <c r="N691" s="1447">
        <f t="shared" si="256"/>
        <v>0</v>
      </c>
      <c r="O691" s="1447">
        <f t="shared" si="256"/>
        <v>0</v>
      </c>
      <c r="P691" s="1421"/>
    </row>
    <row r="692" spans="2:16">
      <c r="B692" s="1414"/>
      <c r="C692" s="1415">
        <v>3</v>
      </c>
      <c r="D692" s="1416" t="str">
        <f t="shared" si="254"/>
        <v>Resistive heating</v>
      </c>
      <c r="E692" s="1416"/>
      <c r="F692" s="1516"/>
      <c r="G692" s="1447">
        <f t="shared" ref="G692:O692" si="257">IF(G654-F654+F674&gt;0,G654-F654+F674,0)</f>
        <v>556885.80000000005</v>
      </c>
      <c r="H692" s="1447">
        <f t="shared" si="257"/>
        <v>317496.46222696954</v>
      </c>
      <c r="I692" s="1447">
        <f t="shared" si="257"/>
        <v>434012.86356459872</v>
      </c>
      <c r="J692" s="1447">
        <f t="shared" si="257"/>
        <v>341119.93263688963</v>
      </c>
      <c r="K692" s="1447">
        <f t="shared" si="257"/>
        <v>239570.87451761228</v>
      </c>
      <c r="L692" s="1447">
        <f t="shared" si="257"/>
        <v>144542.30989982164</v>
      </c>
      <c r="M692" s="1447">
        <f t="shared" si="257"/>
        <v>29552.602927001077</v>
      </c>
      <c r="N692" s="1447">
        <f t="shared" si="257"/>
        <v>0</v>
      </c>
      <c r="O692" s="1447">
        <f t="shared" si="257"/>
        <v>0</v>
      </c>
      <c r="P692" s="1421"/>
    </row>
    <row r="693" spans="2:16">
      <c r="B693" s="1414"/>
      <c r="C693" s="1415">
        <v>4</v>
      </c>
      <c r="D693" s="1416" t="str">
        <f t="shared" si="254"/>
        <v>Oil-fired boiler</v>
      </c>
      <c r="E693" s="1416"/>
      <c r="F693" s="1516"/>
      <c r="G693" s="1447">
        <f t="shared" ref="G693:O693" si="258">IF(G655-F655+F675&gt;0,G655-F655+F675,0)</f>
        <v>222754.32</v>
      </c>
      <c r="H693" s="1447">
        <f t="shared" si="258"/>
        <v>126998.58489078778</v>
      </c>
      <c r="I693" s="1447">
        <f t="shared" si="258"/>
        <v>173605.14542583952</v>
      </c>
      <c r="J693" s="1447">
        <f t="shared" si="258"/>
        <v>136447.97305475583</v>
      </c>
      <c r="K693" s="1447">
        <f t="shared" si="258"/>
        <v>95828.34980704487</v>
      </c>
      <c r="L693" s="1447">
        <f t="shared" si="258"/>
        <v>57816.923959928594</v>
      </c>
      <c r="M693" s="1447">
        <f t="shared" si="258"/>
        <v>11821.041170800454</v>
      </c>
      <c r="N693" s="1447">
        <f t="shared" si="258"/>
        <v>0</v>
      </c>
      <c r="O693" s="1447">
        <f t="shared" si="258"/>
        <v>0</v>
      </c>
      <c r="P693" s="1421"/>
    </row>
    <row r="694" spans="2:16">
      <c r="B694" s="1414"/>
      <c r="C694" s="1415">
        <v>5</v>
      </c>
      <c r="D694" s="1416" t="str">
        <f t="shared" si="254"/>
        <v>Solid-fuel boiler</v>
      </c>
      <c r="E694" s="1416"/>
      <c r="F694" s="1516"/>
      <c r="G694" s="1447">
        <f t="shared" ref="G694:O694" si="259">IF(G656-F656+F676&gt;0,G656-F656+F676,0)</f>
        <v>222754.32</v>
      </c>
      <c r="H694" s="1447">
        <f t="shared" si="259"/>
        <v>126998.58489078778</v>
      </c>
      <c r="I694" s="1447">
        <f t="shared" si="259"/>
        <v>173605.14542583952</v>
      </c>
      <c r="J694" s="1447">
        <f t="shared" si="259"/>
        <v>136447.97305475583</v>
      </c>
      <c r="K694" s="1447">
        <f t="shared" si="259"/>
        <v>95828.34980704487</v>
      </c>
      <c r="L694" s="1447">
        <f t="shared" si="259"/>
        <v>57816.923959928594</v>
      </c>
      <c r="M694" s="1447">
        <f t="shared" si="259"/>
        <v>11821.041170800454</v>
      </c>
      <c r="N694" s="1447">
        <f t="shared" si="259"/>
        <v>0</v>
      </c>
      <c r="O694" s="1447">
        <f t="shared" si="259"/>
        <v>0</v>
      </c>
      <c r="P694" s="1421"/>
    </row>
    <row r="695" spans="2:16">
      <c r="B695" s="1414"/>
      <c r="C695" s="1415">
        <v>6</v>
      </c>
      <c r="D695" s="1416" t="str">
        <f t="shared" si="254"/>
        <v>Stirling engine micro-CHP</v>
      </c>
      <c r="E695" s="1416"/>
      <c r="F695" s="1516"/>
      <c r="G695" s="1447">
        <f t="shared" ref="G695:O695" si="260">IF(G657-F657+F677&gt;0,G657-F657+F677,0)</f>
        <v>0</v>
      </c>
      <c r="H695" s="1447">
        <f t="shared" si="260"/>
        <v>0</v>
      </c>
      <c r="I695" s="1447">
        <f t="shared" si="260"/>
        <v>0</v>
      </c>
      <c r="J695" s="1447">
        <f t="shared" si="260"/>
        <v>0</v>
      </c>
      <c r="K695" s="1447">
        <f t="shared" si="260"/>
        <v>0</v>
      </c>
      <c r="L695" s="1447">
        <f t="shared" si="260"/>
        <v>0</v>
      </c>
      <c r="M695" s="1447">
        <f t="shared" si="260"/>
        <v>0</v>
      </c>
      <c r="N695" s="1447">
        <f t="shared" si="260"/>
        <v>0</v>
      </c>
      <c r="O695" s="1447">
        <f t="shared" si="260"/>
        <v>0</v>
      </c>
      <c r="P695" s="1421"/>
    </row>
    <row r="696" spans="2:16">
      <c r="B696" s="1414"/>
      <c r="C696" s="1415">
        <v>7</v>
      </c>
      <c r="D696" s="1416" t="str">
        <f t="shared" si="254"/>
        <v>Fuel-cell micro-CHP</v>
      </c>
      <c r="E696" s="1416"/>
      <c r="F696" s="1516"/>
      <c r="G696" s="1447">
        <f t="shared" ref="G696:O696" si="261">IF(G658-F658+F678&gt;0,G658-F658+F678,0)</f>
        <v>0</v>
      </c>
      <c r="H696" s="1447">
        <f t="shared" si="261"/>
        <v>0</v>
      </c>
      <c r="I696" s="1447">
        <f t="shared" si="261"/>
        <v>0</v>
      </c>
      <c r="J696" s="1447">
        <f t="shared" si="261"/>
        <v>0</v>
      </c>
      <c r="K696" s="1447">
        <f t="shared" si="261"/>
        <v>0</v>
      </c>
      <c r="L696" s="1447">
        <f t="shared" si="261"/>
        <v>0</v>
      </c>
      <c r="M696" s="1447">
        <f t="shared" si="261"/>
        <v>0</v>
      </c>
      <c r="N696" s="1447">
        <f t="shared" si="261"/>
        <v>0</v>
      </c>
      <c r="O696" s="1447">
        <f t="shared" si="261"/>
        <v>0</v>
      </c>
      <c r="P696" s="1421"/>
    </row>
    <row r="697" spans="2:16">
      <c r="B697" s="1414"/>
      <c r="C697" s="1415">
        <v>8</v>
      </c>
      <c r="D697" s="1416" t="str">
        <f t="shared" si="254"/>
        <v>Air-source heat pump</v>
      </c>
      <c r="E697" s="1416"/>
      <c r="F697" s="1516"/>
      <c r="G697" s="1447">
        <f t="shared" ref="G697:O697" si="262">IF(G659-F659+F679&gt;0,G659-F659+F679,0)</f>
        <v>0</v>
      </c>
      <c r="H697" s="1447">
        <f t="shared" si="262"/>
        <v>0</v>
      </c>
      <c r="I697" s="1447">
        <f t="shared" si="262"/>
        <v>2486112</v>
      </c>
      <c r="J697" s="1447">
        <f t="shared" si="262"/>
        <v>3543500.3885714281</v>
      </c>
      <c r="K697" s="1447">
        <f t="shared" si="262"/>
        <v>4649260.7771428563</v>
      </c>
      <c r="L697" s="1447">
        <f t="shared" si="262"/>
        <v>5952739.4830505103</v>
      </c>
      <c r="M697" s="1447">
        <f t="shared" si="262"/>
        <v>7342853.6615672912</v>
      </c>
      <c r="N697" s="1447">
        <f t="shared" si="262"/>
        <v>8859298.2496551592</v>
      </c>
      <c r="O697" s="1447">
        <f t="shared" si="262"/>
        <v>10511344.376217913</v>
      </c>
      <c r="P697" s="1421"/>
    </row>
    <row r="698" spans="2:16">
      <c r="B698" s="1414"/>
      <c r="C698" s="1415">
        <v>9</v>
      </c>
      <c r="D698" s="1416" t="str">
        <f t="shared" si="254"/>
        <v>Ground-source heat pump</v>
      </c>
      <c r="E698" s="1416"/>
      <c r="F698" s="1516"/>
      <c r="G698" s="1447">
        <f t="shared" ref="G698:O698" si="263">IF(G660-F660+F680&gt;0,G660-F660+F680,0)</f>
        <v>0</v>
      </c>
      <c r="H698" s="1447">
        <f t="shared" si="263"/>
        <v>0</v>
      </c>
      <c r="I698" s="1447">
        <f t="shared" si="263"/>
        <v>1285920</v>
      </c>
      <c r="J698" s="1447">
        <f t="shared" si="263"/>
        <v>1832845.0285714287</v>
      </c>
      <c r="K698" s="1447">
        <f t="shared" si="263"/>
        <v>2404790.0571428565</v>
      </c>
      <c r="L698" s="1447">
        <f t="shared" si="263"/>
        <v>3079003.1808881955</v>
      </c>
      <c r="M698" s="1447">
        <f t="shared" si="263"/>
        <v>3798027.7559830816</v>
      </c>
      <c r="N698" s="1447">
        <f t="shared" si="263"/>
        <v>4582395.6463733595</v>
      </c>
      <c r="O698" s="1447">
        <f t="shared" si="263"/>
        <v>5436902.2635609899</v>
      </c>
      <c r="P698" s="1421"/>
    </row>
    <row r="699" spans="2:16">
      <c r="B699" s="1414"/>
      <c r="C699" s="1415">
        <v>10</v>
      </c>
      <c r="D699" s="1416" t="str">
        <f t="shared" si="254"/>
        <v>Geothermal electricity</v>
      </c>
      <c r="E699" s="1416"/>
      <c r="F699" s="1516"/>
      <c r="G699" s="1447">
        <f t="shared" ref="G699:O699" si="264">IF(G661-F661+F681&gt;0,G661-F661+F681,0)</f>
        <v>0</v>
      </c>
      <c r="H699" s="1447">
        <f t="shared" si="264"/>
        <v>0</v>
      </c>
      <c r="I699" s="1447">
        <f t="shared" si="264"/>
        <v>42864</v>
      </c>
      <c r="J699" s="1447">
        <f t="shared" si="264"/>
        <v>61094.834285714292</v>
      </c>
      <c r="K699" s="1447">
        <f t="shared" si="264"/>
        <v>80159.668571428585</v>
      </c>
      <c r="L699" s="1447">
        <f t="shared" si="264"/>
        <v>102633.43936293983</v>
      </c>
      <c r="M699" s="1447">
        <f t="shared" si="264"/>
        <v>126600.92519943602</v>
      </c>
      <c r="N699" s="1447">
        <f t="shared" si="264"/>
        <v>152746.52154577864</v>
      </c>
      <c r="O699" s="1447">
        <f t="shared" si="264"/>
        <v>181230.07545203308</v>
      </c>
      <c r="P699" s="1421"/>
    </row>
    <row r="700" spans="2:16">
      <c r="B700" s="1414"/>
      <c r="C700" s="1415">
        <v>11</v>
      </c>
      <c r="D700" s="1416" t="str">
        <f t="shared" si="254"/>
        <v>Community scale gas CHP with local district heating</v>
      </c>
      <c r="E700" s="1416"/>
      <c r="F700" s="1516"/>
      <c r="G700" s="1447">
        <f t="shared" ref="G700:O700" si="265">IF(G662-F662+F682&gt;0,G662-F662+F682,0)</f>
        <v>0</v>
      </c>
      <c r="H700" s="1447">
        <f t="shared" si="265"/>
        <v>0</v>
      </c>
      <c r="I700" s="1447">
        <f t="shared" si="265"/>
        <v>0</v>
      </c>
      <c r="J700" s="1447">
        <f t="shared" si="265"/>
        <v>0</v>
      </c>
      <c r="K700" s="1447">
        <f t="shared" si="265"/>
        <v>0</v>
      </c>
      <c r="L700" s="1447">
        <f t="shared" si="265"/>
        <v>0</v>
      </c>
      <c r="M700" s="1447">
        <f t="shared" si="265"/>
        <v>0</v>
      </c>
      <c r="N700" s="1447">
        <f t="shared" si="265"/>
        <v>0</v>
      </c>
      <c r="O700" s="1447">
        <f t="shared" si="265"/>
        <v>0</v>
      </c>
      <c r="P700" s="1421"/>
    </row>
    <row r="701" spans="2:16">
      <c r="B701" s="1414"/>
      <c r="C701" s="1415">
        <v>12</v>
      </c>
      <c r="D701" s="1416" t="str">
        <f t="shared" si="254"/>
        <v>Community scale solid-fuel CHP with local district heating</v>
      </c>
      <c r="E701" s="1416"/>
      <c r="F701" s="1516"/>
      <c r="G701" s="1447">
        <f t="shared" ref="G701:O701" si="266">IF(G663-F663+F683&gt;0,G663-F663+F683,0)</f>
        <v>0</v>
      </c>
      <c r="H701" s="1447">
        <f t="shared" si="266"/>
        <v>0</v>
      </c>
      <c r="I701" s="1447">
        <f t="shared" si="266"/>
        <v>0</v>
      </c>
      <c r="J701" s="1447">
        <f t="shared" si="266"/>
        <v>0</v>
      </c>
      <c r="K701" s="1447">
        <f t="shared" si="266"/>
        <v>0</v>
      </c>
      <c r="L701" s="1447">
        <f t="shared" si="266"/>
        <v>0</v>
      </c>
      <c r="M701" s="1447">
        <f t="shared" si="266"/>
        <v>0</v>
      </c>
      <c r="N701" s="1447">
        <f t="shared" si="266"/>
        <v>0</v>
      </c>
      <c r="O701" s="1447">
        <f t="shared" si="266"/>
        <v>0</v>
      </c>
      <c r="P701" s="1421"/>
    </row>
    <row r="702" spans="2:16">
      <c r="B702" s="1414"/>
      <c r="C702" s="1436">
        <v>13</v>
      </c>
      <c r="D702" s="1437" t="str">
        <f t="shared" si="254"/>
        <v>Long distance district heating from large power stations</v>
      </c>
      <c r="E702" s="1437"/>
      <c r="F702" s="1519"/>
      <c r="G702" s="1521">
        <f t="shared" ref="G702:O702" si="267">IF(G664-F664+F684&gt;0,G664-F664+F684,0)</f>
        <v>0</v>
      </c>
      <c r="H702" s="1521">
        <f t="shared" si="267"/>
        <v>0</v>
      </c>
      <c r="I702" s="1521">
        <f t="shared" si="267"/>
        <v>471504.00000000006</v>
      </c>
      <c r="J702" s="1521">
        <f t="shared" si="267"/>
        <v>672043.17714285711</v>
      </c>
      <c r="K702" s="1521">
        <f t="shared" si="267"/>
        <v>881756.35428571433</v>
      </c>
      <c r="L702" s="1521">
        <f t="shared" si="267"/>
        <v>1128967.8329923388</v>
      </c>
      <c r="M702" s="1521">
        <f t="shared" si="267"/>
        <v>1392610.177193796</v>
      </c>
      <c r="N702" s="1521">
        <f t="shared" si="267"/>
        <v>1680211.7370035644</v>
      </c>
      <c r="O702" s="1521">
        <f t="shared" si="267"/>
        <v>1993530.8299723633</v>
      </c>
      <c r="P702" s="1421"/>
    </row>
    <row r="703" spans="2:16">
      <c r="B703" s="1414"/>
      <c r="C703" s="1415"/>
      <c r="D703" s="1416" t="s">
        <v>1588</v>
      </c>
      <c r="E703" s="1416"/>
      <c r="F703" s="1447"/>
      <c r="G703" s="1447">
        <f>SUM(G690:G702)</f>
        <v>9468858.0000000019</v>
      </c>
      <c r="H703" s="1447">
        <f t="shared" ref="H703:O703" si="268">SUM(H690:H702)</f>
        <v>10432327.28519796</v>
      </c>
      <c r="I703" s="1447">
        <f t="shared" si="268"/>
        <v>10930099.800567411</v>
      </c>
      <c r="J703" s="1447">
        <f t="shared" si="268"/>
        <v>11331214.438606236</v>
      </c>
      <c r="K703" s="1447">
        <f t="shared" si="268"/>
        <v>11683224.454491748</v>
      </c>
      <c r="L703" s="1447">
        <f t="shared" si="268"/>
        <v>12475941.294740865</v>
      </c>
      <c r="M703" s="1447">
        <f t="shared" si="268"/>
        <v>13112472.250258079</v>
      </c>
      <c r="N703" s="1447">
        <f t="shared" si="268"/>
        <v>15274652.154577862</v>
      </c>
      <c r="O703" s="1447">
        <f t="shared" si="268"/>
        <v>18123007.545203298</v>
      </c>
      <c r="P703" s="1421"/>
    </row>
    <row r="704" spans="2:16">
      <c r="B704" s="1414"/>
      <c r="C704" s="1415"/>
      <c r="D704" s="1416"/>
      <c r="E704" s="1416"/>
      <c r="F704" s="1447"/>
      <c r="G704" s="1447"/>
      <c r="H704" s="1447"/>
      <c r="I704" s="1447"/>
      <c r="J704" s="1447"/>
      <c r="K704" s="1447"/>
      <c r="L704" s="1447"/>
      <c r="M704" s="1447"/>
      <c r="N704" s="1447"/>
      <c r="O704" s="1447"/>
      <c r="P704" s="1421"/>
    </row>
    <row r="705" spans="2:16">
      <c r="B705" s="1414"/>
      <c r="C705" s="1415" t="s">
        <v>1727</v>
      </c>
      <c r="D705" s="1416"/>
      <c r="E705" s="1416"/>
      <c r="F705" s="1447"/>
      <c r="G705" s="1447"/>
      <c r="H705" s="1447"/>
      <c r="I705" s="1447"/>
      <c r="J705" s="1447"/>
      <c r="K705" s="1447"/>
      <c r="L705" s="1447"/>
      <c r="M705" s="1447"/>
      <c r="N705" s="1447"/>
      <c r="O705" s="1447"/>
      <c r="P705" s="1421"/>
    </row>
    <row r="706" spans="2:16" ht="5.25" customHeight="1">
      <c r="B706" s="1414"/>
      <c r="C706" s="1415"/>
      <c r="D706" s="1416"/>
      <c r="E706" s="1416"/>
      <c r="F706" s="1447"/>
      <c r="G706" s="1447"/>
      <c r="H706" s="1447"/>
      <c r="I706" s="1447"/>
      <c r="J706" s="1447"/>
      <c r="K706" s="1447"/>
      <c r="L706" s="1447"/>
      <c r="M706" s="1447"/>
      <c r="N706" s="1447"/>
      <c r="O706" s="1447"/>
      <c r="P706" s="1421"/>
    </row>
    <row r="707" spans="2:16">
      <c r="B707" s="1414"/>
      <c r="C707" s="1422" t="s">
        <v>77</v>
      </c>
      <c r="D707" s="1422" t="s">
        <v>907</v>
      </c>
      <c r="E707" s="1422" t="s">
        <v>422</v>
      </c>
      <c r="F707" s="1423">
        <v>2007</v>
      </c>
      <c r="G707" s="1549">
        <v>2010</v>
      </c>
      <c r="H707" s="1423">
        <v>2015</v>
      </c>
      <c r="I707" s="1423">
        <v>2020</v>
      </c>
      <c r="J707" s="1423">
        <v>2025</v>
      </c>
      <c r="K707" s="1423">
        <v>2030</v>
      </c>
      <c r="L707" s="1423">
        <v>2035</v>
      </c>
      <c r="M707" s="1423">
        <v>2040</v>
      </c>
      <c r="N707" s="1423">
        <v>2045</v>
      </c>
      <c r="O707" s="1423">
        <v>2050</v>
      </c>
      <c r="P707" s="1421"/>
    </row>
    <row r="708" spans="2:16">
      <c r="B708" s="1414"/>
      <c r="C708" s="1415"/>
      <c r="D708" s="1416" t="s">
        <v>1726</v>
      </c>
      <c r="E708" s="1416" t="s">
        <v>1734</v>
      </c>
      <c r="F708" s="1447"/>
      <c r="G708" s="1447">
        <f>(SUM(G661:G664))-(SUM(F661:F664))</f>
        <v>0</v>
      </c>
      <c r="H708" s="1447">
        <f t="shared" ref="H708:N708" si="269">(SUM(H661:H664))-(SUM(G661:G664))</f>
        <v>0</v>
      </c>
      <c r="I708" s="1447">
        <f t="shared" si="269"/>
        <v>514368.00000000006</v>
      </c>
      <c r="J708" s="1447">
        <f t="shared" si="269"/>
        <v>563396.57142857136</v>
      </c>
      <c r="K708" s="1447">
        <f t="shared" si="269"/>
        <v>606253.71428571455</v>
      </c>
      <c r="L708" s="1447">
        <f t="shared" si="269"/>
        <v>675875.2380695641</v>
      </c>
      <c r="M708" s="1447">
        <f t="shared" si="269"/>
        <v>740446.2395445616</v>
      </c>
      <c r="N708" s="1447">
        <f t="shared" si="269"/>
        <v>809846.13665096695</v>
      </c>
      <c r="O708" s="1447">
        <f>(SUM(O661:O664))-(SUM(N661:N664))</f>
        <v>884399.55843120115</v>
      </c>
      <c r="P708" s="1421"/>
    </row>
    <row r="709" spans="2:16">
      <c r="B709" s="1414"/>
      <c r="C709" s="1415"/>
      <c r="D709" s="1416" t="s">
        <v>1726</v>
      </c>
      <c r="E709" s="1416" t="s">
        <v>1735</v>
      </c>
      <c r="F709" s="1447"/>
      <c r="G709" s="1447"/>
      <c r="H709" s="1447">
        <f>H708-G708</f>
        <v>0</v>
      </c>
      <c r="I709" s="1447">
        <f>I708-H708</f>
        <v>514368.00000000006</v>
      </c>
      <c r="J709" s="1447">
        <f t="shared" ref="J709:O709" si="270">J708-I708</f>
        <v>49028.571428571304</v>
      </c>
      <c r="K709" s="1447">
        <f t="shared" si="270"/>
        <v>42857.14285714319</v>
      </c>
      <c r="L709" s="1447">
        <f t="shared" si="270"/>
        <v>69621.523783849552</v>
      </c>
      <c r="M709" s="1447">
        <f t="shared" si="270"/>
        <v>64571.001474997494</v>
      </c>
      <c r="N709" s="1447">
        <f t="shared" si="270"/>
        <v>69399.897106405348</v>
      </c>
      <c r="O709" s="1447">
        <f t="shared" si="270"/>
        <v>74553.421780234203</v>
      </c>
      <c r="P709" s="1421"/>
    </row>
    <row r="710" spans="2:16">
      <c r="B710" s="1414"/>
      <c r="C710" s="1415"/>
      <c r="D710" s="1416"/>
      <c r="E710" s="1416"/>
      <c r="F710" s="1447"/>
      <c r="G710" s="1447"/>
      <c r="H710" s="1447"/>
      <c r="I710" s="1447"/>
      <c r="J710" s="1447"/>
      <c r="K710" s="1447"/>
      <c r="L710" s="1447"/>
      <c r="M710" s="1447"/>
      <c r="N710" s="1447"/>
      <c r="O710" s="1447"/>
      <c r="P710" s="1421"/>
    </row>
    <row r="711" spans="2:16">
      <c r="B711" s="1414"/>
      <c r="C711" s="1538" t="s">
        <v>1703</v>
      </c>
      <c r="D711" s="1416"/>
      <c r="E711" s="1416"/>
      <c r="F711" s="1447"/>
      <c r="G711" s="1447"/>
      <c r="H711" s="1447"/>
      <c r="I711" s="1447"/>
      <c r="J711" s="1447"/>
      <c r="K711" s="1447"/>
      <c r="L711" s="1447"/>
      <c r="M711" s="1447"/>
      <c r="N711" s="1447"/>
      <c r="O711" s="1447"/>
      <c r="P711" s="1421"/>
    </row>
    <row r="712" spans="2:16">
      <c r="B712" s="1414"/>
      <c r="C712" s="1415"/>
      <c r="D712" s="1416"/>
      <c r="E712" s="1416"/>
      <c r="F712" s="1447"/>
      <c r="G712" s="1447"/>
      <c r="H712" s="1447"/>
      <c r="I712" s="1447"/>
      <c r="J712" s="1447"/>
      <c r="K712" s="1447"/>
      <c r="L712" s="1447"/>
      <c r="M712" s="1447"/>
      <c r="N712" s="1447"/>
      <c r="O712" s="1447"/>
      <c r="P712" s="1421"/>
    </row>
    <row r="713" spans="2:16">
      <c r="B713" s="1414"/>
      <c r="C713" s="1322" t="s">
        <v>1695</v>
      </c>
      <c r="D713" s="1322"/>
      <c r="E713" s="1322"/>
      <c r="F713" s="1322"/>
      <c r="G713" s="1322"/>
      <c r="H713" s="1322"/>
      <c r="I713" s="1322"/>
      <c r="J713" s="1322"/>
      <c r="K713" s="1322"/>
      <c r="L713" s="1322"/>
      <c r="M713" s="1322"/>
      <c r="N713" s="1322"/>
      <c r="O713" s="1322"/>
      <c r="P713" s="1421"/>
    </row>
    <row r="714" spans="2:16" ht="5.25" customHeight="1">
      <c r="B714" s="1414"/>
      <c r="C714" s="1322"/>
      <c r="D714" s="1322"/>
      <c r="E714" s="1322"/>
      <c r="F714" s="1322"/>
      <c r="G714" s="1322"/>
      <c r="H714" s="1322"/>
      <c r="I714" s="1322"/>
      <c r="J714" s="1322"/>
      <c r="K714" s="1322"/>
      <c r="L714" s="1322"/>
      <c r="M714" s="1322"/>
      <c r="N714" s="1322"/>
      <c r="O714" s="1322"/>
      <c r="P714" s="1421"/>
    </row>
    <row r="715" spans="2:16" ht="15">
      <c r="B715" s="763"/>
      <c r="C715" s="1347" t="s">
        <v>77</v>
      </c>
      <c r="D715" s="1347" t="s">
        <v>907</v>
      </c>
      <c r="E715" s="1347" t="s">
        <v>422</v>
      </c>
      <c r="F715" s="1348">
        <v>2007</v>
      </c>
      <c r="G715" s="1368">
        <v>2010</v>
      </c>
      <c r="H715" s="1367">
        <v>2015</v>
      </c>
      <c r="I715" s="1367">
        <v>2020</v>
      </c>
      <c r="J715" s="1367">
        <v>2025</v>
      </c>
      <c r="K715" s="1367">
        <v>2030</v>
      </c>
      <c r="L715" s="1367">
        <v>2035</v>
      </c>
      <c r="M715" s="1367">
        <v>2040</v>
      </c>
      <c r="N715" s="1367">
        <v>2045</v>
      </c>
      <c r="O715" s="1367">
        <v>2050</v>
      </c>
      <c r="P715" s="1038"/>
    </row>
    <row r="716" spans="2:16" ht="15">
      <c r="B716" s="763"/>
      <c r="C716" s="789">
        <v>1</v>
      </c>
      <c r="D716" s="717" t="str">
        <f>INDEX($D$94:$D$96, MATCH($C716, $C$94:$C$96, 0))</f>
        <v>Electric air conditioner (old)</v>
      </c>
      <c r="E716" s="717"/>
      <c r="F716" s="1011">
        <f>F642*F$578</f>
        <v>0</v>
      </c>
      <c r="G716" s="1413">
        <v>0</v>
      </c>
      <c r="H716" s="1394">
        <f t="shared" ref="H716:O718" si="271">H$719*$F613</f>
        <v>0</v>
      </c>
      <c r="I716" s="1394">
        <f t="shared" si="271"/>
        <v>0</v>
      </c>
      <c r="J716" s="1394">
        <f t="shared" si="271"/>
        <v>0</v>
      </c>
      <c r="K716" s="1394">
        <f t="shared" si="271"/>
        <v>0</v>
      </c>
      <c r="L716" s="1394">
        <f t="shared" si="271"/>
        <v>0</v>
      </c>
      <c r="M716" s="1394">
        <f t="shared" si="271"/>
        <v>0</v>
      </c>
      <c r="N716" s="1394">
        <f t="shared" si="271"/>
        <v>0</v>
      </c>
      <c r="O716" s="1394">
        <f t="shared" si="271"/>
        <v>0</v>
      </c>
      <c r="P716" s="1038"/>
    </row>
    <row r="717" spans="2:16" ht="15">
      <c r="B717" s="763"/>
      <c r="C717" s="789">
        <v>2</v>
      </c>
      <c r="D717" s="717" t="str">
        <f>INDEX($D$94:$D$96, MATCH($C717, $C$94:$C$96, 0))</f>
        <v>Electric air conditioner (new)</v>
      </c>
      <c r="E717" s="717"/>
      <c r="F717" s="582">
        <f>F643*F$578</f>
        <v>0</v>
      </c>
      <c r="G717" s="1306">
        <v>0</v>
      </c>
      <c r="H717" s="583">
        <f t="shared" si="271"/>
        <v>0</v>
      </c>
      <c r="I717" s="583">
        <f t="shared" si="271"/>
        <v>0</v>
      </c>
      <c r="J717" s="583">
        <f t="shared" si="271"/>
        <v>0</v>
      </c>
      <c r="K717" s="583">
        <f t="shared" si="271"/>
        <v>0</v>
      </c>
      <c r="L717" s="583">
        <f t="shared" si="271"/>
        <v>0</v>
      </c>
      <c r="M717" s="583">
        <f t="shared" si="271"/>
        <v>0</v>
      </c>
      <c r="N717" s="583">
        <f t="shared" si="271"/>
        <v>0</v>
      </c>
      <c r="O717" s="583">
        <f t="shared" si="271"/>
        <v>0</v>
      </c>
      <c r="P717" s="1038"/>
    </row>
    <row r="718" spans="2:16" ht="15">
      <c r="B718" s="763"/>
      <c r="C718" s="719">
        <v>3</v>
      </c>
      <c r="D718" s="720" t="str">
        <f>INDEX($D$94:$D$96, MATCH($C718, $C$94:$C$96, 0))</f>
        <v>Absorption chiller</v>
      </c>
      <c r="E718" s="720"/>
      <c r="F718" s="1012">
        <f>F644*F$578</f>
        <v>0</v>
      </c>
      <c r="G718" s="1014">
        <v>0</v>
      </c>
      <c r="H718" s="1238">
        <f t="shared" si="271"/>
        <v>0</v>
      </c>
      <c r="I718" s="1238">
        <f t="shared" si="271"/>
        <v>0</v>
      </c>
      <c r="J718" s="1238">
        <f t="shared" si="271"/>
        <v>0</v>
      </c>
      <c r="K718" s="1238">
        <f t="shared" si="271"/>
        <v>0</v>
      </c>
      <c r="L718" s="1238">
        <f t="shared" si="271"/>
        <v>0</v>
      </c>
      <c r="M718" s="1238">
        <f t="shared" si="271"/>
        <v>0</v>
      </c>
      <c r="N718" s="1238">
        <f t="shared" si="271"/>
        <v>0</v>
      </c>
      <c r="O718" s="1238">
        <f t="shared" si="271"/>
        <v>0</v>
      </c>
      <c r="P718" s="1038"/>
    </row>
    <row r="719" spans="2:16">
      <c r="B719" s="764"/>
      <c r="C719" s="789"/>
      <c r="D719" s="717" t="s">
        <v>133</v>
      </c>
      <c r="E719" s="717"/>
      <c r="F719" s="582">
        <f>SUM(F716:F718)</f>
        <v>0</v>
      </c>
      <c r="G719" s="582">
        <f>G717</f>
        <v>0</v>
      </c>
      <c r="H719" s="1530">
        <f t="shared" ref="H719:N719" si="272">G719+$P$719</f>
        <v>0</v>
      </c>
      <c r="I719" s="1530">
        <f t="shared" si="272"/>
        <v>0</v>
      </c>
      <c r="J719" s="1530">
        <f t="shared" si="272"/>
        <v>0</v>
      </c>
      <c r="K719" s="1530">
        <f t="shared" si="272"/>
        <v>0</v>
      </c>
      <c r="L719" s="1530">
        <f t="shared" si="272"/>
        <v>0</v>
      </c>
      <c r="M719" s="1530">
        <f t="shared" si="272"/>
        <v>0</v>
      </c>
      <c r="N719" s="1530">
        <f t="shared" si="272"/>
        <v>0</v>
      </c>
      <c r="O719" s="582">
        <f>O578*(INDEX($O$49:$O$52,MATCH($E$8,$C$49:$C$52,0),1))/$O$49</f>
        <v>0</v>
      </c>
      <c r="P719" s="1540">
        <f>(O719-G719)/8</f>
        <v>0</v>
      </c>
    </row>
    <row r="720" spans="2:16">
      <c r="B720" s="764"/>
      <c r="C720" s="789"/>
      <c r="D720" s="717"/>
      <c r="E720" s="717"/>
      <c r="F720" s="582"/>
      <c r="G720" s="582"/>
      <c r="H720" s="1530"/>
      <c r="I720" s="1530"/>
      <c r="J720" s="1530"/>
      <c r="K720" s="1530"/>
      <c r="L720" s="1530"/>
      <c r="M720" s="1530"/>
      <c r="N720" s="1530"/>
      <c r="O720" s="582"/>
      <c r="P720" s="1038"/>
    </row>
    <row r="721" spans="1:24">
      <c r="B721" s="764"/>
      <c r="C721" s="1290" t="s">
        <v>1704</v>
      </c>
      <c r="D721" s="717"/>
      <c r="E721" s="717"/>
      <c r="F721" s="582"/>
      <c r="G721" s="582"/>
      <c r="H721" s="1530"/>
      <c r="I721" s="1530"/>
      <c r="J721" s="1530"/>
      <c r="K721" s="1530"/>
      <c r="L721" s="1530"/>
      <c r="M721" s="1530"/>
      <c r="N721" s="1530"/>
      <c r="O721" s="582"/>
      <c r="P721" s="1038"/>
    </row>
    <row r="722" spans="1:24" ht="5.25" customHeight="1">
      <c r="B722" s="1414"/>
      <c r="C722" s="1322"/>
      <c r="D722" s="1322"/>
      <c r="E722" s="1322"/>
      <c r="F722" s="1322"/>
      <c r="G722" s="1322"/>
      <c r="H722" s="1322"/>
      <c r="I722" s="1322"/>
      <c r="J722" s="1322"/>
      <c r="K722" s="1322"/>
      <c r="L722" s="1322"/>
      <c r="M722" s="1322"/>
      <c r="N722" s="1322"/>
      <c r="O722" s="1322"/>
      <c r="P722" s="1421"/>
    </row>
    <row r="723" spans="1:24" ht="15">
      <c r="B723" s="763"/>
      <c r="C723" s="1347" t="s">
        <v>77</v>
      </c>
      <c r="D723" s="1347" t="s">
        <v>907</v>
      </c>
      <c r="E723" s="1347" t="s">
        <v>422</v>
      </c>
      <c r="F723" s="1348">
        <v>2007</v>
      </c>
      <c r="G723" s="1368">
        <v>2010</v>
      </c>
      <c r="H723" s="1367">
        <v>2015</v>
      </c>
      <c r="I723" s="1367">
        <v>2020</v>
      </c>
      <c r="J723" s="1367">
        <v>2025</v>
      </c>
      <c r="K723" s="1367">
        <v>2030</v>
      </c>
      <c r="L723" s="1367">
        <v>2035</v>
      </c>
      <c r="M723" s="1367">
        <v>2040</v>
      </c>
      <c r="N723" s="1367">
        <v>2045</v>
      </c>
      <c r="O723" s="1367">
        <v>2050</v>
      </c>
      <c r="P723" s="1038"/>
    </row>
    <row r="724" spans="1:24" ht="15">
      <c r="B724" s="763"/>
      <c r="C724" s="789">
        <v>1</v>
      </c>
      <c r="D724" s="717" t="str">
        <f>INDEX($D$94:$D$96, MATCH($C724, $C$94:$C$96, 0))</f>
        <v>Electric air conditioner (old)</v>
      </c>
      <c r="E724" s="717"/>
      <c r="F724" s="1011"/>
      <c r="G724" s="1413"/>
      <c r="H724" s="1394"/>
      <c r="I724" s="1394">
        <f>G716</f>
        <v>0</v>
      </c>
      <c r="J724" s="1394">
        <f t="shared" ref="J724:O724" si="273">H716</f>
        <v>0</v>
      </c>
      <c r="K724" s="1394">
        <f t="shared" si="273"/>
        <v>0</v>
      </c>
      <c r="L724" s="1394">
        <f t="shared" si="273"/>
        <v>0</v>
      </c>
      <c r="M724" s="1394">
        <f t="shared" si="273"/>
        <v>0</v>
      </c>
      <c r="N724" s="1394">
        <f t="shared" si="273"/>
        <v>0</v>
      </c>
      <c r="O724" s="1394">
        <f t="shared" si="273"/>
        <v>0</v>
      </c>
      <c r="P724" s="1038"/>
    </row>
    <row r="725" spans="1:24" ht="15">
      <c r="B725" s="763"/>
      <c r="C725" s="789">
        <v>2</v>
      </c>
      <c r="D725" s="717" t="str">
        <f>INDEX($D$94:$D$96, MATCH($C725, $C$94:$C$96, 0))</f>
        <v>Electric air conditioner (new)</v>
      </c>
      <c r="E725" s="717"/>
      <c r="F725" s="582"/>
      <c r="G725" s="1306"/>
      <c r="H725" s="583"/>
      <c r="I725" s="583">
        <f>G717</f>
        <v>0</v>
      </c>
      <c r="J725" s="583">
        <f t="shared" ref="J725:O726" si="274">H717</f>
        <v>0</v>
      </c>
      <c r="K725" s="583">
        <f t="shared" si="274"/>
        <v>0</v>
      </c>
      <c r="L725" s="583">
        <f t="shared" si="274"/>
        <v>0</v>
      </c>
      <c r="M725" s="583">
        <f t="shared" si="274"/>
        <v>0</v>
      </c>
      <c r="N725" s="583">
        <f t="shared" si="274"/>
        <v>0</v>
      </c>
      <c r="O725" s="583">
        <f t="shared" si="274"/>
        <v>0</v>
      </c>
      <c r="P725" s="1038"/>
    </row>
    <row r="726" spans="1:24" ht="15">
      <c r="B726" s="763"/>
      <c r="C726" s="719">
        <v>3</v>
      </c>
      <c r="D726" s="720" t="str">
        <f>INDEX($D$94:$D$96, MATCH($C726, $C$94:$C$96, 0))</f>
        <v>Absorption chiller</v>
      </c>
      <c r="E726" s="720"/>
      <c r="F726" s="1012"/>
      <c r="G726" s="1014"/>
      <c r="H726" s="1238"/>
      <c r="I726" s="1238">
        <f>G718</f>
        <v>0</v>
      </c>
      <c r="J726" s="1238">
        <f t="shared" si="274"/>
        <v>0</v>
      </c>
      <c r="K726" s="1238">
        <f t="shared" si="274"/>
        <v>0</v>
      </c>
      <c r="L726" s="1238">
        <f t="shared" si="274"/>
        <v>0</v>
      </c>
      <c r="M726" s="1238">
        <f t="shared" si="274"/>
        <v>0</v>
      </c>
      <c r="N726" s="1238">
        <f t="shared" si="274"/>
        <v>0</v>
      </c>
      <c r="O726" s="1238">
        <f t="shared" si="274"/>
        <v>0</v>
      </c>
      <c r="P726" s="1038"/>
    </row>
    <row r="727" spans="1:24">
      <c r="B727" s="764"/>
      <c r="C727" s="789"/>
      <c r="D727" s="717" t="s">
        <v>133</v>
      </c>
      <c r="E727" s="717"/>
      <c r="F727" s="582"/>
      <c r="G727" s="582">
        <f>SUM(G724:G726)</f>
        <v>0</v>
      </c>
      <c r="H727" s="582">
        <f t="shared" ref="H727:O727" si="275">SUM(H724:H726)</f>
        <v>0</v>
      </c>
      <c r="I727" s="582">
        <f t="shared" si="275"/>
        <v>0</v>
      </c>
      <c r="J727" s="582">
        <f>SUM(J724:J726)</f>
        <v>0</v>
      </c>
      <c r="K727" s="582">
        <f t="shared" si="275"/>
        <v>0</v>
      </c>
      <c r="L727" s="582">
        <f t="shared" si="275"/>
        <v>0</v>
      </c>
      <c r="M727" s="582">
        <f t="shared" si="275"/>
        <v>0</v>
      </c>
      <c r="N727" s="582">
        <f t="shared" si="275"/>
        <v>0</v>
      </c>
      <c r="O727" s="582">
        <f t="shared" si="275"/>
        <v>0</v>
      </c>
      <c r="P727" s="1038"/>
    </row>
    <row r="728" spans="1:24">
      <c r="B728" s="764"/>
      <c r="C728" s="789"/>
      <c r="D728" s="717"/>
      <c r="E728" s="717"/>
      <c r="F728" s="582"/>
      <c r="G728" s="582"/>
      <c r="H728" s="1530"/>
      <c r="I728" s="1530"/>
      <c r="J728" s="1530"/>
      <c r="K728" s="1530"/>
      <c r="L728" s="1530"/>
      <c r="M728" s="1530"/>
      <c r="N728" s="1530"/>
      <c r="O728" s="582"/>
      <c r="P728" s="1038"/>
    </row>
    <row r="729" spans="1:24">
      <c r="B729" s="764"/>
      <c r="C729" s="1290" t="s">
        <v>1705</v>
      </c>
      <c r="D729" s="717"/>
      <c r="E729" s="717"/>
      <c r="F729" s="582"/>
      <c r="G729" s="582"/>
      <c r="H729" s="1530"/>
      <c r="I729" s="1530"/>
      <c r="J729" s="1530"/>
      <c r="K729" s="1530"/>
      <c r="L729" s="1530"/>
      <c r="M729" s="1530"/>
      <c r="N729" s="1530"/>
      <c r="O729" s="582"/>
      <c r="P729" s="1038"/>
      <c r="X729" s="521"/>
    </row>
    <row r="730" spans="1:24">
      <c r="B730" s="1414"/>
      <c r="C730" s="1322"/>
      <c r="D730" s="1322"/>
      <c r="E730" s="1322"/>
      <c r="F730" s="1322"/>
      <c r="G730" s="1322"/>
      <c r="H730" s="1322"/>
      <c r="I730" s="1322"/>
      <c r="J730" s="1322"/>
      <c r="K730" s="1322"/>
      <c r="L730" s="1322"/>
      <c r="M730" s="1322"/>
      <c r="N730" s="1322"/>
      <c r="O730" s="1322"/>
      <c r="P730" s="1421"/>
      <c r="X730" s="521"/>
    </row>
    <row r="731" spans="1:24" ht="17" collapsed="1">
      <c r="A731" s="535"/>
      <c r="B731" s="763"/>
      <c r="C731" s="1347" t="s">
        <v>77</v>
      </c>
      <c r="D731" s="1347" t="s">
        <v>907</v>
      </c>
      <c r="E731" s="1347" t="s">
        <v>422</v>
      </c>
      <c r="F731" s="1348">
        <v>2007</v>
      </c>
      <c r="G731" s="1368">
        <v>2010</v>
      </c>
      <c r="H731" s="1367">
        <v>2015</v>
      </c>
      <c r="I731" s="1367">
        <v>2020</v>
      </c>
      <c r="J731" s="1367">
        <v>2025</v>
      </c>
      <c r="K731" s="1367">
        <v>2030</v>
      </c>
      <c r="L731" s="1367">
        <v>2035</v>
      </c>
      <c r="M731" s="1367">
        <v>2040</v>
      </c>
      <c r="N731" s="1367">
        <v>2045</v>
      </c>
      <c r="O731" s="1367">
        <v>2050</v>
      </c>
      <c r="P731" s="1038"/>
    </row>
    <row r="732" spans="1:24" ht="15">
      <c r="B732" s="763"/>
      <c r="C732" s="789">
        <v>1</v>
      </c>
      <c r="D732" s="717" t="str">
        <f>INDEX($D$94:$D$96, MATCH($C732, $C$94:$C$96, 0))</f>
        <v>Electric air conditioner (old)</v>
      </c>
      <c r="E732" s="717"/>
      <c r="F732" s="1011"/>
      <c r="G732" s="1307">
        <f>G716-F716+G724</f>
        <v>0</v>
      </c>
      <c r="H732" s="1308">
        <f t="shared" ref="H732:O734" si="276">H716-G716+H724</f>
        <v>0</v>
      </c>
      <c r="I732" s="1308">
        <f t="shared" si="276"/>
        <v>0</v>
      </c>
      <c r="J732" s="1308">
        <f t="shared" si="276"/>
        <v>0</v>
      </c>
      <c r="K732" s="1308">
        <f t="shared" si="276"/>
        <v>0</v>
      </c>
      <c r="L732" s="1308">
        <f t="shared" si="276"/>
        <v>0</v>
      </c>
      <c r="M732" s="1308">
        <f t="shared" si="276"/>
        <v>0</v>
      </c>
      <c r="N732" s="1308">
        <f t="shared" si="276"/>
        <v>0</v>
      </c>
      <c r="O732" s="1308">
        <f t="shared" si="276"/>
        <v>0</v>
      </c>
      <c r="P732" s="1038"/>
    </row>
    <row r="733" spans="1:24" ht="15">
      <c r="B733" s="763"/>
      <c r="C733" s="789">
        <v>2</v>
      </c>
      <c r="D733" s="717" t="str">
        <f>INDEX($D$94:$D$96, MATCH($C733, $C$94:$C$96, 0))</f>
        <v>Electric air conditioner (new)</v>
      </c>
      <c r="E733" s="717"/>
      <c r="F733" s="582"/>
      <c r="G733" s="1306">
        <f>G717-F717+G725</f>
        <v>0</v>
      </c>
      <c r="H733" s="1015">
        <f t="shared" si="276"/>
        <v>0</v>
      </c>
      <c r="I733" s="1015">
        <f t="shared" si="276"/>
        <v>0</v>
      </c>
      <c r="J733" s="1015">
        <f>J717-I717+J725</f>
        <v>0</v>
      </c>
      <c r="K733" s="1015">
        <f t="shared" si="276"/>
        <v>0</v>
      </c>
      <c r="L733" s="1015">
        <f t="shared" si="276"/>
        <v>0</v>
      </c>
      <c r="M733" s="1015">
        <f t="shared" si="276"/>
        <v>0</v>
      </c>
      <c r="N733" s="1015">
        <f t="shared" si="276"/>
        <v>0</v>
      </c>
      <c r="O733" s="1015">
        <f>O717-N717+O725</f>
        <v>0</v>
      </c>
      <c r="P733" s="1038"/>
    </row>
    <row r="734" spans="1:24" ht="15">
      <c r="B734" s="763"/>
      <c r="C734" s="719">
        <v>3</v>
      </c>
      <c r="D734" s="720" t="str">
        <f>INDEX($D$94:$D$96, MATCH($C734, $C$94:$C$96, 0))</f>
        <v>Absorption chiller</v>
      </c>
      <c r="E734" s="720"/>
      <c r="F734" s="1012"/>
      <c r="G734" s="1309">
        <f>G718-F718+G726</f>
        <v>0</v>
      </c>
      <c r="H734" s="1016">
        <f t="shared" si="276"/>
        <v>0</v>
      </c>
      <c r="I734" s="1016">
        <f t="shared" si="276"/>
        <v>0</v>
      </c>
      <c r="J734" s="1016">
        <f t="shared" si="276"/>
        <v>0</v>
      </c>
      <c r="K734" s="1016">
        <f t="shared" si="276"/>
        <v>0</v>
      </c>
      <c r="L734" s="1016">
        <f t="shared" si="276"/>
        <v>0</v>
      </c>
      <c r="M734" s="1016">
        <f t="shared" si="276"/>
        <v>0</v>
      </c>
      <c r="N734" s="1016">
        <f t="shared" si="276"/>
        <v>0</v>
      </c>
      <c r="O734" s="1016">
        <f t="shared" si="276"/>
        <v>0</v>
      </c>
      <c r="P734" s="1038"/>
    </row>
    <row r="735" spans="1:24">
      <c r="B735" s="764"/>
      <c r="C735" s="789"/>
      <c r="D735" s="717" t="s">
        <v>133</v>
      </c>
      <c r="E735" s="717"/>
      <c r="F735" s="582"/>
      <c r="G735" s="582">
        <f t="shared" ref="G735:O735" si="277">SUM(G732:G734)</f>
        <v>0</v>
      </c>
      <c r="H735" s="582">
        <f t="shared" si="277"/>
        <v>0</v>
      </c>
      <c r="I735" s="582">
        <f t="shared" si="277"/>
        <v>0</v>
      </c>
      <c r="J735" s="582">
        <f t="shared" si="277"/>
        <v>0</v>
      </c>
      <c r="K735" s="582">
        <f t="shared" si="277"/>
        <v>0</v>
      </c>
      <c r="L735" s="582">
        <f t="shared" si="277"/>
        <v>0</v>
      </c>
      <c r="M735" s="582">
        <f t="shared" si="277"/>
        <v>0</v>
      </c>
      <c r="N735" s="582">
        <f t="shared" si="277"/>
        <v>0</v>
      </c>
      <c r="O735" s="582">
        <f t="shared" si="277"/>
        <v>0</v>
      </c>
      <c r="P735" s="1038"/>
    </row>
    <row r="736" spans="1:24">
      <c r="B736" s="764"/>
      <c r="C736" s="789"/>
      <c r="D736" s="717"/>
      <c r="E736" s="717"/>
      <c r="F736" s="582"/>
      <c r="G736" s="582"/>
      <c r="H736" s="1530"/>
      <c r="I736" s="1530"/>
      <c r="J736" s="1530"/>
      <c r="K736" s="1530"/>
      <c r="L736" s="1530"/>
      <c r="M736" s="1530"/>
      <c r="N736" s="1530"/>
      <c r="O736" s="582"/>
      <c r="P736" s="1038"/>
    </row>
    <row r="739" spans="1:16" ht="15">
      <c r="B739" s="1207" t="s">
        <v>612</v>
      </c>
    </row>
    <row r="740" spans="1:16">
      <c r="B740" s="1298">
        <v>1</v>
      </c>
      <c r="C740" s="18" t="s">
        <v>939</v>
      </c>
    </row>
    <row r="741" spans="1:16">
      <c r="B741" s="1298">
        <v>2</v>
      </c>
      <c r="C741" s="18" t="s">
        <v>944</v>
      </c>
    </row>
    <row r="742" spans="1:16" s="16" customFormat="1">
      <c r="B742" s="1298">
        <v>3</v>
      </c>
      <c r="C742" s="18" t="s">
        <v>946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 spans="1:16" s="16" customFormat="1">
      <c r="B743" s="1298">
        <v>4</v>
      </c>
      <c r="C743" s="18" t="s">
        <v>945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 spans="1:16" s="16" customFormat="1">
      <c r="B744" s="1298">
        <v>5</v>
      </c>
      <c r="C744" s="18" t="s">
        <v>1006</v>
      </c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 spans="1:16" s="16" customFormat="1">
      <c r="B745" s="1298">
        <v>6</v>
      </c>
      <c r="C745" s="18" t="s">
        <v>947</v>
      </c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 spans="1:16" s="16" customFormat="1">
      <c r="B746" s="1298">
        <v>7</v>
      </c>
      <c r="C746" s="18" t="s">
        <v>881</v>
      </c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 spans="1:16" s="16" customFormat="1" ht="15">
      <c r="A747" s="527"/>
      <c r="B747" s="1298">
        <v>8</v>
      </c>
      <c r="C747" s="18" t="s">
        <v>1608</v>
      </c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 spans="1:16" s="16" customFormat="1">
      <c r="B748" s="1298">
        <v>9</v>
      </c>
      <c r="C748" s="18" t="s">
        <v>1609</v>
      </c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 spans="1:16">
      <c r="B749" s="1298"/>
    </row>
    <row r="750" spans="1:16" s="16" customFormat="1" ht="15">
      <c r="A750" s="527"/>
      <c r="B750" s="568">
        <v>1</v>
      </c>
      <c r="C750" s="1298" t="s">
        <v>991</v>
      </c>
      <c r="D750" s="1298"/>
      <c r="E750" s="568"/>
      <c r="F750" s="1243">
        <v>2007</v>
      </c>
      <c r="G750" s="1243">
        <v>2010</v>
      </c>
      <c r="H750" s="1243">
        <v>2015</v>
      </c>
      <c r="I750" s="1243">
        <v>2020</v>
      </c>
      <c r="J750" s="1243">
        <v>2025</v>
      </c>
      <c r="K750" s="1243">
        <v>2030</v>
      </c>
      <c r="L750" s="1243">
        <v>2035</v>
      </c>
      <c r="M750" s="1243">
        <v>2040</v>
      </c>
      <c r="N750" s="1243">
        <v>2045</v>
      </c>
      <c r="O750" s="1243">
        <v>2050</v>
      </c>
      <c r="P750" s="18"/>
    </row>
    <row r="751" spans="1:16" s="16" customFormat="1">
      <c r="B751" s="568"/>
      <c r="C751" s="1298"/>
      <c r="D751" s="1298"/>
      <c r="E751" s="568"/>
      <c r="F751" s="541"/>
      <c r="G751" s="541"/>
      <c r="H751" s="541"/>
      <c r="I751" s="541"/>
      <c r="J751" s="541"/>
      <c r="K751" s="541"/>
      <c r="L751" s="541"/>
      <c r="M751" s="541"/>
      <c r="N751" s="541"/>
      <c r="O751" s="541"/>
      <c r="P751" s="18"/>
    </row>
    <row r="752" spans="1:16" s="16" customFormat="1">
      <c r="B752" s="568"/>
      <c r="C752" s="18" t="s">
        <v>941</v>
      </c>
      <c r="D752" s="1298"/>
      <c r="E752" s="973"/>
      <c r="F752" s="1174">
        <f>INDEX(F$58:F$61, MATCH($E$8, $C58:$C$61, 0))</f>
        <v>4.0400000000000003E-6</v>
      </c>
      <c r="G752" s="1174">
        <f>INDEX(G$58:G$61, MATCH($E$8, $C58:$C$61, 0))</f>
        <v>3.8491661721600003E-6</v>
      </c>
      <c r="H752" s="1174">
        <f>INDEX(H$58:H$61, MATCH($E$8, $C58:$C$61, 0))</f>
        <v>3.5509303392001461E-6</v>
      </c>
      <c r="I752" s="1174">
        <f>INDEX(I$58:I$61, MATCH($E$8, $C58:$C$61, 0))</f>
        <v>3.2758020074712263E-6</v>
      </c>
      <c r="J752" s="1174">
        <f>INDEX(J$58:J$61, MATCH($E$8, $C58:$C$61, 0))</f>
        <v>3.0219907931423028E-6</v>
      </c>
      <c r="K752" s="1174">
        <f>INDEX(K$58:K$61, MATCH($E$8, $C58:$C$61, 0))</f>
        <v>2.7878450324556318E-6</v>
      </c>
      <c r="L752" s="1174">
        <f>INDEX(L$58:L$61, MATCH($E$8, $C58:$C$61, 0))</f>
        <v>2.5718410336075312E-6</v>
      </c>
      <c r="M752" s="1174">
        <f>INDEX(M$58:M$61, MATCH($E$8, $C58:$C$61, 0))</f>
        <v>2.3725731614003263E-6</v>
      </c>
      <c r="N752" s="1174">
        <f>INDEX(N$58:N$61, MATCH($E$8, $C58:$C$61, 0))</f>
        <v>2.1887446901417442E-6</v>
      </c>
      <c r="O752" s="1174">
        <f>INDEX(O$58:O$61, MATCH($E$8, $C58:$C$61, 0))</f>
        <v>2.019159365267454E-6</v>
      </c>
      <c r="P752" s="18"/>
    </row>
    <row r="753" spans="2:17" s="16" customFormat="1">
      <c r="B753" s="973" t="s">
        <v>662</v>
      </c>
      <c r="C753" s="18" t="s">
        <v>679</v>
      </c>
      <c r="D753" s="18"/>
      <c r="E753" s="18"/>
      <c r="F753" s="1448">
        <f>INDEX(Global.Assumptions[Households], MATCH(F$750,Global.Assumptions[Year], 0))</f>
        <v>26042600</v>
      </c>
      <c r="G753" s="1448">
        <f>INDEX(Global.Assumptions[Households], MATCH(G$750,Global.Assumptions[Year], 0))</f>
        <v>26917400</v>
      </c>
      <c r="H753" s="1448">
        <f>INDEX(Global.Assumptions[Households], MATCH(H$750,Global.Assumptions[Year], 0))</f>
        <v>28469000</v>
      </c>
      <c r="I753" s="1448">
        <f>INDEX(Global.Assumptions[Households], MATCH(I$750,Global.Assumptions[Year], 0))</f>
        <v>30004800</v>
      </c>
      <c r="J753" s="1448">
        <f>INDEX(Global.Assumptions[Households], MATCH(J$750,Global.Assumptions[Year], 0))</f>
        <v>31434800</v>
      </c>
      <c r="K753" s="1448">
        <f>INDEX(Global.Assumptions[Households], MATCH(K$750,Global.Assumptions[Year], 0))</f>
        <v>32744800</v>
      </c>
      <c r="L753" s="1448">
        <f>INDEX(Global.Assumptions[Households], MATCH(L$750,Global.Assumptions[Year], 0))</f>
        <v>34415113.888514474</v>
      </c>
      <c r="M753" s="1448">
        <f>INDEX(Global.Assumptions[Households], MATCH(M$750,Global.Assumptions[Year], 0))</f>
        <v>36170630.572164804</v>
      </c>
      <c r="N753" s="1448">
        <f>INDEX(Global.Assumptions[Households], MATCH(N$750,Global.Assumptions[Year], 0))</f>
        <v>38015696.24979952</v>
      </c>
      <c r="O753" s="1448">
        <f>INDEX(Global.Assumptions[Households], MATCH(O$750,Global.Assumptions[Year], 0))</f>
        <v>39954878.82008817</v>
      </c>
      <c r="P753" s="18"/>
    </row>
    <row r="754" spans="2:17" s="16" customFormat="1">
      <c r="B754" s="973"/>
      <c r="C754" s="18"/>
      <c r="D754" s="18"/>
      <c r="E754" s="18"/>
      <c r="F754" s="1448"/>
      <c r="G754" s="1448"/>
      <c r="H754" s="1448"/>
      <c r="I754" s="1448"/>
      <c r="J754" s="1448"/>
      <c r="K754" s="1448"/>
      <c r="L754" s="1448"/>
      <c r="M754" s="1448"/>
      <c r="N754" s="1448"/>
      <c r="O754" s="1448"/>
      <c r="P754" s="18"/>
    </row>
    <row r="755" spans="2:17" s="16" customFormat="1">
      <c r="B755" s="983" t="s">
        <v>664</v>
      </c>
      <c r="C755" s="978" t="s">
        <v>940</v>
      </c>
      <c r="D755" s="978"/>
      <c r="E755" s="979"/>
      <c r="F755" s="556">
        <f>F752*F753</f>
        <v>105.21210400000001</v>
      </c>
      <c r="G755" s="556">
        <f t="shared" ref="G755:O755" si="278">G752*G753</f>
        <v>103.60954552249959</v>
      </c>
      <c r="H755" s="556">
        <f t="shared" si="278"/>
        <v>101.09143582668896</v>
      </c>
      <c r="I755" s="556">
        <f t="shared" si="278"/>
        <v>98.289784073772651</v>
      </c>
      <c r="J755" s="556">
        <f t="shared" si="278"/>
        <v>94.995676184269655</v>
      </c>
      <c r="K755" s="556">
        <f t="shared" si="278"/>
        <v>91.287428018753175</v>
      </c>
      <c r="L755" s="556">
        <f t="shared" si="278"/>
        <v>88.51020207475797</v>
      </c>
      <c r="M755" s="556">
        <f t="shared" si="278"/>
        <v>85.817467326444344</v>
      </c>
      <c r="N755" s="556">
        <f t="shared" si="278"/>
        <v>83.206653308790123</v>
      </c>
      <c r="O755" s="556">
        <f t="shared" si="278"/>
        <v>80.675267757707275</v>
      </c>
      <c r="Q755" s="21"/>
    </row>
    <row r="756" spans="2:17" s="16" customFormat="1">
      <c r="B756" s="981" t="s">
        <v>685</v>
      </c>
      <c r="C756" s="18" t="s">
        <v>962</v>
      </c>
      <c r="D756" s="1298"/>
      <c r="E756" s="980"/>
      <c r="F756" s="21">
        <f t="shared" ref="F756:O756" ca="1" si="279">MIN(F$31, F$755)</f>
        <v>0</v>
      </c>
      <c r="G756" s="21" t="e">
        <f t="shared" ca="1" si="279"/>
        <v>#REF!</v>
      </c>
      <c r="H756" s="21" t="e">
        <f t="shared" ca="1" si="279"/>
        <v>#REF!</v>
      </c>
      <c r="I756" s="21" t="e">
        <f t="shared" ca="1" si="279"/>
        <v>#REF!</v>
      </c>
      <c r="J756" s="21" t="e">
        <f t="shared" ca="1" si="279"/>
        <v>#REF!</v>
      </c>
      <c r="K756" s="21" t="e">
        <f t="shared" ca="1" si="279"/>
        <v>#REF!</v>
      </c>
      <c r="L756" s="21" t="e">
        <f t="shared" ca="1" si="279"/>
        <v>#REF!</v>
      </c>
      <c r="M756" s="21" t="e">
        <f t="shared" ca="1" si="279"/>
        <v>#REF!</v>
      </c>
      <c r="N756" s="21" t="e">
        <f t="shared" ca="1" si="279"/>
        <v>#REF!</v>
      </c>
      <c r="O756" s="21" t="e">
        <f t="shared" ca="1" si="279"/>
        <v>#REF!</v>
      </c>
      <c r="P756" s="18"/>
    </row>
    <row r="757" spans="2:17" s="16" customFormat="1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spans="2:17" s="16" customFormat="1">
      <c r="B758" s="568" t="s">
        <v>664</v>
      </c>
      <c r="C758" s="976" t="s">
        <v>943</v>
      </c>
      <c r="D758" s="976"/>
      <c r="E758" s="977" t="str">
        <f>Preferences.EnergyUnits</f>
        <v>TWh</v>
      </c>
      <c r="F758" s="974">
        <f t="shared" ref="F758:O758" ca="1" si="280">F$755-F$756</f>
        <v>105.21210400000001</v>
      </c>
      <c r="G758" s="974" t="e">
        <f t="shared" ca="1" si="280"/>
        <v>#REF!</v>
      </c>
      <c r="H758" s="974" t="e">
        <f t="shared" ca="1" si="280"/>
        <v>#REF!</v>
      </c>
      <c r="I758" s="974" t="e">
        <f t="shared" ca="1" si="280"/>
        <v>#REF!</v>
      </c>
      <c r="J758" s="974" t="e">
        <f t="shared" ca="1" si="280"/>
        <v>#REF!</v>
      </c>
      <c r="K758" s="974" t="e">
        <f t="shared" ca="1" si="280"/>
        <v>#REF!</v>
      </c>
      <c r="L758" s="974" t="e">
        <f t="shared" ca="1" si="280"/>
        <v>#REF!</v>
      </c>
      <c r="M758" s="974" t="e">
        <f t="shared" ca="1" si="280"/>
        <v>#REF!</v>
      </c>
      <c r="N758" s="974" t="e">
        <f t="shared" ca="1" si="280"/>
        <v>#REF!</v>
      </c>
      <c r="O758" s="974" t="e">
        <f t="shared" ca="1" si="280"/>
        <v>#REF!</v>
      </c>
      <c r="P758" s="18"/>
    </row>
    <row r="759" spans="2:17" s="16" customFormat="1">
      <c r="B759" s="568"/>
      <c r="C759" s="1298"/>
      <c r="D759" s="1298"/>
      <c r="E759" s="568"/>
      <c r="F759" s="541"/>
      <c r="G759" s="541"/>
      <c r="H759" s="541"/>
      <c r="I759" s="541"/>
      <c r="J759" s="541"/>
      <c r="K759" s="541"/>
      <c r="L759" s="541"/>
      <c r="M759" s="541"/>
      <c r="N759" s="541"/>
      <c r="O759" s="541"/>
      <c r="P759" s="18"/>
    </row>
    <row r="760" spans="2:17" s="16" customFormat="1">
      <c r="B760" s="568"/>
      <c r="C760" s="1298"/>
      <c r="D760" s="1298"/>
      <c r="E760" s="568"/>
      <c r="F760" s="541"/>
      <c r="G760" s="541"/>
      <c r="H760" s="541"/>
      <c r="I760" s="541"/>
      <c r="J760" s="541"/>
      <c r="K760" s="541"/>
      <c r="L760" s="541"/>
      <c r="M760" s="541"/>
      <c r="N760" s="541"/>
      <c r="O760" s="541"/>
      <c r="P760" s="18"/>
    </row>
    <row r="761" spans="2:17" s="16" customFormat="1">
      <c r="B761" s="1298">
        <v>2</v>
      </c>
      <c r="C761" s="1298" t="s">
        <v>1005</v>
      </c>
      <c r="D761" s="18"/>
      <c r="E761" s="568"/>
      <c r="F761" s="1243">
        <v>2007</v>
      </c>
      <c r="G761" s="1243">
        <v>2010</v>
      </c>
      <c r="H761" s="1243">
        <v>2015</v>
      </c>
      <c r="I761" s="1243">
        <v>2020</v>
      </c>
      <c r="J761" s="1243">
        <v>2025</v>
      </c>
      <c r="K761" s="1243">
        <v>2030</v>
      </c>
      <c r="L761" s="1243">
        <v>2035</v>
      </c>
      <c r="M761" s="1243">
        <v>2040</v>
      </c>
      <c r="N761" s="1243">
        <v>2045</v>
      </c>
      <c r="O761" s="1243">
        <v>2050</v>
      </c>
      <c r="P761" s="18"/>
    </row>
    <row r="762" spans="2:17" s="16" customFormat="1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 spans="2:17" s="16" customFormat="1">
      <c r="B763" s="973">
        <v>1</v>
      </c>
      <c r="C763" s="18" t="str">
        <f t="shared" ref="C763:C775" si="281">INDEX($D$76:$D$88, MATCH($B763, $C$76:$C$88, 0))</f>
        <v>Gas boiler (old)</v>
      </c>
      <c r="D763" s="18"/>
      <c r="E763" s="18"/>
      <c r="F763" s="21">
        <f t="array" aca="1" ref="F763:F775" ca="1">F$758*F$624:F$636</f>
        <v>70.492109680000013</v>
      </c>
      <c r="G763" s="21" t="e">
        <f t="array" aca="1" ref="G763:G775" ca="1">G$758*G$624:G$636</f>
        <v>#REF!</v>
      </c>
      <c r="H763" s="21" t="e">
        <f t="array" aca="1" ref="H763:H775" ca="1">H$758*H$624:H$636</f>
        <v>#REF!</v>
      </c>
      <c r="I763" s="21" t="e">
        <f t="array" aca="1" ref="I763:I775" ca="1">I$758*I$624:I$636</f>
        <v>#REF!</v>
      </c>
      <c r="J763" s="21" t="e">
        <f t="array" aca="1" ref="J763:J775" ca="1">J$758*J$624:J$636</f>
        <v>#REF!</v>
      </c>
      <c r="K763" s="21" t="e">
        <f t="array" aca="1" ref="K763:K775" ca="1">K$758*K$624:K$636</f>
        <v>#REF!</v>
      </c>
      <c r="L763" s="21" t="e">
        <f t="array" aca="1" ref="L763:L775" ca="1">L$758*L$624:L$636</f>
        <v>#REF!</v>
      </c>
      <c r="M763" s="21" t="e">
        <f t="array" aca="1" ref="M763:M775" ca="1">M$758*M$624:M$636</f>
        <v>#REF!</v>
      </c>
      <c r="N763" s="21" t="e">
        <f t="array" aca="1" ref="N763:N775" ca="1">N$758*N$624:N$636</f>
        <v>#REF!</v>
      </c>
      <c r="O763" s="21" t="e">
        <f t="array" aca="1" ref="O763:O775" ca="1">O$758*O$624:O$636</f>
        <v>#REF!</v>
      </c>
      <c r="P763" s="18"/>
    </row>
    <row r="764" spans="2:17" s="16" customFormat="1">
      <c r="B764" s="973">
        <v>2</v>
      </c>
      <c r="C764" s="18" t="str">
        <f t="shared" si="281"/>
        <v>Gas boiler (new)</v>
      </c>
      <c r="D764" s="18"/>
      <c r="E764" s="18"/>
      <c r="F764" s="21">
        <f ca="1"/>
        <v>15.781815600000002</v>
      </c>
      <c r="G764" s="21" t="e">
        <f ca="1"/>
        <v>#REF!</v>
      </c>
      <c r="H764" s="21" t="e">
        <f ca="1"/>
        <v>#REF!</v>
      </c>
      <c r="I764" s="21" t="e">
        <f ca="1"/>
        <v>#REF!</v>
      </c>
      <c r="J764" s="21" t="e">
        <f ca="1"/>
        <v>#REF!</v>
      </c>
      <c r="K764" s="21" t="e">
        <f ca="1"/>
        <v>#REF!</v>
      </c>
      <c r="L764" s="21" t="e">
        <f ca="1"/>
        <v>#REF!</v>
      </c>
      <c r="M764" s="21" t="e">
        <f ca="1"/>
        <v>#REF!</v>
      </c>
      <c r="N764" s="21" t="e">
        <f ca="1"/>
        <v>#REF!</v>
      </c>
      <c r="O764" s="21" t="e">
        <f ca="1"/>
        <v>#REF!</v>
      </c>
      <c r="P764" s="18"/>
    </row>
    <row r="765" spans="2:17" s="16" customFormat="1">
      <c r="B765" s="973">
        <v>3</v>
      </c>
      <c r="C765" s="18" t="str">
        <f t="shared" si="281"/>
        <v>Resistive heating</v>
      </c>
      <c r="D765" s="18"/>
      <c r="E765" s="18"/>
      <c r="F765" s="21">
        <f ca="1"/>
        <v>10.521210400000001</v>
      </c>
      <c r="G765" s="21" t="e">
        <f ca="1"/>
        <v>#REF!</v>
      </c>
      <c r="H765" s="21" t="e">
        <f ca="1"/>
        <v>#REF!</v>
      </c>
      <c r="I765" s="21" t="e">
        <f ca="1"/>
        <v>#REF!</v>
      </c>
      <c r="J765" s="21" t="e">
        <f ca="1"/>
        <v>#REF!</v>
      </c>
      <c r="K765" s="21" t="e">
        <f ca="1"/>
        <v>#REF!</v>
      </c>
      <c r="L765" s="21" t="e">
        <f ca="1"/>
        <v>#REF!</v>
      </c>
      <c r="M765" s="21" t="e">
        <f ca="1"/>
        <v>#REF!</v>
      </c>
      <c r="N765" s="21" t="e">
        <f ca="1"/>
        <v>#REF!</v>
      </c>
      <c r="O765" s="21" t="e">
        <f ca="1"/>
        <v>#REF!</v>
      </c>
      <c r="P765" s="18"/>
    </row>
    <row r="766" spans="2:17" s="16" customFormat="1">
      <c r="B766" s="973">
        <v>4</v>
      </c>
      <c r="C766" s="18" t="str">
        <f t="shared" si="281"/>
        <v>Oil-fired boiler</v>
      </c>
      <c r="D766" s="18"/>
      <c r="E766" s="18"/>
      <c r="F766" s="21">
        <f ca="1"/>
        <v>4.2084841600000003</v>
      </c>
      <c r="G766" s="21" t="e">
        <f ca="1"/>
        <v>#REF!</v>
      </c>
      <c r="H766" s="21" t="e">
        <f ca="1"/>
        <v>#REF!</v>
      </c>
      <c r="I766" s="21" t="e">
        <f ca="1"/>
        <v>#REF!</v>
      </c>
      <c r="J766" s="21" t="e">
        <f ca="1"/>
        <v>#REF!</v>
      </c>
      <c r="K766" s="21" t="e">
        <f ca="1"/>
        <v>#REF!</v>
      </c>
      <c r="L766" s="21" t="e">
        <f ca="1"/>
        <v>#REF!</v>
      </c>
      <c r="M766" s="21" t="e">
        <f ca="1"/>
        <v>#REF!</v>
      </c>
      <c r="N766" s="21" t="e">
        <f ca="1"/>
        <v>#REF!</v>
      </c>
      <c r="O766" s="21" t="e">
        <f ca="1"/>
        <v>#REF!</v>
      </c>
      <c r="P766" s="18"/>
    </row>
    <row r="767" spans="2:17" s="16" customFormat="1">
      <c r="B767" s="973">
        <v>5</v>
      </c>
      <c r="C767" s="18" t="str">
        <f t="shared" si="281"/>
        <v>Solid-fuel boiler</v>
      </c>
      <c r="D767" s="18"/>
      <c r="E767" s="18"/>
      <c r="F767" s="21">
        <f ca="1"/>
        <v>4.2084841600000003</v>
      </c>
      <c r="G767" s="21" t="e">
        <f ca="1"/>
        <v>#REF!</v>
      </c>
      <c r="H767" s="21" t="e">
        <f ca="1"/>
        <v>#REF!</v>
      </c>
      <c r="I767" s="21" t="e">
        <f ca="1"/>
        <v>#REF!</v>
      </c>
      <c r="J767" s="21" t="e">
        <f ca="1"/>
        <v>#REF!</v>
      </c>
      <c r="K767" s="21" t="e">
        <f ca="1"/>
        <v>#REF!</v>
      </c>
      <c r="L767" s="21" t="e">
        <f ca="1"/>
        <v>#REF!</v>
      </c>
      <c r="M767" s="21" t="e">
        <f ca="1"/>
        <v>#REF!</v>
      </c>
      <c r="N767" s="21" t="e">
        <f ca="1"/>
        <v>#REF!</v>
      </c>
      <c r="O767" s="21" t="e">
        <f ca="1"/>
        <v>#REF!</v>
      </c>
      <c r="P767" s="18"/>
    </row>
    <row r="768" spans="2:17" s="16" customFormat="1">
      <c r="B768" s="973">
        <v>6</v>
      </c>
      <c r="C768" s="18" t="str">
        <f t="shared" si="281"/>
        <v>Stirling engine micro-CHP</v>
      </c>
      <c r="D768" s="18"/>
      <c r="E768" s="18"/>
      <c r="F768" s="21">
        <f ca="1"/>
        <v>0</v>
      </c>
      <c r="G768" s="21" t="e">
        <f ca="1"/>
        <v>#REF!</v>
      </c>
      <c r="H768" s="21" t="e">
        <f ca="1"/>
        <v>#REF!</v>
      </c>
      <c r="I768" s="21" t="e">
        <f ca="1"/>
        <v>#REF!</v>
      </c>
      <c r="J768" s="21" t="e">
        <f ca="1"/>
        <v>#REF!</v>
      </c>
      <c r="K768" s="21" t="e">
        <f ca="1"/>
        <v>#REF!</v>
      </c>
      <c r="L768" s="21" t="e">
        <f ca="1"/>
        <v>#REF!</v>
      </c>
      <c r="M768" s="21" t="e">
        <f ca="1"/>
        <v>#REF!</v>
      </c>
      <c r="N768" s="21" t="e">
        <f ca="1"/>
        <v>#REF!</v>
      </c>
      <c r="O768" s="21" t="e">
        <f ca="1"/>
        <v>#REF!</v>
      </c>
      <c r="P768" s="18"/>
    </row>
    <row r="769" spans="1:25" s="16" customFormat="1">
      <c r="B769" s="973">
        <v>7</v>
      </c>
      <c r="C769" s="18" t="str">
        <f t="shared" si="281"/>
        <v>Fuel-cell micro-CHP</v>
      </c>
      <c r="D769" s="18"/>
      <c r="E769" s="18"/>
      <c r="F769" s="21">
        <f ca="1"/>
        <v>0</v>
      </c>
      <c r="G769" s="21" t="e">
        <f ca="1"/>
        <v>#REF!</v>
      </c>
      <c r="H769" s="21" t="e">
        <f ca="1"/>
        <v>#REF!</v>
      </c>
      <c r="I769" s="21" t="e">
        <f ca="1"/>
        <v>#REF!</v>
      </c>
      <c r="J769" s="21" t="e">
        <f ca="1"/>
        <v>#REF!</v>
      </c>
      <c r="K769" s="21" t="e">
        <f ca="1"/>
        <v>#REF!</v>
      </c>
      <c r="L769" s="21" t="e">
        <f ca="1"/>
        <v>#REF!</v>
      </c>
      <c r="M769" s="21" t="e">
        <f ca="1"/>
        <v>#REF!</v>
      </c>
      <c r="N769" s="21" t="e">
        <f ca="1"/>
        <v>#REF!</v>
      </c>
      <c r="O769" s="21" t="e">
        <f ca="1"/>
        <v>#REF!</v>
      </c>
      <c r="P769" s="18"/>
    </row>
    <row r="770" spans="1:25" s="16" customFormat="1">
      <c r="B770" s="973">
        <v>8</v>
      </c>
      <c r="C770" s="18" t="str">
        <f t="shared" si="281"/>
        <v>Air-source heat pump</v>
      </c>
      <c r="D770" s="18"/>
      <c r="E770" s="18"/>
      <c r="F770" s="21">
        <f ca="1"/>
        <v>0</v>
      </c>
      <c r="G770" s="21" t="e">
        <f ca="1"/>
        <v>#REF!</v>
      </c>
      <c r="H770" s="21" t="e">
        <f ca="1"/>
        <v>#REF!</v>
      </c>
      <c r="I770" s="21" t="e">
        <f ca="1"/>
        <v>#REF!</v>
      </c>
      <c r="J770" s="21" t="e">
        <f ca="1"/>
        <v>#REF!</v>
      </c>
      <c r="K770" s="21" t="e">
        <f ca="1"/>
        <v>#REF!</v>
      </c>
      <c r="L770" s="21" t="e">
        <f ca="1"/>
        <v>#REF!</v>
      </c>
      <c r="M770" s="21" t="e">
        <f ca="1"/>
        <v>#REF!</v>
      </c>
      <c r="N770" s="21" t="e">
        <f ca="1"/>
        <v>#REF!</v>
      </c>
      <c r="O770" s="21" t="e">
        <f ca="1"/>
        <v>#REF!</v>
      </c>
      <c r="P770" s="18"/>
    </row>
    <row r="771" spans="1:25" s="16" customFormat="1">
      <c r="B771" s="973">
        <v>9</v>
      </c>
      <c r="C771" s="18" t="str">
        <f t="shared" si="281"/>
        <v>Ground-source heat pump</v>
      </c>
      <c r="D771" s="18"/>
      <c r="E771" s="18"/>
      <c r="F771" s="21">
        <f ca="1"/>
        <v>0</v>
      </c>
      <c r="G771" s="21" t="e">
        <f ca="1"/>
        <v>#REF!</v>
      </c>
      <c r="H771" s="21" t="e">
        <f ca="1"/>
        <v>#REF!</v>
      </c>
      <c r="I771" s="21" t="e">
        <f ca="1"/>
        <v>#REF!</v>
      </c>
      <c r="J771" s="21" t="e">
        <f ca="1"/>
        <v>#REF!</v>
      </c>
      <c r="K771" s="21" t="e">
        <f ca="1"/>
        <v>#REF!</v>
      </c>
      <c r="L771" s="21" t="e">
        <f ca="1"/>
        <v>#REF!</v>
      </c>
      <c r="M771" s="21" t="e">
        <f ca="1"/>
        <v>#REF!</v>
      </c>
      <c r="N771" s="21" t="e">
        <f ca="1"/>
        <v>#REF!</v>
      </c>
      <c r="O771" s="21" t="e">
        <f ca="1"/>
        <v>#REF!</v>
      </c>
      <c r="P771" s="18"/>
    </row>
    <row r="772" spans="1:25" s="16" customFormat="1">
      <c r="B772" s="973">
        <v>10</v>
      </c>
      <c r="C772" s="18" t="str">
        <f t="shared" si="281"/>
        <v>Geothermal electricity</v>
      </c>
      <c r="D772" s="18"/>
      <c r="E772" s="18"/>
      <c r="F772" s="21">
        <f ca="1"/>
        <v>0</v>
      </c>
      <c r="G772" s="21" t="e">
        <f ca="1"/>
        <v>#REF!</v>
      </c>
      <c r="H772" s="21" t="e">
        <f ca="1"/>
        <v>#REF!</v>
      </c>
      <c r="I772" s="21" t="e">
        <f ca="1"/>
        <v>#REF!</v>
      </c>
      <c r="J772" s="21" t="e">
        <f ca="1"/>
        <v>#REF!</v>
      </c>
      <c r="K772" s="21" t="e">
        <f ca="1"/>
        <v>#REF!</v>
      </c>
      <c r="L772" s="21" t="e">
        <f ca="1"/>
        <v>#REF!</v>
      </c>
      <c r="M772" s="21" t="e">
        <f ca="1"/>
        <v>#REF!</v>
      </c>
      <c r="N772" s="21" t="e">
        <f ca="1"/>
        <v>#REF!</v>
      </c>
      <c r="O772" s="21" t="e">
        <f ca="1"/>
        <v>#REF!</v>
      </c>
      <c r="P772" s="18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s="16" customFormat="1">
      <c r="B773" s="973">
        <v>11</v>
      </c>
      <c r="C773" s="18" t="str">
        <f t="shared" si="281"/>
        <v>Community scale gas CHP with local district heating</v>
      </c>
      <c r="D773" s="18"/>
      <c r="E773" s="18"/>
      <c r="F773" s="21">
        <f ca="1"/>
        <v>0</v>
      </c>
      <c r="G773" s="21" t="e">
        <f ca="1"/>
        <v>#REF!</v>
      </c>
      <c r="H773" s="21" t="e">
        <f ca="1"/>
        <v>#REF!</v>
      </c>
      <c r="I773" s="21" t="e">
        <f ca="1"/>
        <v>#REF!</v>
      </c>
      <c r="J773" s="21" t="e">
        <f ca="1"/>
        <v>#REF!</v>
      </c>
      <c r="K773" s="21" t="e">
        <f ca="1"/>
        <v>#REF!</v>
      </c>
      <c r="L773" s="21" t="e">
        <f ca="1"/>
        <v>#REF!</v>
      </c>
      <c r="M773" s="21" t="e">
        <f ca="1"/>
        <v>#REF!</v>
      </c>
      <c r="N773" s="21" t="e">
        <f ca="1"/>
        <v>#REF!</v>
      </c>
      <c r="O773" s="21" t="e">
        <f ca="1"/>
        <v>#REF!</v>
      </c>
      <c r="P773" s="18"/>
      <c r="R773" s="21"/>
      <c r="V773" s="21"/>
      <c r="W773" s="21"/>
      <c r="X773" s="21"/>
      <c r="Y773" s="21"/>
    </row>
    <row r="774" spans="1:25" s="16" customFormat="1">
      <c r="B774" s="973">
        <v>12</v>
      </c>
      <c r="C774" s="18" t="str">
        <f t="shared" si="281"/>
        <v>Community scale solid-fuel CHP with local district heating</v>
      </c>
      <c r="D774" s="18"/>
      <c r="E774" s="18"/>
      <c r="F774" s="21">
        <f ca="1"/>
        <v>0</v>
      </c>
      <c r="G774" s="21" t="e">
        <f ca="1"/>
        <v>#REF!</v>
      </c>
      <c r="H774" s="21" t="e">
        <f ca="1"/>
        <v>#REF!</v>
      </c>
      <c r="I774" s="21" t="e">
        <f ca="1"/>
        <v>#REF!</v>
      </c>
      <c r="J774" s="21" t="e">
        <f ca="1"/>
        <v>#REF!</v>
      </c>
      <c r="K774" s="21" t="e">
        <f ca="1"/>
        <v>#REF!</v>
      </c>
      <c r="L774" s="21" t="e">
        <f ca="1"/>
        <v>#REF!</v>
      </c>
      <c r="M774" s="21" t="e">
        <f ca="1"/>
        <v>#REF!</v>
      </c>
      <c r="N774" s="21" t="e">
        <f ca="1"/>
        <v>#REF!</v>
      </c>
      <c r="O774" s="21" t="e">
        <f ca="1"/>
        <v>#REF!</v>
      </c>
      <c r="P774" s="18"/>
      <c r="V774" s="21"/>
      <c r="W774" s="21"/>
      <c r="X774" s="21"/>
      <c r="Y774" s="21"/>
    </row>
    <row r="775" spans="1:25" s="16" customFormat="1">
      <c r="B775" s="973">
        <v>13</v>
      </c>
      <c r="C775" s="18" t="str">
        <f t="shared" si="281"/>
        <v>Long distance district heating from large power stations</v>
      </c>
      <c r="D775" s="18"/>
      <c r="E775" s="18"/>
      <c r="F775" s="21">
        <f ca="1"/>
        <v>0</v>
      </c>
      <c r="G775" s="21" t="e">
        <f ca="1"/>
        <v>#REF!</v>
      </c>
      <c r="H775" s="21" t="e">
        <f ca="1"/>
        <v>#REF!</v>
      </c>
      <c r="I775" s="21" t="e">
        <f ca="1"/>
        <v>#REF!</v>
      </c>
      <c r="J775" s="21" t="e">
        <f ca="1"/>
        <v>#REF!</v>
      </c>
      <c r="K775" s="21" t="e">
        <f ca="1"/>
        <v>#REF!</v>
      </c>
      <c r="L775" s="21" t="e">
        <f ca="1"/>
        <v>#REF!</v>
      </c>
      <c r="M775" s="21" t="e">
        <f ca="1"/>
        <v>#REF!</v>
      </c>
      <c r="N775" s="21" t="e">
        <f ca="1"/>
        <v>#REF!</v>
      </c>
      <c r="O775" s="21" t="e">
        <f ca="1"/>
        <v>#REF!</v>
      </c>
      <c r="P775" s="18"/>
      <c r="W775" s="21"/>
      <c r="X775" s="21"/>
      <c r="Y775" s="21"/>
    </row>
    <row r="776" spans="1:25" s="16" customFormat="1">
      <c r="B776" s="973"/>
      <c r="C776" s="18"/>
      <c r="D776" s="18"/>
      <c r="E776" s="568" t="str">
        <f>Preferences.EnergyUnits</f>
        <v>TWh</v>
      </c>
      <c r="F776" s="984">
        <f t="shared" ref="F776:O776" ca="1" si="282">SUM(F763:F775)</f>
        <v>105.21210400000001</v>
      </c>
      <c r="G776" s="984" t="e">
        <f t="shared" ca="1" si="282"/>
        <v>#REF!</v>
      </c>
      <c r="H776" s="984" t="e">
        <f t="shared" ca="1" si="282"/>
        <v>#REF!</v>
      </c>
      <c r="I776" s="984" t="e">
        <f t="shared" ca="1" si="282"/>
        <v>#REF!</v>
      </c>
      <c r="J776" s="984" t="e">
        <f t="shared" ca="1" si="282"/>
        <v>#REF!</v>
      </c>
      <c r="K776" s="984" t="e">
        <f t="shared" ca="1" si="282"/>
        <v>#REF!</v>
      </c>
      <c r="L776" s="984" t="e">
        <f t="shared" ca="1" si="282"/>
        <v>#REF!</v>
      </c>
      <c r="M776" s="984" t="e">
        <f t="shared" ca="1" si="282"/>
        <v>#REF!</v>
      </c>
      <c r="N776" s="984" t="e">
        <f t="shared" ca="1" si="282"/>
        <v>#REF!</v>
      </c>
      <c r="O776" s="984" t="e">
        <f t="shared" ca="1" si="282"/>
        <v>#REF!</v>
      </c>
      <c r="P776" s="18"/>
      <c r="Q776" s="21"/>
      <c r="W776" s="21"/>
      <c r="X776" s="21"/>
      <c r="Y776" s="21"/>
    </row>
    <row r="777" spans="1:25" s="16" customFormat="1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W777" s="21"/>
      <c r="X777" s="21"/>
      <c r="Y777" s="21"/>
    </row>
    <row r="778" spans="1:25" s="16" customFormat="1">
      <c r="B778" s="1298"/>
      <c r="C778" s="1298" t="s">
        <v>694</v>
      </c>
      <c r="D778" s="18"/>
      <c r="E778" s="56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W778" s="21"/>
      <c r="X778" s="21"/>
      <c r="Y778" s="21"/>
    </row>
    <row r="779" spans="1:25" s="16" customFormat="1">
      <c r="B779" s="18"/>
      <c r="C779" s="18"/>
      <c r="D779" s="18"/>
      <c r="E779" s="18"/>
      <c r="F779" s="21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W779" s="21"/>
      <c r="X779" s="21"/>
      <c r="Y779" s="21"/>
    </row>
    <row r="780" spans="1:25" s="16" customFormat="1">
      <c r="B780" s="973" t="s">
        <v>40</v>
      </c>
      <c r="C780" s="16" t="str">
        <f>INDEX(Vectors[Description], MATCH($B780, Vectors[Code], 0))</f>
        <v>Electricity (delivered to end user)</v>
      </c>
      <c r="D780" s="18"/>
      <c r="E780" s="18"/>
      <c r="F780" s="21">
        <f t="array" aca="1" ref="F780" ca="1">SUM(F$763:F$775/$M$147:$M$159*($B780=$F$146:$N$146)*($F$147:$N$159))</f>
        <v>-10.521210400000001</v>
      </c>
      <c r="G780" s="21" t="e">
        <f t="array" aca="1" ref="G780" ca="1">SUM(G$763:G$775/$M$147:$M$159*($B780=$F$146:$N$146)*($F$147:$N$159))</f>
        <v>#REF!</v>
      </c>
      <c r="H780" s="21" t="e">
        <f t="array" aca="1" ref="H780" ca="1">SUM(H$763:H$775/$M$147:$M$159*($B780=$F$146:$N$146)*($F$147:$N$159))</f>
        <v>#REF!</v>
      </c>
      <c r="I780" s="21" t="e">
        <f t="array" aca="1" ref="I780" ca="1">SUM(I$763:I$775/$M$147:$M$159*($B780=$F$146:$N$146)*($F$147:$N$159))</f>
        <v>#REF!</v>
      </c>
      <c r="J780" s="21" t="e">
        <f t="array" aca="1" ref="J780" ca="1">SUM(J$763:J$775/$M$147:$M$159*($B780=$F$146:$N$146)*($F$147:$N$159))</f>
        <v>#REF!</v>
      </c>
      <c r="K780" s="21" t="e">
        <f t="array" aca="1" ref="K780" ca="1">SUM(K$763:K$775/$M$147:$M$159*($B780=$F$146:$N$146)*($F$147:$N$159))</f>
        <v>#REF!</v>
      </c>
      <c r="L780" s="21" t="e">
        <f t="array" aca="1" ref="L780" ca="1">SUM(L$763:L$775/$M$147:$M$159*($B780=$F$146:$N$146)*($F$147:$N$159))</f>
        <v>#REF!</v>
      </c>
      <c r="M780" s="21" t="e">
        <f t="array" aca="1" ref="M780" ca="1">SUM(M$763:M$775/$M$147:$M$159*($B780=$F$146:$N$146)*($F$147:$N$159))</f>
        <v>#REF!</v>
      </c>
      <c r="N780" s="21" t="e">
        <f t="array" aca="1" ref="N780" ca="1">SUM(N$763:N$775/$M$147:$M$159*($B780=$F$146:$N$146)*($F$147:$N$159))</f>
        <v>#REF!</v>
      </c>
      <c r="O780" s="21" t="e">
        <f t="array" aca="1" ref="O780" ca="1">SUM(O$763:O$775/$M$147:$M$159*($B780=$F$146:$N$146)*($F$147:$N$159))</f>
        <v>#REF!</v>
      </c>
      <c r="P780" s="18"/>
      <c r="W780" s="21"/>
      <c r="X780" s="21"/>
      <c r="Y780" s="21"/>
    </row>
    <row r="781" spans="1:25" s="16" customFormat="1">
      <c r="B781" s="973" t="s">
        <v>41</v>
      </c>
      <c r="C781" s="16" t="str">
        <f>INDEX(Vectors[Description], MATCH($B781, Vectors[Code], 0))</f>
        <v>Electricity (supplied to grid)</v>
      </c>
      <c r="D781" s="18"/>
      <c r="E781" s="18"/>
      <c r="F781" s="21">
        <f t="array" aca="1" ref="F781" ca="1">SUM(F$763:F$775/$M$147:$M$159*($B781=$F$146:$N$146)*($F$147:$N$159))</f>
        <v>0</v>
      </c>
      <c r="G781" s="21" t="e">
        <f t="array" aca="1" ref="G781" ca="1">SUM(G$763:G$775/$M$147:$M$159*($B781=$F$146:$N$146)*($F$147:$N$159))</f>
        <v>#REF!</v>
      </c>
      <c r="H781" s="21" t="e">
        <f t="array" aca="1" ref="H781" ca="1">SUM(H$763:H$775/$M$147:$M$159*($B781=$F$146:$N$146)*($F$147:$N$159))</f>
        <v>#REF!</v>
      </c>
      <c r="I781" s="21" t="e">
        <f t="array" aca="1" ref="I781" ca="1">SUM(I$763:I$775/$M$147:$M$159*($B781=$F$146:$N$146)*($F$147:$N$159))</f>
        <v>#REF!</v>
      </c>
      <c r="J781" s="21" t="e">
        <f t="array" aca="1" ref="J781" ca="1">SUM(J$763:J$775/$M$147:$M$159*($B781=$F$146:$N$146)*($F$147:$N$159))</f>
        <v>#REF!</v>
      </c>
      <c r="K781" s="21" t="e">
        <f t="array" aca="1" ref="K781" ca="1">SUM(K$763:K$775/$M$147:$M$159*($B781=$F$146:$N$146)*($F$147:$N$159))</f>
        <v>#REF!</v>
      </c>
      <c r="L781" s="21" t="e">
        <f t="array" aca="1" ref="L781" ca="1">SUM(L$763:L$775/$M$147:$M$159*($B781=$F$146:$N$146)*($F$147:$N$159))</f>
        <v>#REF!</v>
      </c>
      <c r="M781" s="21" t="e">
        <f t="array" aca="1" ref="M781" ca="1">SUM(M$763:M$775/$M$147:$M$159*($B781=$F$146:$N$146)*($F$147:$N$159))</f>
        <v>#REF!</v>
      </c>
      <c r="N781" s="21" t="e">
        <f t="array" aca="1" ref="N781" ca="1">SUM(N$763:N$775/$M$147:$M$159*($B781=$F$146:$N$146)*($F$147:$N$159))</f>
        <v>#REF!</v>
      </c>
      <c r="O781" s="21" t="e">
        <f t="array" aca="1" ref="O781" ca="1">SUM(O$763:O$775/$M$147:$M$159*($B781=$F$146:$N$146)*($F$147:$N$159))</f>
        <v>#REF!</v>
      </c>
      <c r="P781" s="18"/>
      <c r="W781" s="21"/>
      <c r="X781" s="21"/>
      <c r="Y781" s="21"/>
    </row>
    <row r="782" spans="1:25" s="16" customFormat="1">
      <c r="B782" s="973" t="s">
        <v>42</v>
      </c>
      <c r="C782" s="16" t="str">
        <f>INDEX(Vectors[Description], MATCH($B782, Vectors[Code], 0))</f>
        <v>Solid hydrocarbons</v>
      </c>
      <c r="D782" s="18"/>
      <c r="E782" s="18"/>
      <c r="F782" s="21">
        <f t="array" aca="1" ref="F782" ca="1">SUM(F$763:F$775/$M$147:$M$159*($B782=$F$146:$N$146)*($F$147:$N$159))</f>
        <v>-4.8373381149425292</v>
      </c>
      <c r="G782" s="21" t="e">
        <f t="array" aca="1" ref="G782" ca="1">SUM(G$763:G$775/$M$147:$M$159*($B782=$F$146:$N$146)*($F$147:$N$159))</f>
        <v>#REF!</v>
      </c>
      <c r="H782" s="21" t="e">
        <f t="array" aca="1" ref="H782" ca="1">SUM(H$763:H$775/$M$147:$M$159*($B782=$F$146:$N$146)*($F$147:$N$159))</f>
        <v>#REF!</v>
      </c>
      <c r="I782" s="21" t="e">
        <f t="array" aca="1" ref="I782" ca="1">SUM(I$763:I$775/$M$147:$M$159*($B782=$F$146:$N$146)*($F$147:$N$159))</f>
        <v>#REF!</v>
      </c>
      <c r="J782" s="21" t="e">
        <f t="array" aca="1" ref="J782" ca="1">SUM(J$763:J$775/$M$147:$M$159*($B782=$F$146:$N$146)*($F$147:$N$159))</f>
        <v>#REF!</v>
      </c>
      <c r="K782" s="21" t="e">
        <f t="array" aca="1" ref="K782" ca="1">SUM(K$763:K$775/$M$147:$M$159*($B782=$F$146:$N$146)*($F$147:$N$159))</f>
        <v>#REF!</v>
      </c>
      <c r="L782" s="21" t="e">
        <f t="array" aca="1" ref="L782" ca="1">SUM(L$763:L$775/$M$147:$M$159*($B782=$F$146:$N$146)*($F$147:$N$159))</f>
        <v>#REF!</v>
      </c>
      <c r="M782" s="21" t="e">
        <f t="array" aca="1" ref="M782" ca="1">SUM(M$763:M$775/$M$147:$M$159*($B782=$F$146:$N$146)*($F$147:$N$159))</f>
        <v>#REF!</v>
      </c>
      <c r="N782" s="21" t="e">
        <f t="array" aca="1" ref="N782" ca="1">SUM(N$763:N$775/$M$147:$M$159*($B782=$F$146:$N$146)*($F$147:$N$159))</f>
        <v>#REF!</v>
      </c>
      <c r="O782" s="21" t="e">
        <f t="array" aca="1" ref="O782" ca="1">SUM(O$763:O$775/$M$147:$M$159*($B782=$F$146:$N$146)*($F$147:$N$159))</f>
        <v>#REF!</v>
      </c>
      <c r="P782" s="18"/>
    </row>
    <row r="783" spans="1:25">
      <c r="B783" s="973" t="s">
        <v>44</v>
      </c>
      <c r="C783" s="16" t="str">
        <f>INDEX(Vectors[Description], MATCH($B783, Vectors[Code], 0))</f>
        <v>Liquid hydrocarbons</v>
      </c>
      <c r="F783" s="21">
        <f t="array" aca="1" ref="F783" ca="1">SUM(F$763:F$775/$M$147:$M$159*($B783=$F$146:$N$146)*($F$147:$N$159))</f>
        <v>-4.338643463917526</v>
      </c>
      <c r="G783" s="21" t="e">
        <f t="array" aca="1" ref="G783" ca="1">SUM(G$763:G$775/$M$147:$M$159*($B783=$F$146:$N$146)*($F$147:$N$159))</f>
        <v>#REF!</v>
      </c>
      <c r="H783" s="21" t="e">
        <f t="array" aca="1" ref="H783" ca="1">SUM(H$763:H$775/$M$147:$M$159*($B783=$F$146:$N$146)*($F$147:$N$159))</f>
        <v>#REF!</v>
      </c>
      <c r="I783" s="21" t="e">
        <f t="array" aca="1" ref="I783" ca="1">SUM(I$763:I$775/$M$147:$M$159*($B783=$F$146:$N$146)*($F$147:$N$159))</f>
        <v>#REF!</v>
      </c>
      <c r="J783" s="21" t="e">
        <f t="array" aca="1" ref="J783" ca="1">SUM(J$763:J$775/$M$147:$M$159*($B783=$F$146:$N$146)*($F$147:$N$159))</f>
        <v>#REF!</v>
      </c>
      <c r="K783" s="21" t="e">
        <f t="array" aca="1" ref="K783" ca="1">SUM(K$763:K$775/$M$147:$M$159*($B783=$F$146:$N$146)*($F$147:$N$159))</f>
        <v>#REF!</v>
      </c>
      <c r="L783" s="21" t="e">
        <f t="array" aca="1" ref="L783" ca="1">SUM(L$763:L$775/$M$147:$M$159*($B783=$F$146:$N$146)*($F$147:$N$159))</f>
        <v>#REF!</v>
      </c>
      <c r="M783" s="21" t="e">
        <f t="array" aca="1" ref="M783" ca="1">SUM(M$763:M$775/$M$147:$M$159*($B783=$F$146:$N$146)*($F$147:$N$159))</f>
        <v>#REF!</v>
      </c>
      <c r="N783" s="21" t="e">
        <f t="array" aca="1" ref="N783" ca="1">SUM(N$763:N$775/$M$147:$M$159*($B783=$F$146:$N$146)*($F$147:$N$159))</f>
        <v>#REF!</v>
      </c>
      <c r="O783" s="21" t="e">
        <f t="array" aca="1" ref="O783" ca="1">SUM(O$763:O$775/$M$147:$M$159*($B783=$F$146:$N$146)*($F$147:$N$159))</f>
        <v>#REF!</v>
      </c>
    </row>
    <row r="784" spans="1:25">
      <c r="A784" s="1298"/>
      <c r="B784" s="973" t="s">
        <v>45</v>
      </c>
      <c r="C784" s="16" t="str">
        <f>INDEX(Vectors[Description], MATCH($B784, Vectors[Code], 0))</f>
        <v>Gaseous hydrocarbons</v>
      </c>
      <c r="F784" s="21">
        <f t="array" aca="1" ref="F784" ca="1">SUM(F$763:F$775/$M$147:$M$159*($B784=$F$146:$N$146)*($F$147:$N$159))</f>
        <v>-110.09543040023136</v>
      </c>
      <c r="G784" s="21" t="e">
        <f t="array" aca="1" ref="G784" ca="1">SUM(G$763:G$775/$M$147:$M$159*($B784=$F$146:$N$146)*($F$147:$N$159))</f>
        <v>#REF!</v>
      </c>
      <c r="H784" s="21" t="e">
        <f t="array" aca="1" ref="H784" ca="1">SUM(H$763:H$775/$M$147:$M$159*($B784=$F$146:$N$146)*($F$147:$N$159))</f>
        <v>#REF!</v>
      </c>
      <c r="I784" s="21" t="e">
        <f t="array" aca="1" ref="I784" ca="1">SUM(I$763:I$775/$M$147:$M$159*($B784=$F$146:$N$146)*($F$147:$N$159))</f>
        <v>#REF!</v>
      </c>
      <c r="J784" s="21" t="e">
        <f t="array" aca="1" ref="J784" ca="1">SUM(J$763:J$775/$M$147:$M$159*($B784=$F$146:$N$146)*($F$147:$N$159))</f>
        <v>#REF!</v>
      </c>
      <c r="K784" s="21" t="e">
        <f t="array" aca="1" ref="K784" ca="1">SUM(K$763:K$775/$M$147:$M$159*($B784=$F$146:$N$146)*($F$147:$N$159))</f>
        <v>#REF!</v>
      </c>
      <c r="L784" s="21" t="e">
        <f t="array" aca="1" ref="L784" ca="1">SUM(L$763:L$775/$M$147:$M$159*($B784=$F$146:$N$146)*($F$147:$N$159))</f>
        <v>#REF!</v>
      </c>
      <c r="M784" s="21" t="e">
        <f t="array" aca="1" ref="M784" ca="1">SUM(M$763:M$775/$M$147:$M$159*($B784=$F$146:$N$146)*($F$147:$N$159))</f>
        <v>#REF!</v>
      </c>
      <c r="N784" s="21" t="e">
        <f t="array" aca="1" ref="N784" ca="1">SUM(N$763:N$775/$M$147:$M$159*($B784=$F$146:$N$146)*($F$147:$N$159))</f>
        <v>#REF!</v>
      </c>
      <c r="O784" s="21" t="e">
        <f t="array" aca="1" ref="O784" ca="1">SUM(O$763:O$775/$M$147:$M$159*($B784=$F$146:$N$146)*($F$147:$N$159))</f>
        <v>#REF!</v>
      </c>
    </row>
    <row r="785" spans="2:16">
      <c r="B785" s="973" t="s">
        <v>625</v>
      </c>
      <c r="C785" s="16" t="str">
        <f>INDEX(Vectors[Description], MATCH($B785, Vectors[Code], 0))</f>
        <v>Heat transport</v>
      </c>
      <c r="F785" s="21">
        <f t="array" aca="1" ref="F785" ca="1">SUM(F$763:F$775/$M$147:$M$159*($B785=$F$146:$N$146)*($F$147:$N$159))</f>
        <v>0</v>
      </c>
      <c r="G785" s="21" t="e">
        <f t="array" aca="1" ref="G785" ca="1">SUM(G$763:G$775/$M$147:$M$159*($B785=$F$146:$N$146)*($F$147:$N$159))</f>
        <v>#REF!</v>
      </c>
      <c r="H785" s="21" t="e">
        <f t="array" aca="1" ref="H785" ca="1">SUM(H$763:H$775/$M$147:$M$159*($B785=$F$146:$N$146)*($F$147:$N$159))</f>
        <v>#REF!</v>
      </c>
      <c r="I785" s="21" t="e">
        <f t="array" aca="1" ref="I785" ca="1">SUM(I$763:I$775/$M$147:$M$159*($B785=$F$146:$N$146)*($F$147:$N$159))</f>
        <v>#REF!</v>
      </c>
      <c r="J785" s="21" t="e">
        <f t="array" aca="1" ref="J785" ca="1">SUM(J$763:J$775/$M$147:$M$159*($B785=$F$146:$N$146)*($F$147:$N$159))</f>
        <v>#REF!</v>
      </c>
      <c r="K785" s="21" t="e">
        <f t="array" aca="1" ref="K785" ca="1">SUM(K$763:K$775/$M$147:$M$159*($B785=$F$146:$N$146)*($F$147:$N$159))</f>
        <v>#REF!</v>
      </c>
      <c r="L785" s="21" t="e">
        <f t="array" aca="1" ref="L785" ca="1">SUM(L$763:L$775/$M$147:$M$159*($B785=$F$146:$N$146)*($F$147:$N$159))</f>
        <v>#REF!</v>
      </c>
      <c r="M785" s="21" t="e">
        <f t="array" aca="1" ref="M785" ca="1">SUM(M$763:M$775/$M$147:$M$159*($B785=$F$146:$N$146)*($F$147:$N$159))</f>
        <v>#REF!</v>
      </c>
      <c r="N785" s="21" t="e">
        <f t="array" aca="1" ref="N785" ca="1">SUM(N$763:N$775/$M$147:$M$159*($B785=$F$146:$N$146)*($F$147:$N$159))</f>
        <v>#REF!</v>
      </c>
      <c r="O785" s="21" t="e">
        <f t="array" aca="1" ref="O785" ca="1">SUM(O$763:O$775/$M$147:$M$159*($B785=$F$146:$N$146)*($F$147:$N$159))</f>
        <v>#REF!</v>
      </c>
    </row>
    <row r="786" spans="2:16">
      <c r="B786" s="973" t="s">
        <v>98</v>
      </c>
      <c r="C786" s="16" t="str">
        <f>INDEX(Vectors[Description], MATCH($B786, Vectors[Code], 0))</f>
        <v>Environmental heat</v>
      </c>
      <c r="F786" s="21">
        <f t="array" aca="1" ref="F786" ca="1">SUM(F$763:F$775/$M$147:$M$159*($B786=$F$146:$N$146)*($F$147:$N$159))</f>
        <v>0</v>
      </c>
      <c r="G786" s="21" t="e">
        <f t="array" aca="1" ref="G786" ca="1">SUM(G$763:G$775/$M$147:$M$159*($B786=$F$146:$N$146)*($F$147:$N$159))</f>
        <v>#REF!</v>
      </c>
      <c r="H786" s="21" t="e">
        <f t="array" aca="1" ref="H786" ca="1">SUM(H$763:H$775/$M$147:$M$159*($B786=$F$146:$N$146)*($F$147:$N$159))</f>
        <v>#REF!</v>
      </c>
      <c r="I786" s="21" t="e">
        <f t="array" aca="1" ref="I786" ca="1">SUM(I$763:I$775/$M$147:$M$159*($B786=$F$146:$N$146)*($F$147:$N$159))</f>
        <v>#REF!</v>
      </c>
      <c r="J786" s="21" t="e">
        <f t="array" aca="1" ref="J786" ca="1">SUM(J$763:J$775/$M$147:$M$159*($B786=$F$146:$N$146)*($F$147:$N$159))</f>
        <v>#REF!</v>
      </c>
      <c r="K786" s="21" t="e">
        <f t="array" aca="1" ref="K786" ca="1">SUM(K$763:K$775/$M$147:$M$159*($B786=$F$146:$N$146)*($F$147:$N$159))</f>
        <v>#REF!</v>
      </c>
      <c r="L786" s="21" t="e">
        <f t="array" aca="1" ref="L786" ca="1">SUM(L$763:L$775/$M$147:$M$159*($B786=$F$146:$N$146)*($F$147:$N$159))</f>
        <v>#REF!</v>
      </c>
      <c r="M786" s="21" t="e">
        <f t="array" aca="1" ref="M786" ca="1">SUM(M$763:M$775/$M$147:$M$159*($B786=$F$146:$N$146)*($F$147:$N$159))</f>
        <v>#REF!</v>
      </c>
      <c r="N786" s="21" t="e">
        <f t="array" aca="1" ref="N786" ca="1">SUM(N$763:N$775/$M$147:$M$159*($B786=$F$146:$N$146)*($F$147:$N$159))</f>
        <v>#REF!</v>
      </c>
      <c r="O786" s="21" t="e">
        <f t="array" aca="1" ref="O786" ca="1">SUM(O$763:O$775/$M$147:$M$159*($B786=$F$146:$N$146)*($F$147:$N$159))</f>
        <v>#REF!</v>
      </c>
    </row>
    <row r="787" spans="2:16">
      <c r="B787" s="973" t="s">
        <v>6</v>
      </c>
      <c r="C787" s="16" t="str">
        <f>INDEX(Vectors[Description], MATCH($B787, Vectors[Code], 0))</f>
        <v>Heating &amp; cooling</v>
      </c>
      <c r="F787" s="21">
        <f t="array" aca="1" ref="F787" ca="1">SUM(F$763:F$775/$M$147:$M$159*($B787=$F$146:$N$146)*($F$147:$N$159))</f>
        <v>105.21210400000001</v>
      </c>
      <c r="G787" s="21" t="e">
        <f t="array" aca="1" ref="G787" ca="1">SUM(G$763:G$775/$M$147:$M$159*($B787=$F$146:$N$146)*($F$147:$N$159))</f>
        <v>#REF!</v>
      </c>
      <c r="H787" s="21" t="e">
        <f t="array" aca="1" ref="H787" ca="1">SUM(H$763:H$775/$M$147:$M$159*($B787=$F$146:$N$146)*($F$147:$N$159))</f>
        <v>#REF!</v>
      </c>
      <c r="I787" s="21" t="e">
        <f t="array" aca="1" ref="I787" ca="1">SUM(I$763:I$775/$M$147:$M$159*($B787=$F$146:$N$146)*($F$147:$N$159))</f>
        <v>#REF!</v>
      </c>
      <c r="J787" s="21" t="e">
        <f t="array" aca="1" ref="J787" ca="1">SUM(J$763:J$775/$M$147:$M$159*($B787=$F$146:$N$146)*($F$147:$N$159))</f>
        <v>#REF!</v>
      </c>
      <c r="K787" s="21" t="e">
        <f t="array" aca="1" ref="K787" ca="1">SUM(K$763:K$775/$M$147:$M$159*($B787=$F$146:$N$146)*($F$147:$N$159))</f>
        <v>#REF!</v>
      </c>
      <c r="L787" s="21" t="e">
        <f t="array" aca="1" ref="L787" ca="1">SUM(L$763:L$775/$M$147:$M$159*($B787=$F$146:$N$146)*($F$147:$N$159))</f>
        <v>#REF!</v>
      </c>
      <c r="M787" s="21" t="e">
        <f t="array" aca="1" ref="M787" ca="1">SUM(M$763:M$775/$M$147:$M$159*($B787=$F$146:$N$146)*($F$147:$N$159))</f>
        <v>#REF!</v>
      </c>
      <c r="N787" s="21" t="e">
        <f t="array" aca="1" ref="N787" ca="1">SUM(N$763:N$775/$M$147:$M$159*($B787=$F$146:$N$146)*($F$147:$N$159))</f>
        <v>#REF!</v>
      </c>
      <c r="O787" s="21" t="e">
        <f t="array" aca="1" ref="O787" ca="1">SUM(O$763:O$775/$M$147:$M$159*($B787=$F$146:$N$146)*($F$147:$N$159))</f>
        <v>#REF!</v>
      </c>
    </row>
    <row r="788" spans="2:16" s="16" customFormat="1">
      <c r="B788" s="973" t="s">
        <v>31</v>
      </c>
      <c r="C788" s="16" t="str">
        <f>INDEX(Vectors[Description], MATCH($B788, Vectors[Code], 0))</f>
        <v>Conversion losses</v>
      </c>
      <c r="D788" s="18"/>
      <c r="E788" s="18"/>
      <c r="F788" s="21">
        <f t="array" aca="1" ref="F788" ca="1">SUM(F$763:F$775/$M$147:$M$159*($B788=$F$146:$N$146)*($F$147:$N$159))</f>
        <v>24.580518379091405</v>
      </c>
      <c r="G788" s="21" t="e">
        <f t="array" aca="1" ref="G788" ca="1">SUM(G$763:G$775/$M$147:$M$159*($B788=$F$146:$N$146)*($F$147:$N$159))</f>
        <v>#REF!</v>
      </c>
      <c r="H788" s="21" t="e">
        <f t="array" aca="1" ref="H788" ca="1">SUM(H$763:H$775/$M$147:$M$159*($B788=$F$146:$N$146)*($F$147:$N$159))</f>
        <v>#REF!</v>
      </c>
      <c r="I788" s="21" t="e">
        <f t="array" aca="1" ref="I788" ca="1">SUM(I$763:I$775/$M$147:$M$159*($B788=$F$146:$N$146)*($F$147:$N$159))</f>
        <v>#REF!</v>
      </c>
      <c r="J788" s="21" t="e">
        <f t="array" aca="1" ref="J788" ca="1">SUM(J$763:J$775/$M$147:$M$159*($B788=$F$146:$N$146)*($F$147:$N$159))</f>
        <v>#REF!</v>
      </c>
      <c r="K788" s="21" t="e">
        <f t="array" aca="1" ref="K788" ca="1">SUM(K$763:K$775/$M$147:$M$159*($B788=$F$146:$N$146)*($F$147:$N$159))</f>
        <v>#REF!</v>
      </c>
      <c r="L788" s="21" t="e">
        <f t="array" aca="1" ref="L788" ca="1">SUM(L$763:L$775/$M$147:$M$159*($B788=$F$146:$N$146)*($F$147:$N$159))</f>
        <v>#REF!</v>
      </c>
      <c r="M788" s="21" t="e">
        <f t="array" aca="1" ref="M788" ca="1">SUM(M$763:M$775/$M$147:$M$159*($B788=$F$146:$N$146)*($F$147:$N$159))</f>
        <v>#REF!</v>
      </c>
      <c r="N788" s="21" t="e">
        <f t="array" aca="1" ref="N788" ca="1">SUM(N$763:N$775/$M$147:$M$159*($B788=$F$146:$N$146)*($F$147:$N$159))</f>
        <v>#REF!</v>
      </c>
      <c r="O788" s="21" t="e">
        <f t="array" aca="1" ref="O788" ca="1">SUM(O$763:O$775/$M$147:$M$159*($B788=$F$146:$N$146)*($F$147:$N$159))</f>
        <v>#REF!</v>
      </c>
      <c r="P788" s="18"/>
    </row>
    <row r="789" spans="2:16" s="550" customFormat="1">
      <c r="B789" s="973"/>
      <c r="C789" s="16"/>
      <c r="D789" s="18"/>
      <c r="E789" s="568" t="str">
        <f>Preferences.EnergyUnits</f>
        <v>TWh</v>
      </c>
      <c r="F789" s="984">
        <f t="shared" ref="F789:O789" ca="1" si="283">SUM(F780:F788)</f>
        <v>0</v>
      </c>
      <c r="G789" s="984" t="e">
        <f t="shared" ca="1" si="283"/>
        <v>#REF!</v>
      </c>
      <c r="H789" s="984" t="e">
        <f t="shared" ca="1" si="283"/>
        <v>#REF!</v>
      </c>
      <c r="I789" s="984" t="e">
        <f t="shared" ca="1" si="283"/>
        <v>#REF!</v>
      </c>
      <c r="J789" s="984" t="e">
        <f t="shared" ca="1" si="283"/>
        <v>#REF!</v>
      </c>
      <c r="K789" s="984" t="e">
        <f t="shared" ca="1" si="283"/>
        <v>#REF!</v>
      </c>
      <c r="L789" s="984" t="e">
        <f t="shared" ca="1" si="283"/>
        <v>#REF!</v>
      </c>
      <c r="M789" s="984" t="e">
        <f t="shared" ca="1" si="283"/>
        <v>#REF!</v>
      </c>
      <c r="N789" s="984" t="e">
        <f t="shared" ca="1" si="283"/>
        <v>#REF!</v>
      </c>
      <c r="O789" s="984" t="e">
        <f t="shared" ca="1" si="283"/>
        <v>#REF!</v>
      </c>
      <c r="P789" s="18"/>
    </row>
    <row r="790" spans="2:16" s="16" customFormat="1">
      <c r="B790" s="568"/>
      <c r="C790" s="1298"/>
      <c r="D790" s="1298"/>
      <c r="E790" s="568"/>
      <c r="F790" s="541"/>
      <c r="G790" s="541"/>
      <c r="H790" s="541"/>
      <c r="I790" s="541"/>
      <c r="J790" s="541"/>
      <c r="K790" s="541"/>
      <c r="L790" s="541"/>
      <c r="M790" s="541"/>
      <c r="N790" s="541"/>
      <c r="O790" s="541"/>
      <c r="P790" s="18"/>
    </row>
    <row r="791" spans="2:16" s="16" customFormat="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 spans="2:16" s="16" customFormat="1">
      <c r="B792" s="1298">
        <v>3</v>
      </c>
      <c r="C792" s="1298" t="s">
        <v>992</v>
      </c>
      <c r="D792" s="18"/>
      <c r="E792" s="18"/>
      <c r="F792" s="1243">
        <v>2007</v>
      </c>
      <c r="G792" s="1243">
        <v>2010</v>
      </c>
      <c r="H792" s="1243">
        <v>2015</v>
      </c>
      <c r="I792" s="1243">
        <v>2020</v>
      </c>
      <c r="J792" s="1243">
        <v>2025</v>
      </c>
      <c r="K792" s="1243">
        <v>2030</v>
      </c>
      <c r="L792" s="1243">
        <v>2035</v>
      </c>
      <c r="M792" s="1243">
        <v>2040</v>
      </c>
      <c r="N792" s="1243">
        <v>2045</v>
      </c>
      <c r="O792" s="1243">
        <v>2050</v>
      </c>
      <c r="P792" s="18"/>
    </row>
    <row r="793" spans="2:16" s="16" customFormat="1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 spans="2:16" s="550" customFormat="1">
      <c r="B794" s="18"/>
      <c r="C794" s="18" t="s">
        <v>666</v>
      </c>
      <c r="D794" s="18"/>
      <c r="E794" s="973" t="s">
        <v>656</v>
      </c>
      <c r="F794" s="21">
        <f t="shared" ref="F794:O794" si="284">INDEX(F$40:F$43, MATCH($E$8, $C$40:$C$43, 0))-F$109</f>
        <v>11.9</v>
      </c>
      <c r="G794" s="21">
        <f t="shared" si="284"/>
        <v>13.454514620984259</v>
      </c>
      <c r="H794" s="21">
        <f t="shared" si="284"/>
        <v>13.018427699357748</v>
      </c>
      <c r="I794" s="21">
        <f t="shared" si="284"/>
        <v>12.584209472560342</v>
      </c>
      <c r="J794" s="21">
        <f t="shared" si="284"/>
        <v>12.151840569854425</v>
      </c>
      <c r="K794" s="21">
        <f t="shared" si="284"/>
        <v>11.721301821297871</v>
      </c>
      <c r="L794" s="21">
        <f t="shared" si="284"/>
        <v>11.292574255662597</v>
      </c>
      <c r="M794" s="21">
        <f t="shared" si="284"/>
        <v>10.865639098374725</v>
      </c>
      <c r="N794" s="21">
        <f t="shared" si="284"/>
        <v>10.440477769476058</v>
      </c>
      <c r="O794" s="21">
        <f t="shared" si="284"/>
        <v>10.017071881606739</v>
      </c>
      <c r="P794" s="18"/>
    </row>
    <row r="795" spans="2:16" s="16" customFormat="1">
      <c r="B795" s="973" t="s">
        <v>662</v>
      </c>
      <c r="C795" s="18" t="s">
        <v>663</v>
      </c>
      <c r="D795" s="18"/>
      <c r="E795" s="973" t="s">
        <v>657</v>
      </c>
      <c r="F795" s="21">
        <f t="shared" ref="F795:O795" si="285">INDEX(F$67:F$70, MATCH($E$9, $C$67:$C$70, 0))</f>
        <v>246.8</v>
      </c>
      <c r="G795" s="21">
        <f t="shared" si="285"/>
        <v>228.30283819197385</v>
      </c>
      <c r="H795" s="21">
        <f t="shared" si="285"/>
        <v>203.47018693933961</v>
      </c>
      <c r="I795" s="21">
        <f t="shared" si="285"/>
        <v>187.83847322273348</v>
      </c>
      <c r="J795" s="21">
        <f t="shared" si="285"/>
        <v>178.01681076620719</v>
      </c>
      <c r="K795" s="21">
        <f t="shared" si="285"/>
        <v>168.82477209324509</v>
      </c>
      <c r="L795" s="21">
        <f t="shared" si="285"/>
        <v>160.25849106562734</v>
      </c>
      <c r="M795" s="21">
        <f t="shared" si="285"/>
        <v>152.30950876279709</v>
      </c>
      <c r="N795" s="21">
        <f t="shared" si="285"/>
        <v>147.14544840036086</v>
      </c>
      <c r="O795" s="21">
        <f t="shared" si="285"/>
        <v>143.04746726044874</v>
      </c>
      <c r="P795" s="18"/>
    </row>
    <row r="796" spans="2:16" s="16" customFormat="1">
      <c r="B796" s="973" t="s">
        <v>662</v>
      </c>
      <c r="C796" s="18" t="s">
        <v>681</v>
      </c>
      <c r="D796" s="18"/>
      <c r="E796" s="973" t="s">
        <v>598</v>
      </c>
      <c r="F796" s="1448">
        <f>(31+31+28.25)*24*60*60</f>
        <v>7797600</v>
      </c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 spans="2:16" s="16" customFormat="1">
      <c r="B797" s="981" t="s">
        <v>664</v>
      </c>
      <c r="C797" s="1298" t="s">
        <v>687</v>
      </c>
      <c r="D797" s="1298"/>
      <c r="E797" s="568" t="s">
        <v>78</v>
      </c>
      <c r="F797" s="569">
        <f t="shared" ref="F797:O797" si="286">F794*F795*$F796</f>
        <v>22900927392</v>
      </c>
      <c r="G797" s="569">
        <f t="shared" si="286"/>
        <v>23951918131.536983</v>
      </c>
      <c r="H797" s="569">
        <f t="shared" si="286"/>
        <v>20654765689.025517</v>
      </c>
      <c r="I797" s="569">
        <f t="shared" si="286"/>
        <v>18431956696.652504</v>
      </c>
      <c r="J797" s="569">
        <f t="shared" si="286"/>
        <v>16868017088.274534</v>
      </c>
      <c r="K797" s="569">
        <f t="shared" si="286"/>
        <v>15430250416.549984</v>
      </c>
      <c r="L797" s="569">
        <f t="shared" si="286"/>
        <v>14111557747.395391</v>
      </c>
      <c r="M797" s="569">
        <f t="shared" si="286"/>
        <v>12904561340.676586</v>
      </c>
      <c r="N797" s="569">
        <f t="shared" si="286"/>
        <v>11979209461.568752</v>
      </c>
      <c r="O797" s="569">
        <f t="shared" si="286"/>
        <v>11173311743.602802</v>
      </c>
      <c r="P797" s="1298"/>
    </row>
    <row r="798" spans="2:16" s="16" customFormat="1">
      <c r="B798" s="973"/>
      <c r="C798" s="18"/>
      <c r="D798" s="18"/>
      <c r="E798" s="973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 spans="2:16" s="550" customFormat="1">
      <c r="B799" s="973"/>
      <c r="C799" s="18" t="s">
        <v>682</v>
      </c>
      <c r="D799" s="18"/>
      <c r="E799" s="973" t="s">
        <v>656</v>
      </c>
      <c r="F799" s="21">
        <f t="shared" ref="F799:O799" si="287">INDEX(F$40:F$43, MATCH($E$8, $C$40:$C$43, 0))-F$110</f>
        <v>8.4</v>
      </c>
      <c r="G799" s="21">
        <f t="shared" si="287"/>
        <v>9.2098200003594091</v>
      </c>
      <c r="H799" s="21">
        <f t="shared" si="287"/>
        <v>8.8943618470360857</v>
      </c>
      <c r="I799" s="21">
        <f t="shared" si="287"/>
        <v>8.5807723885418685</v>
      </c>
      <c r="J799" s="21">
        <f t="shared" si="287"/>
        <v>8.2690322541391392</v>
      </c>
      <c r="K799" s="21">
        <f t="shared" si="287"/>
        <v>7.9591222738857734</v>
      </c>
      <c r="L799" s="21">
        <f t="shared" si="287"/>
        <v>7.6510234765536875</v>
      </c>
      <c r="M799" s="21">
        <f t="shared" si="287"/>
        <v>7.3447170875690038</v>
      </c>
      <c r="N799" s="21">
        <f t="shared" si="287"/>
        <v>7.0401845269735244</v>
      </c>
      <c r="O799" s="21">
        <f t="shared" si="287"/>
        <v>6.7374074074073942</v>
      </c>
      <c r="P799" s="18"/>
    </row>
    <row r="800" spans="2:16" s="16" customFormat="1">
      <c r="B800" s="973" t="s">
        <v>662</v>
      </c>
      <c r="C800" s="18" t="s">
        <v>663</v>
      </c>
      <c r="D800" s="18"/>
      <c r="E800" s="973" t="s">
        <v>657</v>
      </c>
      <c r="F800" s="21">
        <f t="shared" ref="F800:O800" si="288">INDEX(F$67:F$70, MATCH($E$9, $C$67:$C$70, 0))</f>
        <v>246.8</v>
      </c>
      <c r="G800" s="21">
        <f t="shared" si="288"/>
        <v>228.30283819197385</v>
      </c>
      <c r="H800" s="21">
        <f t="shared" si="288"/>
        <v>203.47018693933961</v>
      </c>
      <c r="I800" s="21">
        <f t="shared" si="288"/>
        <v>187.83847322273348</v>
      </c>
      <c r="J800" s="21">
        <f t="shared" si="288"/>
        <v>178.01681076620719</v>
      </c>
      <c r="K800" s="21">
        <f t="shared" si="288"/>
        <v>168.82477209324509</v>
      </c>
      <c r="L800" s="21">
        <f t="shared" si="288"/>
        <v>160.25849106562734</v>
      </c>
      <c r="M800" s="21">
        <f t="shared" si="288"/>
        <v>152.30950876279709</v>
      </c>
      <c r="N800" s="21">
        <f t="shared" si="288"/>
        <v>147.14544840036086</v>
      </c>
      <c r="O800" s="21">
        <f t="shared" si="288"/>
        <v>143.04746726044874</v>
      </c>
      <c r="P800" s="18"/>
    </row>
    <row r="801" spans="1:16" s="16" customFormat="1">
      <c r="B801" s="973" t="s">
        <v>662</v>
      </c>
      <c r="C801" s="18" t="s">
        <v>691</v>
      </c>
      <c r="D801" s="18"/>
      <c r="E801" s="973" t="s">
        <v>598</v>
      </c>
      <c r="F801" s="1448">
        <f>(31+30+31)*24*60*60</f>
        <v>7948800</v>
      </c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 spans="1:16" s="16" customFormat="1">
      <c r="B802" s="981" t="s">
        <v>664</v>
      </c>
      <c r="C802" s="1298" t="s">
        <v>688</v>
      </c>
      <c r="D802" s="1298"/>
      <c r="E802" s="568" t="s">
        <v>78</v>
      </c>
      <c r="F802" s="569">
        <f t="shared" ref="F802:O802" si="289">F799*F800*$F801</f>
        <v>16478816256.000002</v>
      </c>
      <c r="G802" s="569">
        <f t="shared" si="289"/>
        <v>16713369806.633722</v>
      </c>
      <c r="H802" s="569">
        <f t="shared" si="289"/>
        <v>14385241183.433104</v>
      </c>
      <c r="I802" s="569">
        <f t="shared" si="289"/>
        <v>12811869358.035725</v>
      </c>
      <c r="J802" s="569">
        <f t="shared" si="289"/>
        <v>11700846230.437763</v>
      </c>
      <c r="K802" s="569">
        <f t="shared" si="289"/>
        <v>10680778745.005997</v>
      </c>
      <c r="L802" s="569">
        <f t="shared" si="289"/>
        <v>9746353376.0355129</v>
      </c>
      <c r="M802" s="569">
        <f t="shared" si="289"/>
        <v>8892086095.9924545</v>
      </c>
      <c r="N802" s="569">
        <f t="shared" si="289"/>
        <v>8234409199.5594215</v>
      </c>
      <c r="O802" s="569">
        <f t="shared" si="289"/>
        <v>7660807548.0961046</v>
      </c>
      <c r="P802" s="1298"/>
    </row>
    <row r="803" spans="1:16" s="16" customFormat="1">
      <c r="B803" s="973"/>
      <c r="C803" s="18"/>
      <c r="D803" s="18"/>
      <c r="E803" s="973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 spans="1:16" s="550" customFormat="1">
      <c r="B804" s="973"/>
      <c r="C804" s="18" t="s">
        <v>683</v>
      </c>
      <c r="D804" s="18"/>
      <c r="E804" s="973" t="s">
        <v>656</v>
      </c>
      <c r="F804" s="21">
        <f t="shared" ref="F804:O804" si="290">INDEX(F$40:F$43, MATCH($E$8, $C$40:$C$43, 0))-F$111</f>
        <v>3.4000000000000004</v>
      </c>
      <c r="G804" s="21">
        <f t="shared" si="290"/>
        <v>3.1374427393774962</v>
      </c>
      <c r="H804" s="21">
        <f t="shared" si="290"/>
        <v>2.7013558177509847</v>
      </c>
      <c r="I804" s="21">
        <f t="shared" si="290"/>
        <v>2.2671375909535794</v>
      </c>
      <c r="J804" s="21">
        <f t="shared" si="290"/>
        <v>1.8347686882476619</v>
      </c>
      <c r="K804" s="21">
        <f t="shared" si="290"/>
        <v>1.404229939691108</v>
      </c>
      <c r="L804" s="21">
        <f t="shared" si="290"/>
        <v>0.97550237405583395</v>
      </c>
      <c r="M804" s="21">
        <f t="shared" si="290"/>
        <v>0.54856721676796205</v>
      </c>
      <c r="N804" s="21">
        <f t="shared" si="290"/>
        <v>0.12340588786929274</v>
      </c>
      <c r="O804" s="21">
        <f t="shared" si="290"/>
        <v>-0.30000000000002558</v>
      </c>
      <c r="P804" s="18"/>
    </row>
    <row r="805" spans="1:16" s="16" customFormat="1">
      <c r="B805" s="973" t="s">
        <v>662</v>
      </c>
      <c r="C805" s="18" t="s">
        <v>663</v>
      </c>
      <c r="D805" s="18"/>
      <c r="E805" s="973" t="s">
        <v>657</v>
      </c>
      <c r="F805" s="21">
        <f t="shared" ref="F805:O805" si="291">INDEX(F$67:F$70, MATCH($E$9, $C$67:$C$70, 0))</f>
        <v>246.8</v>
      </c>
      <c r="G805" s="21">
        <f t="shared" si="291"/>
        <v>228.30283819197385</v>
      </c>
      <c r="H805" s="21">
        <f t="shared" si="291"/>
        <v>203.47018693933961</v>
      </c>
      <c r="I805" s="21">
        <f t="shared" si="291"/>
        <v>187.83847322273348</v>
      </c>
      <c r="J805" s="21">
        <f t="shared" si="291"/>
        <v>178.01681076620719</v>
      </c>
      <c r="K805" s="21">
        <f t="shared" si="291"/>
        <v>168.82477209324509</v>
      </c>
      <c r="L805" s="21">
        <f t="shared" si="291"/>
        <v>160.25849106562734</v>
      </c>
      <c r="M805" s="21">
        <f t="shared" si="291"/>
        <v>152.30950876279709</v>
      </c>
      <c r="N805" s="21">
        <f t="shared" si="291"/>
        <v>147.14544840036086</v>
      </c>
      <c r="O805" s="21">
        <f t="shared" si="291"/>
        <v>143.04746726044874</v>
      </c>
      <c r="P805" s="18"/>
    </row>
    <row r="806" spans="1:16" s="16" customFormat="1" ht="15">
      <c r="A806" s="527"/>
      <c r="B806" s="973" t="s">
        <v>662</v>
      </c>
      <c r="C806" s="18" t="s">
        <v>692</v>
      </c>
      <c r="D806" s="18"/>
      <c r="E806" s="973" t="s">
        <v>598</v>
      </c>
      <c r="F806" s="1448">
        <f>(30+31+31)*24*60*60</f>
        <v>7948800</v>
      </c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 spans="1:16" s="16" customFormat="1">
      <c r="B807" s="981" t="s">
        <v>664</v>
      </c>
      <c r="C807" s="1298" t="s">
        <v>689</v>
      </c>
      <c r="D807" s="1298"/>
      <c r="E807" s="568" t="s">
        <v>78</v>
      </c>
      <c r="F807" s="569">
        <f t="shared" ref="F807:O807" si="292">F804*F805*$F806</f>
        <v>6669997056.000001</v>
      </c>
      <c r="G807" s="569">
        <f t="shared" si="292"/>
        <v>5693622757.9157572</v>
      </c>
      <c r="H807" s="569">
        <f t="shared" si="292"/>
        <v>4369021142.7104778</v>
      </c>
      <c r="I807" s="569">
        <f t="shared" si="292"/>
        <v>3385041499.384757</v>
      </c>
      <c r="J807" s="569">
        <f t="shared" si="292"/>
        <v>2596234435.8811417</v>
      </c>
      <c r="K807" s="569">
        <f t="shared" si="292"/>
        <v>1884412473.7427158</v>
      </c>
      <c r="L807" s="569">
        <f t="shared" si="292"/>
        <v>1242656082.0059481</v>
      </c>
      <c r="M807" s="569">
        <f t="shared" si="292"/>
        <v>664138163.90498877</v>
      </c>
      <c r="N807" s="569">
        <f t="shared" si="292"/>
        <v>144339196.57323834</v>
      </c>
      <c r="O807" s="569">
        <f t="shared" si="292"/>
        <v>-341116712.32798553</v>
      </c>
      <c r="P807" s="1298"/>
    </row>
    <row r="808" spans="1:16" s="16" customFormat="1">
      <c r="B808" s="973"/>
      <c r="C808" s="18"/>
      <c r="D808" s="18"/>
      <c r="E808" s="973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 spans="1:16" s="16" customFormat="1">
      <c r="B809" s="973"/>
      <c r="C809" s="18" t="s">
        <v>684</v>
      </c>
      <c r="D809" s="18"/>
      <c r="E809" s="973" t="s">
        <v>656</v>
      </c>
      <c r="F809" s="21">
        <f t="shared" ref="F809:O809" si="293">INDEX(F$40:F$43, MATCH($E$8, $C$40:$C$43, 0))-F$112</f>
        <v>7.6</v>
      </c>
      <c r="G809" s="21">
        <f t="shared" si="293"/>
        <v>7.3920939021681935</v>
      </c>
      <c r="H809" s="21">
        <f t="shared" si="293"/>
        <v>7.047092251859512</v>
      </c>
      <c r="I809" s="21">
        <f t="shared" si="293"/>
        <v>6.7039592963799368</v>
      </c>
      <c r="J809" s="21">
        <f t="shared" si="293"/>
        <v>6.3626756649918494</v>
      </c>
      <c r="K809" s="21">
        <f t="shared" si="293"/>
        <v>6.0232221877531256</v>
      </c>
      <c r="L809" s="21">
        <f t="shared" si="293"/>
        <v>5.6855798934356816</v>
      </c>
      <c r="M809" s="21">
        <f t="shared" si="293"/>
        <v>5.3497300074656398</v>
      </c>
      <c r="N809" s="21">
        <f t="shared" si="293"/>
        <v>5.0156539498848023</v>
      </c>
      <c r="O809" s="21">
        <f t="shared" si="293"/>
        <v>4.683333333333314</v>
      </c>
      <c r="P809" s="18"/>
    </row>
    <row r="810" spans="1:16" s="16" customFormat="1">
      <c r="B810" s="973" t="s">
        <v>662</v>
      </c>
      <c r="C810" s="18" t="s">
        <v>663</v>
      </c>
      <c r="D810" s="18"/>
      <c r="E810" s="973" t="s">
        <v>657</v>
      </c>
      <c r="F810" s="21">
        <f t="shared" ref="F810:O810" si="294">INDEX(F$67:F$70, MATCH($E$9, $C$67:$C$70, 0))</f>
        <v>246.8</v>
      </c>
      <c r="G810" s="21">
        <f t="shared" si="294"/>
        <v>228.30283819197385</v>
      </c>
      <c r="H810" s="21">
        <f t="shared" si="294"/>
        <v>203.47018693933961</v>
      </c>
      <c r="I810" s="21">
        <f t="shared" si="294"/>
        <v>187.83847322273348</v>
      </c>
      <c r="J810" s="21">
        <f t="shared" si="294"/>
        <v>178.01681076620719</v>
      </c>
      <c r="K810" s="21">
        <f t="shared" si="294"/>
        <v>168.82477209324509</v>
      </c>
      <c r="L810" s="21">
        <f t="shared" si="294"/>
        <v>160.25849106562734</v>
      </c>
      <c r="M810" s="21">
        <f t="shared" si="294"/>
        <v>152.30950876279709</v>
      </c>
      <c r="N810" s="21">
        <f t="shared" si="294"/>
        <v>147.14544840036086</v>
      </c>
      <c r="O810" s="21">
        <f t="shared" si="294"/>
        <v>143.04746726044874</v>
      </c>
      <c r="P810" s="18"/>
    </row>
    <row r="811" spans="1:16" s="16" customFormat="1">
      <c r="B811" s="973" t="s">
        <v>662</v>
      </c>
      <c r="C811" s="18" t="s">
        <v>693</v>
      </c>
      <c r="D811" s="18"/>
      <c r="E811" s="973" t="s">
        <v>598</v>
      </c>
      <c r="F811" s="1448">
        <f>(30+31+30)*24*60*60</f>
        <v>7862400</v>
      </c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 spans="1:16" s="16" customFormat="1">
      <c r="B812" s="981" t="s">
        <v>664</v>
      </c>
      <c r="C812" s="1298" t="s">
        <v>690</v>
      </c>
      <c r="D812" s="1298"/>
      <c r="E812" s="568" t="s">
        <v>78</v>
      </c>
      <c r="F812" s="569">
        <f t="shared" ref="F812:O812" si="295">F809*F810*$F811</f>
        <v>14747346432</v>
      </c>
      <c r="G812" s="569">
        <f t="shared" si="295"/>
        <v>13268869428.289444</v>
      </c>
      <c r="H812" s="569">
        <f t="shared" si="295"/>
        <v>11273684473.642841</v>
      </c>
      <c r="I812" s="569">
        <f t="shared" si="295"/>
        <v>9900817450.7548237</v>
      </c>
      <c r="J812" s="569">
        <f t="shared" si="295"/>
        <v>8905451378.1493912</v>
      </c>
      <c r="K812" s="569">
        <f t="shared" si="295"/>
        <v>7995031714.9506464</v>
      </c>
      <c r="L812" s="569">
        <f t="shared" si="295"/>
        <v>7163923682.6938028</v>
      </c>
      <c r="M812" s="569">
        <f t="shared" si="295"/>
        <v>6406399486.0810776</v>
      </c>
      <c r="N812" s="569">
        <f t="shared" si="295"/>
        <v>5802692178.4467087</v>
      </c>
      <c r="O812" s="569">
        <f t="shared" si="295"/>
        <v>5267328170.8563643</v>
      </c>
      <c r="P812" s="1298"/>
    </row>
    <row r="813" spans="1:16" s="16" customFormat="1">
      <c r="B813" s="973"/>
      <c r="C813" s="18"/>
      <c r="D813" s="18"/>
      <c r="E813" s="973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 spans="1:16" s="16" customFormat="1" ht="15">
      <c r="A814" s="527"/>
      <c r="B814" s="737"/>
      <c r="C814" s="978" t="s">
        <v>686</v>
      </c>
      <c r="D814" s="1449"/>
      <c r="E814" s="979" t="s">
        <v>78</v>
      </c>
      <c r="F814" s="987">
        <f t="shared" ref="F814:O814" si="296">(F$797+F$802+F$807+F$812)</f>
        <v>60797087136</v>
      </c>
      <c r="G814" s="987">
        <f t="shared" si="296"/>
        <v>59627780124.375908</v>
      </c>
      <c r="H814" s="987">
        <f t="shared" si="296"/>
        <v>50682712488.811935</v>
      </c>
      <c r="I814" s="987">
        <f t="shared" si="296"/>
        <v>44529685004.827805</v>
      </c>
      <c r="J814" s="987">
        <f t="shared" si="296"/>
        <v>40070549132.742828</v>
      </c>
      <c r="K814" s="987">
        <f t="shared" si="296"/>
        <v>35990473350.249344</v>
      </c>
      <c r="L814" s="987">
        <f t="shared" si="296"/>
        <v>32264490888.130653</v>
      </c>
      <c r="M814" s="987">
        <f t="shared" si="296"/>
        <v>28867185086.655106</v>
      </c>
      <c r="N814" s="987">
        <f t="shared" si="296"/>
        <v>26160650036.148121</v>
      </c>
      <c r="O814" s="987">
        <f t="shared" si="296"/>
        <v>23760330750.227287</v>
      </c>
    </row>
    <row r="815" spans="1:16" s="16" customFormat="1">
      <c r="B815" s="973"/>
      <c r="C815" s="738"/>
      <c r="D815" s="18"/>
      <c r="E815" s="973"/>
      <c r="F815" s="569"/>
      <c r="G815" s="569"/>
      <c r="H815" s="569"/>
      <c r="I815" s="569"/>
      <c r="J815" s="569"/>
      <c r="K815" s="569"/>
      <c r="L815" s="569"/>
      <c r="M815" s="569"/>
      <c r="N815" s="569"/>
      <c r="O815" s="569"/>
      <c r="P815" s="18"/>
    </row>
    <row r="816" spans="1:16" s="16" customFormat="1">
      <c r="B816" s="973"/>
      <c r="C816" s="1298" t="s">
        <v>952</v>
      </c>
      <c r="D816" s="18"/>
      <c r="E816" s="992"/>
      <c r="F816" s="569"/>
      <c r="G816" s="569"/>
      <c r="H816" s="569"/>
      <c r="I816" s="569"/>
      <c r="J816" s="569"/>
      <c r="K816" s="569"/>
      <c r="L816" s="569"/>
      <c r="M816" s="569"/>
      <c r="N816" s="569"/>
      <c r="O816" s="991" t="s">
        <v>78</v>
      </c>
      <c r="P816" s="18"/>
    </row>
    <row r="817" spans="1:17" s="16" customFormat="1">
      <c r="B817" s="973"/>
      <c r="C817" s="18" t="s">
        <v>15</v>
      </c>
      <c r="D817" s="18"/>
      <c r="E817" s="971" t="s">
        <v>879</v>
      </c>
      <c r="F817" s="1187" t="s">
        <v>1192</v>
      </c>
      <c r="G817" s="988"/>
      <c r="H817" s="988"/>
      <c r="I817" s="988"/>
      <c r="J817" s="988"/>
      <c r="K817" s="988"/>
      <c r="L817" s="988"/>
      <c r="M817" s="988"/>
      <c r="N817" s="988"/>
      <c r="O817" s="988"/>
      <c r="P817" s="988"/>
    </row>
    <row r="818" spans="1:17" s="16" customFormat="1">
      <c r="B818" s="973"/>
      <c r="C818" s="18" t="s">
        <v>951</v>
      </c>
      <c r="D818" s="18"/>
      <c r="E818" s="971" t="s">
        <v>879</v>
      </c>
      <c r="F818" s="1187" t="s">
        <v>1192</v>
      </c>
      <c r="G818" s="988"/>
      <c r="H818" s="988"/>
      <c r="I818" s="988"/>
      <c r="J818" s="988"/>
      <c r="K818" s="988"/>
      <c r="L818" s="988"/>
      <c r="M818" s="988"/>
      <c r="N818" s="988"/>
      <c r="O818" s="988"/>
      <c r="P818" s="988"/>
    </row>
    <row r="819" spans="1:17" s="16" customFormat="1">
      <c r="B819" s="973"/>
      <c r="C819" s="18" t="s">
        <v>108</v>
      </c>
      <c r="D819" s="18"/>
      <c r="E819" s="971" t="s">
        <v>879</v>
      </c>
      <c r="F819" s="1187" t="s">
        <v>1192</v>
      </c>
      <c r="G819" s="988"/>
      <c r="H819" s="988"/>
      <c r="I819" s="988"/>
      <c r="J819" s="988"/>
      <c r="K819" s="988"/>
      <c r="L819" s="988"/>
      <c r="M819" s="988"/>
      <c r="N819" s="988"/>
      <c r="O819" s="988"/>
      <c r="P819" s="988"/>
    </row>
    <row r="820" spans="1:17" s="16" customFormat="1" ht="15">
      <c r="A820" s="527"/>
      <c r="B820" s="973"/>
      <c r="C820" s="18" t="s">
        <v>65</v>
      </c>
      <c r="D820" s="18"/>
      <c r="E820" s="971" t="s">
        <v>954</v>
      </c>
      <c r="F820" s="1187" t="s">
        <v>1192</v>
      </c>
      <c r="G820" s="988"/>
      <c r="H820" s="988"/>
      <c r="I820" s="988"/>
      <c r="J820" s="988"/>
      <c r="K820" s="988"/>
      <c r="L820" s="988"/>
      <c r="M820" s="988"/>
      <c r="N820" s="988"/>
      <c r="O820" s="988"/>
      <c r="P820" s="988"/>
    </row>
    <row r="821" spans="1:17" s="16" customFormat="1">
      <c r="B821" s="973"/>
      <c r="C821" s="18" t="s">
        <v>189</v>
      </c>
      <c r="D821" s="18"/>
      <c r="E821" s="971" t="s">
        <v>955</v>
      </c>
      <c r="F821" s="1187" t="s">
        <v>1192</v>
      </c>
      <c r="G821" s="988"/>
      <c r="H821" s="988"/>
      <c r="I821" s="988"/>
      <c r="J821" s="988"/>
      <c r="K821" s="988"/>
      <c r="L821" s="988"/>
      <c r="M821" s="988"/>
      <c r="N821" s="988"/>
      <c r="O821" s="988"/>
      <c r="P821" s="988"/>
    </row>
    <row r="822" spans="1:17" s="16" customFormat="1">
      <c r="C822" s="978" t="s">
        <v>956</v>
      </c>
      <c r="D822" s="1449"/>
      <c r="E822" s="1188" t="s">
        <v>1191</v>
      </c>
      <c r="F822" s="987">
        <f t="shared" ref="F822:O822" si="297">$F$123/$F$814*F$814</f>
        <v>32476408683.15794</v>
      </c>
      <c r="G822" s="987">
        <f t="shared" si="297"/>
        <v>31851791712.600811</v>
      </c>
      <c r="H822" s="987">
        <f t="shared" si="297"/>
        <v>27073541866.827396</v>
      </c>
      <c r="I822" s="987">
        <f t="shared" si="297"/>
        <v>23786735794.004101</v>
      </c>
      <c r="J822" s="987">
        <f t="shared" si="297"/>
        <v>21404767746.232109</v>
      </c>
      <c r="K822" s="987">
        <f t="shared" si="297"/>
        <v>19225284899.067013</v>
      </c>
      <c r="L822" s="987">
        <f t="shared" si="297"/>
        <v>17234950577.368999</v>
      </c>
      <c r="M822" s="987">
        <f t="shared" si="297"/>
        <v>15420187784.809948</v>
      </c>
      <c r="N822" s="987">
        <f t="shared" si="297"/>
        <v>13974418874.550615</v>
      </c>
      <c r="O822" s="987">
        <f t="shared" si="297"/>
        <v>12692223398.223728</v>
      </c>
      <c r="P822" s="989"/>
    </row>
    <row r="823" spans="1:17" s="16" customFormat="1">
      <c r="B823" s="973"/>
      <c r="C823" s="1298"/>
      <c r="D823" s="18"/>
      <c r="E823" s="973"/>
      <c r="F823" s="569"/>
      <c r="G823" s="569"/>
      <c r="H823" s="569"/>
      <c r="I823" s="569"/>
      <c r="J823" s="569"/>
      <c r="K823" s="569"/>
      <c r="L823" s="569"/>
      <c r="M823" s="569"/>
      <c r="N823" s="569"/>
      <c r="O823" s="569"/>
      <c r="P823" s="18"/>
    </row>
    <row r="824" spans="1:17" s="16" customFormat="1">
      <c r="B824" s="973"/>
      <c r="C824" s="1298" t="s">
        <v>953</v>
      </c>
      <c r="D824" s="18"/>
      <c r="E824" s="973"/>
      <c r="F824" s="569">
        <f t="shared" ref="F824:O824" si="298">F$814-F$822</f>
        <v>28320678452.84206</v>
      </c>
      <c r="G824" s="569">
        <f t="shared" si="298"/>
        <v>27775988411.775097</v>
      </c>
      <c r="H824" s="569">
        <f t="shared" si="298"/>
        <v>23609170621.984539</v>
      </c>
      <c r="I824" s="569">
        <f t="shared" si="298"/>
        <v>20742949210.823704</v>
      </c>
      <c r="J824" s="569">
        <f t="shared" si="298"/>
        <v>18665781386.510719</v>
      </c>
      <c r="K824" s="569">
        <f t="shared" si="298"/>
        <v>16765188451.182331</v>
      </c>
      <c r="L824" s="569">
        <f t="shared" si="298"/>
        <v>15029540310.761654</v>
      </c>
      <c r="M824" s="569">
        <f t="shared" si="298"/>
        <v>13446997301.845158</v>
      </c>
      <c r="N824" s="569">
        <f t="shared" si="298"/>
        <v>12186231161.597506</v>
      </c>
      <c r="O824" s="569">
        <f t="shared" si="298"/>
        <v>11068107352.003559</v>
      </c>
      <c r="P824" s="18"/>
    </row>
    <row r="825" spans="1:17" s="16" customFormat="1">
      <c r="B825" s="973" t="s">
        <v>662</v>
      </c>
      <c r="C825" s="18" t="s">
        <v>679</v>
      </c>
      <c r="D825" s="18"/>
      <c r="E825" s="18"/>
      <c r="F825" s="1448">
        <f>INDEX(Global.Assumptions[Households], MATCH(F$792,Global.Assumptions[Year], 0))</f>
        <v>26042600</v>
      </c>
      <c r="G825" s="1448">
        <f>INDEX(Global.Assumptions[Households], MATCH(G$792,Global.Assumptions[Year], 0))</f>
        <v>26917400</v>
      </c>
      <c r="H825" s="1448">
        <f>INDEX(Global.Assumptions[Households], MATCH(H$792,Global.Assumptions[Year], 0))</f>
        <v>28469000</v>
      </c>
      <c r="I825" s="1448">
        <f>INDEX(Global.Assumptions[Households], MATCH(I$792,Global.Assumptions[Year], 0))</f>
        <v>30004800</v>
      </c>
      <c r="J825" s="1448">
        <f>INDEX(Global.Assumptions[Households], MATCH(J$792,Global.Assumptions[Year], 0))</f>
        <v>31434800</v>
      </c>
      <c r="K825" s="1448">
        <f>INDEX(Global.Assumptions[Households], MATCH(K$792,Global.Assumptions[Year], 0))</f>
        <v>32744800</v>
      </c>
      <c r="L825" s="1448">
        <f>INDEX(Global.Assumptions[Households], MATCH(L$792,Global.Assumptions[Year], 0))</f>
        <v>34415113.888514474</v>
      </c>
      <c r="M825" s="1448">
        <f>INDEX(Global.Assumptions[Households], MATCH(M$792,Global.Assumptions[Year], 0))</f>
        <v>36170630.572164804</v>
      </c>
      <c r="N825" s="1448">
        <f>INDEX(Global.Assumptions[Households], MATCH(N$792,Global.Assumptions[Year], 0))</f>
        <v>38015696.24979952</v>
      </c>
      <c r="O825" s="1448">
        <f>INDEX(Global.Assumptions[Households], MATCH(O$792,Global.Assumptions[Year], 0))</f>
        <v>39954878.82008817</v>
      </c>
      <c r="P825" s="18"/>
      <c r="Q825" s="21"/>
    </row>
    <row r="826" spans="1:17" s="16" customFormat="1">
      <c r="B826" s="568" t="s">
        <v>664</v>
      </c>
      <c r="C826" s="1298" t="s">
        <v>665</v>
      </c>
      <c r="D826" s="1298"/>
      <c r="E826" s="568" t="s">
        <v>78</v>
      </c>
      <c r="F826" s="569">
        <f t="shared" ref="F826:O826" si="299">F$824*F825</f>
        <v>7.3754410067598464E+17</v>
      </c>
      <c r="G826" s="569">
        <f t="shared" si="299"/>
        <v>7.4765739047511501E+17</v>
      </c>
      <c r="H826" s="569">
        <f t="shared" si="299"/>
        <v>6.7212947843727782E+17</v>
      </c>
      <c r="I826" s="569">
        <f t="shared" si="299"/>
        <v>6.2238804248092301E+17</v>
      </c>
      <c r="J826" s="569">
        <f t="shared" si="299"/>
        <v>5.867551047286871E+17</v>
      </c>
      <c r="K826" s="569">
        <f t="shared" si="299"/>
        <v>5.489727427962752E+17</v>
      </c>
      <c r="L826" s="569">
        <f t="shared" si="299"/>
        <v>5.1724334148688154E+17</v>
      </c>
      <c r="M826" s="569">
        <f t="shared" si="299"/>
        <v>4.8638637170993811E+17</v>
      </c>
      <c r="N826" s="569">
        <f t="shared" si="299"/>
        <v>4.6326806226913235E+17</v>
      </c>
      <c r="O826" s="569">
        <f t="shared" si="299"/>
        <v>4.4222488801702918E+17</v>
      </c>
      <c r="P826" s="18"/>
    </row>
    <row r="827" spans="1:17" s="16" customFormat="1">
      <c r="B827" s="973"/>
      <c r="C827" s="18"/>
      <c r="D827" s="18"/>
      <c r="E827" s="18"/>
      <c r="F827" s="144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 spans="1:17" s="16" customFormat="1">
      <c r="B828" s="982"/>
      <c r="C828" s="974" t="s">
        <v>942</v>
      </c>
      <c r="D828" s="974"/>
      <c r="E828" s="975" t="str">
        <f>Preferences.EnergyUnits</f>
        <v>TWh</v>
      </c>
      <c r="F828" s="974">
        <f t="shared" ref="F828:O828" si="300">MAX(F$826, 0)/Preferences.Unit.Energy</f>
        <v>204.87336129888465</v>
      </c>
      <c r="G828" s="974">
        <f t="shared" si="300"/>
        <v>207.68260846530976</v>
      </c>
      <c r="H828" s="974">
        <f t="shared" si="300"/>
        <v>186.70263289924387</v>
      </c>
      <c r="I828" s="974">
        <f t="shared" si="300"/>
        <v>172.88556735581196</v>
      </c>
      <c r="J828" s="974">
        <f t="shared" si="300"/>
        <v>162.98752909130201</v>
      </c>
      <c r="K828" s="974">
        <f t="shared" si="300"/>
        <v>152.4924285545209</v>
      </c>
      <c r="L828" s="974">
        <f t="shared" si="300"/>
        <v>143.67870596857821</v>
      </c>
      <c r="M828" s="974">
        <f t="shared" si="300"/>
        <v>135.10732547498282</v>
      </c>
      <c r="N828" s="974">
        <f t="shared" si="300"/>
        <v>128.68557285253678</v>
      </c>
      <c r="O828" s="974">
        <f t="shared" si="300"/>
        <v>122.84024667139701</v>
      </c>
    </row>
    <row r="829" spans="1:17" s="16" customFormat="1">
      <c r="B829" s="568"/>
      <c r="C829" s="1298"/>
      <c r="D829" s="1298"/>
      <c r="E829" s="568"/>
      <c r="F829" s="541"/>
      <c r="G829" s="541"/>
      <c r="H829" s="541"/>
      <c r="I829" s="541"/>
      <c r="J829" s="541"/>
      <c r="K829" s="541"/>
      <c r="L829" s="541"/>
      <c r="M829" s="541"/>
      <c r="N829" s="541"/>
      <c r="O829" s="541"/>
      <c r="P829" s="18"/>
    </row>
    <row r="830" spans="1:17" s="16" customFormat="1">
      <c r="B830" s="568"/>
      <c r="C830" s="1298"/>
      <c r="D830" s="1298"/>
      <c r="E830" s="568"/>
      <c r="F830" s="541"/>
      <c r="G830" s="541"/>
      <c r="H830" s="541"/>
      <c r="I830" s="541"/>
      <c r="J830" s="541"/>
      <c r="K830" s="541"/>
      <c r="L830" s="541"/>
      <c r="M830" s="541"/>
      <c r="N830" s="541"/>
      <c r="O830" s="541"/>
      <c r="P830" s="18"/>
    </row>
    <row r="831" spans="1:17" s="16" customFormat="1">
      <c r="B831" s="1298">
        <v>4</v>
      </c>
      <c r="C831" s="1298" t="s">
        <v>993</v>
      </c>
      <c r="D831" s="18"/>
      <c r="E831" s="568"/>
      <c r="F831" s="1243">
        <v>2007</v>
      </c>
      <c r="G831" s="1243">
        <v>2010</v>
      </c>
      <c r="H831" s="1243">
        <v>2015</v>
      </c>
      <c r="I831" s="1243">
        <v>2020</v>
      </c>
      <c r="J831" s="1243">
        <v>2025</v>
      </c>
      <c r="K831" s="1243">
        <v>2030</v>
      </c>
      <c r="L831" s="1243">
        <v>2035</v>
      </c>
      <c r="M831" s="1243">
        <v>2040</v>
      </c>
      <c r="N831" s="1243">
        <v>2045</v>
      </c>
      <c r="O831" s="1243">
        <v>2050</v>
      </c>
      <c r="P831" s="18"/>
    </row>
    <row r="832" spans="1:17" s="16" customFormat="1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 spans="2:25" s="16" customFormat="1">
      <c r="B833" s="973">
        <v>1</v>
      </c>
      <c r="C833" s="18" t="str">
        <f t="shared" ref="C833:C845" si="301">INDEX($D$76:$D$88, MATCH($B833, $C$76:$C$88, 0))</f>
        <v>Gas boiler (old)</v>
      </c>
      <c r="D833" s="18"/>
      <c r="E833" s="18"/>
      <c r="F833" s="21">
        <f t="array" ref="F833:F845">F$828*F$624:F$636</f>
        <v>137.26515207025273</v>
      </c>
      <c r="G833" s="21">
        <f t="array" ref="G833:G845">G$828*G$624:G$636</f>
        <v>125.73617460027212</v>
      </c>
      <c r="H833" s="21">
        <f t="array" ref="H833:H845">H$828*H$624:H$636</f>
        <v>86.347399945148908</v>
      </c>
      <c r="I833" s="21">
        <f t="array" ref="I833:I845">I$828*I$624:I$636</f>
        <v>68.534740423776853</v>
      </c>
      <c r="J833" s="21">
        <f t="array" ref="J833:J845">J$828*J$624:J$636</f>
        <v>53.842493281484657</v>
      </c>
      <c r="K833" s="21">
        <f t="array" ref="K833:K845">K$828*K$624:K$636</f>
        <v>40.300371964408093</v>
      </c>
      <c r="L833" s="21">
        <f t="array" ref="L833:L845">L$828*L$624:L$636</f>
        <v>28.478325196789875</v>
      </c>
      <c r="M833" s="21">
        <f t="array" ref="M833:M845">M$828*M$624:M$636</f>
        <v>17.852937104386925</v>
      </c>
      <c r="N833" s="21">
        <f t="array" ref="N833:N845">N$828*N$624:N$636</f>
        <v>8.5021867996481895</v>
      </c>
      <c r="O833" s="21">
        <f t="array" ref="O833:O845">O$828*O$624:O$636</f>
        <v>0</v>
      </c>
      <c r="P833" s="18"/>
    </row>
    <row r="834" spans="2:25" s="16" customFormat="1">
      <c r="B834" s="973">
        <v>2</v>
      </c>
      <c r="C834" s="18" t="str">
        <f t="shared" si="301"/>
        <v>Gas boiler (new)</v>
      </c>
      <c r="D834" s="18"/>
      <c r="E834" s="18"/>
      <c r="F834" s="21">
        <v>30.731004194832696</v>
      </c>
      <c r="G834" s="21">
        <v>49.979882081578019</v>
      </c>
      <c r="H834" s="21">
        <v>78.389478422916014</v>
      </c>
      <c r="I834" s="21">
        <v>62.218463544733901</v>
      </c>
      <c r="J834" s="21">
        <v>48.880278595604246</v>
      </c>
      <c r="K834" s="21">
        <v>36.586221942365974</v>
      </c>
      <c r="L834" s="21">
        <v>25.853714876795937</v>
      </c>
      <c r="M834" s="21">
        <v>16.20758041144283</v>
      </c>
      <c r="N834" s="21">
        <v>7.7186109726754584</v>
      </c>
      <c r="O834" s="21">
        <v>0</v>
      </c>
      <c r="P834" s="18"/>
    </row>
    <row r="835" spans="2:25" s="16" customFormat="1">
      <c r="B835" s="973">
        <v>3</v>
      </c>
      <c r="C835" s="18" t="str">
        <f t="shared" si="301"/>
        <v>Resistive heating</v>
      </c>
      <c r="D835" s="18"/>
      <c r="E835" s="18"/>
      <c r="F835" s="21">
        <v>20.487336129888465</v>
      </c>
      <c r="G835" s="21">
        <v>17.759195435255339</v>
      </c>
      <c r="H835" s="21">
        <v>12.195856568939522</v>
      </c>
      <c r="I835" s="21">
        <v>9.6799656356629225</v>
      </c>
      <c r="J835" s="21">
        <v>7.604807160287498</v>
      </c>
      <c r="K835" s="21">
        <v>5.6920944517733041</v>
      </c>
      <c r="L835" s="21">
        <v>4.0223280567138646</v>
      </c>
      <c r="M835" s="21">
        <v>2.521579808977604</v>
      </c>
      <c r="N835" s="21">
        <v>1.2008636136896871</v>
      </c>
      <c r="O835" s="21">
        <v>0</v>
      </c>
      <c r="P835" s="18"/>
    </row>
    <row r="836" spans="2:25" s="16" customFormat="1">
      <c r="B836" s="973">
        <v>4</v>
      </c>
      <c r="C836" s="18" t="str">
        <f t="shared" si="301"/>
        <v>Oil-fired boiler</v>
      </c>
      <c r="D836" s="18"/>
      <c r="E836" s="18"/>
      <c r="F836" s="21">
        <v>8.1949344519553868</v>
      </c>
      <c r="G836" s="21">
        <v>7.1036781741021358</v>
      </c>
      <c r="H836" s="21">
        <v>4.8783426275758091</v>
      </c>
      <c r="I836" s="21">
        <v>3.8719862542651691</v>
      </c>
      <c r="J836" s="21">
        <v>3.0419228641149991</v>
      </c>
      <c r="K836" s="21">
        <v>2.2768377807093212</v>
      </c>
      <c r="L836" s="21">
        <v>1.6089312226855457</v>
      </c>
      <c r="M836" s="21">
        <v>1.0086319235910415</v>
      </c>
      <c r="N836" s="21">
        <v>0.48034544547587454</v>
      </c>
      <c r="O836" s="21">
        <v>0</v>
      </c>
      <c r="P836" s="18"/>
    </row>
    <row r="837" spans="2:25" s="16" customFormat="1">
      <c r="B837" s="973">
        <v>5</v>
      </c>
      <c r="C837" s="18" t="str">
        <f t="shared" si="301"/>
        <v>Solid-fuel boiler</v>
      </c>
      <c r="D837" s="18"/>
      <c r="E837" s="18"/>
      <c r="F837" s="21">
        <v>8.1949344519553868</v>
      </c>
      <c r="G837" s="21">
        <v>7.1036781741021358</v>
      </c>
      <c r="H837" s="21">
        <v>4.8783426275758091</v>
      </c>
      <c r="I837" s="21">
        <v>3.8719862542651691</v>
      </c>
      <c r="J837" s="21">
        <v>3.0419228641149991</v>
      </c>
      <c r="K837" s="21">
        <v>2.2768377807093212</v>
      </c>
      <c r="L837" s="21">
        <v>1.6089312226855457</v>
      </c>
      <c r="M837" s="21">
        <v>1.0086319235910415</v>
      </c>
      <c r="N837" s="21">
        <v>0.48034544547587454</v>
      </c>
      <c r="O837" s="21">
        <v>0</v>
      </c>
      <c r="P837" s="18"/>
    </row>
    <row r="838" spans="2:25" s="16" customFormat="1">
      <c r="B838" s="973">
        <v>6</v>
      </c>
      <c r="C838" s="18" t="str">
        <f t="shared" si="301"/>
        <v>Stirling engine micro-CHP</v>
      </c>
      <c r="D838" s="18"/>
      <c r="E838" s="18"/>
      <c r="F838" s="21">
        <v>0</v>
      </c>
      <c r="G838" s="21">
        <v>0</v>
      </c>
      <c r="H838" s="21">
        <v>0</v>
      </c>
      <c r="I838" s="21">
        <v>0</v>
      </c>
      <c r="J838" s="21">
        <v>0</v>
      </c>
      <c r="K838" s="21">
        <v>0</v>
      </c>
      <c r="L838" s="21">
        <v>0</v>
      </c>
      <c r="M838" s="21">
        <v>0</v>
      </c>
      <c r="N838" s="21">
        <v>0</v>
      </c>
      <c r="O838" s="21">
        <v>0</v>
      </c>
      <c r="P838" s="18"/>
    </row>
    <row r="839" spans="2:25" s="16" customFormat="1">
      <c r="B839" s="973">
        <v>7</v>
      </c>
      <c r="C839" s="18" t="str">
        <f t="shared" si="301"/>
        <v>Fuel-cell micro-CHP</v>
      </c>
      <c r="D839" s="18"/>
      <c r="E839" s="18"/>
      <c r="F839" s="21">
        <v>0</v>
      </c>
      <c r="G839" s="21">
        <v>0</v>
      </c>
      <c r="H839" s="21">
        <v>0</v>
      </c>
      <c r="I839" s="21">
        <v>0</v>
      </c>
      <c r="J839" s="21">
        <v>0</v>
      </c>
      <c r="K839" s="21">
        <v>0</v>
      </c>
      <c r="L839" s="21">
        <v>0</v>
      </c>
      <c r="M839" s="21">
        <v>0</v>
      </c>
      <c r="N839" s="21">
        <v>0</v>
      </c>
      <c r="O839" s="21">
        <v>0</v>
      </c>
      <c r="P839" s="18"/>
    </row>
    <row r="840" spans="2:25" s="16" customFormat="1">
      <c r="B840" s="973">
        <v>8</v>
      </c>
      <c r="C840" s="18" t="str">
        <f t="shared" si="301"/>
        <v>Air-source heat pump</v>
      </c>
      <c r="D840" s="18"/>
      <c r="E840" s="18"/>
      <c r="F840" s="21">
        <v>0</v>
      </c>
      <c r="G840" s="21">
        <v>0</v>
      </c>
      <c r="H840" s="21">
        <v>0</v>
      </c>
      <c r="I840" s="21">
        <v>14.324804152338704</v>
      </c>
      <c r="J840" s="21">
        <v>27.009361963701473</v>
      </c>
      <c r="K840" s="21">
        <v>37.905260812123764</v>
      </c>
      <c r="L840" s="21">
        <v>47.619228263871634</v>
      </c>
      <c r="M840" s="21">
        <v>55.973034839635737</v>
      </c>
      <c r="N840" s="21">
        <v>63.975113360975421</v>
      </c>
      <c r="O840" s="21">
        <v>71.247343069410263</v>
      </c>
      <c r="P840" s="18"/>
    </row>
    <row r="841" spans="2:25" s="16" customFormat="1">
      <c r="B841" s="973">
        <v>9</v>
      </c>
      <c r="C841" s="18" t="str">
        <f t="shared" si="301"/>
        <v>Ground-source heat pump</v>
      </c>
      <c r="D841" s="18"/>
      <c r="E841" s="18"/>
      <c r="F841" s="21">
        <v>0</v>
      </c>
      <c r="G841" s="21">
        <v>0</v>
      </c>
      <c r="H841" s="21">
        <v>0</v>
      </c>
      <c r="I841" s="21">
        <v>7.4093814581062265</v>
      </c>
      <c r="J841" s="21">
        <v>13.970359636397315</v>
      </c>
      <c r="K841" s="21">
        <v>19.606169385581257</v>
      </c>
      <c r="L841" s="21">
        <v>24.630635308899123</v>
      </c>
      <c r="M841" s="21">
        <v>28.951569744639176</v>
      </c>
      <c r="N841" s="21">
        <v>33.090575876366607</v>
      </c>
      <c r="O841" s="21">
        <v>36.852074001419105</v>
      </c>
      <c r="P841" s="18"/>
    </row>
    <row r="842" spans="2:25" s="16" customFormat="1">
      <c r="B842" s="973">
        <v>10</v>
      </c>
      <c r="C842" s="18" t="str">
        <f t="shared" si="301"/>
        <v>Geothermal electricity</v>
      </c>
      <c r="D842" s="18"/>
      <c r="E842" s="18"/>
      <c r="F842" s="21">
        <v>0</v>
      </c>
      <c r="G842" s="21">
        <v>0</v>
      </c>
      <c r="H842" s="21">
        <v>0</v>
      </c>
      <c r="I842" s="21">
        <v>0.24697938193687421</v>
      </c>
      <c r="J842" s="21">
        <v>0.46567865454657714</v>
      </c>
      <c r="K842" s="21">
        <v>0.65353897951937534</v>
      </c>
      <c r="L842" s="21">
        <v>0.82102117696330412</v>
      </c>
      <c r="M842" s="21">
        <v>0.96505232482130576</v>
      </c>
      <c r="N842" s="21">
        <v>1.1030191958788866</v>
      </c>
      <c r="O842" s="21">
        <v>1.2284024667139701</v>
      </c>
      <c r="P842" s="18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2:25" s="16" customFormat="1">
      <c r="B843" s="973">
        <v>11</v>
      </c>
      <c r="C843" s="18" t="str">
        <f t="shared" si="301"/>
        <v>Community scale gas CHP with local district heating</v>
      </c>
      <c r="D843" s="18"/>
      <c r="E843" s="18"/>
      <c r="F843" s="21">
        <v>0</v>
      </c>
      <c r="G843" s="21">
        <v>0</v>
      </c>
      <c r="H843" s="21">
        <v>0</v>
      </c>
      <c r="I843" s="21">
        <v>0</v>
      </c>
      <c r="J843" s="21">
        <v>0</v>
      </c>
      <c r="K843" s="21">
        <v>0</v>
      </c>
      <c r="L843" s="21">
        <v>0</v>
      </c>
      <c r="M843" s="21">
        <v>0</v>
      </c>
      <c r="N843" s="21">
        <v>0</v>
      </c>
      <c r="O843" s="21">
        <v>0</v>
      </c>
      <c r="P843" s="18"/>
      <c r="R843" s="21"/>
      <c r="V843" s="21"/>
      <c r="W843" s="21"/>
      <c r="X843" s="21"/>
      <c r="Y843" s="21"/>
    </row>
    <row r="844" spans="2:25" s="16" customFormat="1">
      <c r="B844" s="973">
        <v>12</v>
      </c>
      <c r="C844" s="18" t="str">
        <f t="shared" si="301"/>
        <v>Community scale solid-fuel CHP with local district heating</v>
      </c>
      <c r="D844" s="18"/>
      <c r="E844" s="18"/>
      <c r="F844" s="21">
        <v>0</v>
      </c>
      <c r="G844" s="21">
        <v>0</v>
      </c>
      <c r="H844" s="21">
        <v>0</v>
      </c>
      <c r="I844" s="21">
        <v>0</v>
      </c>
      <c r="J844" s="21">
        <v>0</v>
      </c>
      <c r="K844" s="21">
        <v>0</v>
      </c>
      <c r="L844" s="21">
        <v>0</v>
      </c>
      <c r="M844" s="21">
        <v>0</v>
      </c>
      <c r="N844" s="21">
        <v>0</v>
      </c>
      <c r="O844" s="21">
        <v>0</v>
      </c>
      <c r="P844" s="18"/>
      <c r="V844" s="21"/>
      <c r="W844" s="21"/>
      <c r="X844" s="21"/>
      <c r="Y844" s="21"/>
    </row>
    <row r="845" spans="2:25" s="16" customFormat="1">
      <c r="B845" s="973">
        <v>13</v>
      </c>
      <c r="C845" s="18" t="str">
        <f t="shared" si="301"/>
        <v>Long distance district heating from large power stations</v>
      </c>
      <c r="D845" s="18"/>
      <c r="E845" s="18"/>
      <c r="F845" s="21">
        <v>0</v>
      </c>
      <c r="G845" s="21">
        <v>0</v>
      </c>
      <c r="H845" s="21">
        <v>0</v>
      </c>
      <c r="I845" s="21">
        <v>2.7167732013056165</v>
      </c>
      <c r="J845" s="21">
        <v>5.122465200012349</v>
      </c>
      <c r="K845" s="21">
        <v>7.188928774713129</v>
      </c>
      <c r="L845" s="21">
        <v>9.0312329465963455</v>
      </c>
      <c r="M845" s="21">
        <v>10.615575573034365</v>
      </c>
      <c r="N845" s="21">
        <v>12.133211154667752</v>
      </c>
      <c r="O845" s="21">
        <v>13.512427133853672</v>
      </c>
      <c r="P845" s="18"/>
      <c r="W845" s="21"/>
      <c r="X845" s="21"/>
      <c r="Y845" s="21"/>
    </row>
    <row r="846" spans="2:25" s="16" customFormat="1">
      <c r="B846" s="973"/>
      <c r="C846" s="18"/>
      <c r="D846" s="18"/>
      <c r="E846" s="568" t="str">
        <f>Preferences.EnergyUnits</f>
        <v>TWh</v>
      </c>
      <c r="F846" s="984">
        <f>SUM(F833:F845)</f>
        <v>204.87336129888467</v>
      </c>
      <c r="G846" s="984">
        <f t="shared" ref="G846:O846" si="302">SUM(G833:G845)</f>
        <v>207.68260846530976</v>
      </c>
      <c r="H846" s="984">
        <f t="shared" si="302"/>
        <v>186.68942019215609</v>
      </c>
      <c r="I846" s="984">
        <f t="shared" si="302"/>
        <v>172.87508030639145</v>
      </c>
      <c r="J846" s="984">
        <f t="shared" si="302"/>
        <v>162.97929022026409</v>
      </c>
      <c r="K846" s="984">
        <f t="shared" si="302"/>
        <v>152.48626187190354</v>
      </c>
      <c r="L846" s="984">
        <f t="shared" si="302"/>
        <v>143.67434827200117</v>
      </c>
      <c r="M846" s="984">
        <f t="shared" si="302"/>
        <v>135.10459365412004</v>
      </c>
      <c r="N846" s="984">
        <f t="shared" si="302"/>
        <v>128.68427186485374</v>
      </c>
      <c r="O846" s="984">
        <f t="shared" si="302"/>
        <v>122.84024667139701</v>
      </c>
      <c r="P846" s="18"/>
      <c r="Q846" s="21"/>
      <c r="W846" s="21"/>
      <c r="X846" s="21"/>
      <c r="Y846" s="21"/>
    </row>
    <row r="847" spans="2:25" s="16" customFormat="1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W847" s="21"/>
      <c r="X847" s="21"/>
      <c r="Y847" s="21"/>
    </row>
    <row r="848" spans="2:25" s="16" customFormat="1">
      <c r="B848" s="1298"/>
      <c r="C848" s="1298" t="s">
        <v>694</v>
      </c>
      <c r="D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W848" s="21"/>
      <c r="X848" s="21"/>
      <c r="Y848" s="21"/>
    </row>
    <row r="849" spans="2:25" s="16" customFormat="1">
      <c r="B849" s="18"/>
      <c r="C849" s="18"/>
      <c r="D849" s="18"/>
      <c r="E849" s="18"/>
      <c r="F849" s="21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W849" s="21"/>
      <c r="X849" s="21"/>
      <c r="Y849" s="21"/>
    </row>
    <row r="850" spans="2:25" s="16" customFormat="1">
      <c r="B850" s="973" t="s">
        <v>40</v>
      </c>
      <c r="C850" s="16" t="str">
        <f>INDEX(Vectors[Description], MATCH($B850, Vectors[Code], 0))</f>
        <v>Electricity (delivered to end user)</v>
      </c>
      <c r="D850" s="18"/>
      <c r="E850" s="18"/>
      <c r="F850" s="21">
        <f t="array" ref="F850">SUM(F$833:F$845/$M$129:$M$141*($B850=$F$128:$N$128)*($F$129:$N$141))</f>
        <v>-20.487336129888465</v>
      </c>
      <c r="G850" s="21">
        <f t="array" ref="G850">SUM(G$833:G$845/$M$129:$M$141*($B850=$F$128:$N$128)*($F$129:$N$141))</f>
        <v>-17.759195435255339</v>
      </c>
      <c r="H850" s="21">
        <f t="array" ref="H850">SUM(H$833:H$845/$M$129:$M$141*($B850=$F$128:$N$128)*($F$129:$N$141))</f>
        <v>-12.195856568939522</v>
      </c>
      <c r="I850" s="21">
        <f t="array" ref="I850">SUM(I$833:I$845/$M$129:$M$141*($B850=$F$128:$N$128)*($F$129:$N$141))</f>
        <v>-16.307245717635713</v>
      </c>
      <c r="J850" s="21">
        <f t="array" ref="J850">SUM(J$833:J$845/$M$129:$M$141*($B850=$F$128:$N$128)*($F$129:$N$141))</f>
        <v>-20.100517723953985</v>
      </c>
      <c r="K850" s="21">
        <f t="array" ref="K850">SUM(K$833:K$845/$M$129:$M$141*($B850=$F$128:$N$128)*($F$129:$N$141))</f>
        <v>-23.228723735543205</v>
      </c>
      <c r="L850" s="21">
        <f t="array" ref="L850">SUM(L$833:L$845/$M$129:$M$141*($B850=$F$128:$N$128)*($F$129:$N$141))</f>
        <v>-26.053062971895855</v>
      </c>
      <c r="M850" s="21">
        <f t="array" ref="M850">SUM(M$833:M$845/$M$129:$M$141*($B850=$F$128:$N$128)*($F$129:$N$141))</f>
        <v>-28.417150525015973</v>
      </c>
      <c r="N850" s="21">
        <f t="array" ref="N850">SUM(N$833:N$845/$M$129:$M$141*($B850=$F$128:$N$128)*($F$129:$N$141))</f>
        <v>-30.798545369773144</v>
      </c>
      <c r="O850" s="21">
        <f t="array" ref="O850">SUM(O$833:O$845/$M$129:$M$141*($B850=$F$128:$N$128)*($F$129:$N$141))</f>
        <v>-32.962132856824866</v>
      </c>
      <c r="P850" s="18"/>
      <c r="W850" s="21"/>
      <c r="X850" s="21"/>
      <c r="Y850" s="21"/>
    </row>
    <row r="851" spans="2:25" s="16" customFormat="1">
      <c r="B851" s="973" t="s">
        <v>41</v>
      </c>
      <c r="C851" s="16" t="str">
        <f>INDEX(Vectors[Description], MATCH($B851, Vectors[Code], 0))</f>
        <v>Electricity (supplied to grid)</v>
      </c>
      <c r="D851" s="18"/>
      <c r="E851" s="18"/>
      <c r="F851" s="21">
        <f t="array" ref="F851">SUM(F$833:F$845/$M$129:$M$141*($B851=$F$128:$N$128)*($F$129:$N$141))</f>
        <v>0</v>
      </c>
      <c r="G851" s="21">
        <f t="array" ref="G851">SUM(G$833:G$845/$M$129:$M$141*($B851=$F$128:$N$128)*($F$129:$N$141))</f>
        <v>0</v>
      </c>
      <c r="H851" s="21">
        <f t="array" ref="H851">SUM(H$833:H$845/$M$129:$M$141*($B851=$F$128:$N$128)*($F$129:$N$141))</f>
        <v>0</v>
      </c>
      <c r="I851" s="21">
        <f t="array" ref="I851">SUM(I$833:I$845/$M$129:$M$141*($B851=$F$128:$N$128)*($F$129:$N$141))</f>
        <v>0</v>
      </c>
      <c r="J851" s="21">
        <f t="array" ref="J851">SUM(J$833:J$845/$M$129:$M$141*($B851=$F$128:$N$128)*($F$129:$N$141))</f>
        <v>0</v>
      </c>
      <c r="K851" s="21">
        <f t="array" ref="K851">SUM(K$833:K$845/$M$129:$M$141*($B851=$F$128:$N$128)*($F$129:$N$141))</f>
        <v>0</v>
      </c>
      <c r="L851" s="21">
        <f t="array" ref="L851">SUM(L$833:L$845/$M$129:$M$141*($B851=$F$128:$N$128)*($F$129:$N$141))</f>
        <v>0</v>
      </c>
      <c r="M851" s="21">
        <f t="array" ref="M851">SUM(M$833:M$845/$M$129:$M$141*($B851=$F$128:$N$128)*($F$129:$N$141))</f>
        <v>0</v>
      </c>
      <c r="N851" s="21">
        <f t="array" ref="N851">SUM(N$833:N$845/$M$129:$M$141*($B851=$F$128:$N$128)*($F$129:$N$141))</f>
        <v>0</v>
      </c>
      <c r="O851" s="21">
        <f t="array" ref="O851">SUM(O$833:O$845/$M$129:$M$141*($B851=$F$128:$N$128)*($F$129:$N$141))</f>
        <v>0</v>
      </c>
      <c r="P851" s="18"/>
      <c r="W851" s="21"/>
      <c r="X851" s="21"/>
      <c r="Y851" s="21"/>
    </row>
    <row r="852" spans="2:25" s="16" customFormat="1">
      <c r="B852" s="973" t="s">
        <v>42</v>
      </c>
      <c r="C852" s="16" t="str">
        <f>INDEX(Vectors[Description], MATCH($B852, Vectors[Code], 0))</f>
        <v>Solid hydrocarbons</v>
      </c>
      <c r="D852" s="18"/>
      <c r="E852" s="18"/>
      <c r="F852" s="21">
        <f t="array" ref="F852">SUM(F$833:F$845/$M$129:$M$141*($B852=$F$128:$N$128)*($F$129:$N$141))</f>
        <v>-9.4194648873050415</v>
      </c>
      <c r="G852" s="21">
        <f t="array" ref="G852">SUM(G$833:G$845/$M$129:$M$141*($B852=$F$128:$N$128)*($F$129:$N$141))</f>
        <v>-8.1651473265541785</v>
      </c>
      <c r="H852" s="21">
        <f t="array" ref="H852">SUM(H$833:H$845/$M$129:$M$141*($B852=$F$128:$N$128)*($F$129:$N$141))</f>
        <v>-5.6072903765239186</v>
      </c>
      <c r="I852" s="21">
        <f t="array" ref="I852">SUM(I$833:I$845/$M$129:$M$141*($B852=$F$128:$N$128)*($F$129:$N$141))</f>
        <v>-4.4505589129484706</v>
      </c>
      <c r="J852" s="21">
        <f t="array" ref="J852">SUM(J$833:J$845/$M$129:$M$141*($B852=$F$128:$N$128)*($F$129:$N$141))</f>
        <v>-3.4964630622011486</v>
      </c>
      <c r="K852" s="21">
        <f t="array" ref="K852">SUM(K$833:K$845/$M$129:$M$141*($B852=$F$128:$N$128)*($F$129:$N$141))</f>
        <v>-2.6170549203555415</v>
      </c>
      <c r="L852" s="21">
        <f t="array" ref="L852">SUM(L$833:L$845/$M$129:$M$141*($B852=$F$128:$N$128)*($F$129:$N$141))</f>
        <v>-1.8493462329718915</v>
      </c>
      <c r="M852" s="21">
        <f t="array" ref="M852">SUM(M$833:M$845/$M$129:$M$141*($B852=$F$128:$N$128)*($F$129:$N$141))</f>
        <v>-1.1593470386103926</v>
      </c>
      <c r="N852" s="21">
        <f t="array" ref="N852">SUM(N$833:N$845/$M$129:$M$141*($B852=$F$128:$N$128)*($F$129:$N$141))</f>
        <v>-0.55212120169640755</v>
      </c>
      <c r="O852" s="21">
        <f t="array" ref="O852">SUM(O$833:O$845/$M$129:$M$141*($B852=$F$128:$N$128)*($F$129:$N$141))</f>
        <v>0</v>
      </c>
      <c r="P852" s="18"/>
      <c r="W852" s="21"/>
      <c r="X852" s="21"/>
      <c r="Y852" s="21"/>
    </row>
    <row r="853" spans="2:25" s="16" customFormat="1">
      <c r="B853" s="973" t="s">
        <v>44</v>
      </c>
      <c r="C853" s="16" t="str">
        <f>INDEX(Vectors[Description], MATCH($B853, Vectors[Code], 0))</f>
        <v>Liquid hydrocarbons</v>
      </c>
      <c r="D853" s="18"/>
      <c r="E853" s="18"/>
      <c r="F853" s="21">
        <f t="array" ref="F853">SUM(F$833:F$845/$M$129:$M$141*($B853=$F$128:$N$128)*($F$129:$N$141))</f>
        <v>-8.4483860329436986</v>
      </c>
      <c r="G853" s="21">
        <f t="array" ref="G853">SUM(G$833:G$845/$M$129:$M$141*($B853=$F$128:$N$128)*($F$129:$N$141))</f>
        <v>-7.3233795609300367</v>
      </c>
      <c r="H853" s="21">
        <f t="array" ref="H853">SUM(H$833:H$845/$M$129:$M$141*($B853=$F$128:$N$128)*($F$129:$N$141))</f>
        <v>-5.0292192036864014</v>
      </c>
      <c r="I853" s="21">
        <f t="array" ref="I853">SUM(I$833:I$845/$M$129:$M$141*($B853=$F$128:$N$128)*($F$129:$N$141))</f>
        <v>-3.9917384064589374</v>
      </c>
      <c r="J853" s="21">
        <f t="array" ref="J853">SUM(J$833:J$845/$M$129:$M$141*($B853=$F$128:$N$128)*($F$129:$N$141))</f>
        <v>-3.1360029526958755</v>
      </c>
      <c r="K853" s="21">
        <f t="array" ref="K853">SUM(K$833:K$845/$M$129:$M$141*($B853=$F$128:$N$128)*($F$129:$N$141))</f>
        <v>-2.3472554440302282</v>
      </c>
      <c r="L853" s="21">
        <f t="array" ref="L853">SUM(L$833:L$845/$M$129:$M$141*($B853=$F$128:$N$128)*($F$129:$N$141))</f>
        <v>-1.6586919821500472</v>
      </c>
      <c r="M853" s="21">
        <f t="array" ref="M853">SUM(M$833:M$845/$M$129:$M$141*($B853=$F$128:$N$128)*($F$129:$N$141))</f>
        <v>-1.0398267253515892</v>
      </c>
      <c r="N853" s="21">
        <f t="array" ref="N853">SUM(N$833:N$845/$M$129:$M$141*($B853=$F$128:$N$128)*($F$129:$N$141))</f>
        <v>-0.49520149018131399</v>
      </c>
      <c r="O853" s="21">
        <f t="array" ref="O853">SUM(O$833:O$845/$M$129:$M$141*($B853=$F$128:$N$128)*($F$129:$N$141))</f>
        <v>0</v>
      </c>
      <c r="P853" s="18"/>
      <c r="W853" s="21"/>
      <c r="X853" s="21"/>
      <c r="Y853" s="21"/>
    </row>
    <row r="854" spans="2:25" s="16" customFormat="1">
      <c r="B854" s="973" t="s">
        <v>45</v>
      </c>
      <c r="C854" s="16" t="str">
        <f>INDEX(Vectors[Description], MATCH($B854, Vectors[Code], 0))</f>
        <v>Gaseous hydrocarbons</v>
      </c>
      <c r="D854" s="18"/>
      <c r="E854" s="18"/>
      <c r="F854" s="21">
        <f t="array" ref="F854">SUM(F$833:F$845/$M$129:$M$141*($B854=$F$128:$N$128)*($F$129:$N$141))</f>
        <v>-214.3823764777369</v>
      </c>
      <c r="G854" s="21">
        <f t="array" ref="G854">SUM(G$833:G$845/$M$129:$M$141*($B854=$F$128:$N$128)*($F$129:$N$141))</f>
        <v>-220.36528234275147</v>
      </c>
      <c r="H854" s="21">
        <f t="array" ref="H854">SUM(H$833:H$845/$M$129:$M$141*($B854=$F$128:$N$128)*($F$129:$N$141))</f>
        <v>-199.75728390905391</v>
      </c>
      <c r="I854" s="21">
        <f t="array" ref="I854">SUM(I$833:I$845/$M$129:$M$141*($B854=$F$128:$N$128)*($F$129:$N$141))</f>
        <v>-158.54922799253137</v>
      </c>
      <c r="J854" s="21">
        <f t="array" ref="J854">SUM(J$833:J$845/$M$129:$M$141*($B854=$F$128:$N$128)*($F$129:$N$141))</f>
        <v>-124.5599777599917</v>
      </c>
      <c r="K854" s="21">
        <f t="array" ref="K854">SUM(K$833:K$845/$M$129:$M$141*($B854=$F$128:$N$128)*($F$129:$N$141))</f>
        <v>-93.231444713431898</v>
      </c>
      <c r="L854" s="21">
        <f t="array" ref="L854">SUM(L$833:L$845/$M$129:$M$141*($B854=$F$128:$N$128)*($F$129:$N$141))</f>
        <v>-65.882156210878676</v>
      </c>
      <c r="M854" s="21">
        <f t="array" ref="M854">SUM(M$833:M$845/$M$129:$M$141*($B854=$F$128:$N$128)*($F$129:$N$141))</f>
        <v>-41.301234640961034</v>
      </c>
      <c r="N854" s="21">
        <f t="array" ref="N854">SUM(N$833:N$845/$M$129:$M$141*($B854=$F$128:$N$128)*($F$129:$N$141))</f>
        <v>-19.669077974137075</v>
      </c>
      <c r="O854" s="21">
        <f t="array" ref="O854">SUM(O$833:O$845/$M$129:$M$141*($B854=$F$128:$N$128)*($F$129:$N$141))</f>
        <v>0</v>
      </c>
      <c r="P854" s="18"/>
      <c r="W854" s="21"/>
      <c r="X854" s="21"/>
      <c r="Y854" s="21"/>
    </row>
    <row r="855" spans="2:25" s="16" customFormat="1">
      <c r="B855" s="973" t="s">
        <v>625</v>
      </c>
      <c r="C855" s="16" t="str">
        <f>INDEX(Vectors[Description], MATCH($B855, Vectors[Code], 0))</f>
        <v>Heat transport</v>
      </c>
      <c r="D855" s="18"/>
      <c r="E855" s="18"/>
      <c r="F855" s="21">
        <f t="array" ref="F855">SUM(F$833:F$845/$M$129:$M$141*($B855=$F$128:$N$128)*($F$129:$N$141))</f>
        <v>0</v>
      </c>
      <c r="G855" s="21">
        <f t="array" ref="G855">SUM(G$833:G$845/$M$129:$M$141*($B855=$F$128:$N$128)*($F$129:$N$141))</f>
        <v>0</v>
      </c>
      <c r="H855" s="21">
        <f t="array" ref="H855">SUM(H$833:H$845/$M$129:$M$141*($B855=$F$128:$N$128)*($F$129:$N$141))</f>
        <v>0</v>
      </c>
      <c r="I855" s="21">
        <f t="array" ref="I855">SUM(I$833:I$845/$M$129:$M$141*($B855=$F$128:$N$128)*($F$129:$N$141))</f>
        <v>-3.0186368903395739</v>
      </c>
      <c r="J855" s="21">
        <f t="array" ref="J855">SUM(J$833:J$845/$M$129:$M$141*($B855=$F$128:$N$128)*($F$129:$N$141))</f>
        <v>-5.6916280000137212</v>
      </c>
      <c r="K855" s="21">
        <f t="array" ref="K855">SUM(K$833:K$845/$M$129:$M$141*($B855=$F$128:$N$128)*($F$129:$N$141))</f>
        <v>-7.9876986385701434</v>
      </c>
      <c r="L855" s="21">
        <f t="array" ref="L855">SUM(L$833:L$845/$M$129:$M$141*($B855=$F$128:$N$128)*($F$129:$N$141))</f>
        <v>-10.034703273995939</v>
      </c>
      <c r="M855" s="21">
        <f t="array" ref="M855">SUM(M$833:M$845/$M$129:$M$141*($B855=$F$128:$N$128)*($F$129:$N$141))</f>
        <v>-11.795083970038183</v>
      </c>
      <c r="N855" s="21">
        <f t="array" ref="N855">SUM(N$833:N$845/$M$129:$M$141*($B855=$F$128:$N$128)*($F$129:$N$141))</f>
        <v>-13.481345727408613</v>
      </c>
      <c r="O855" s="21">
        <f t="array" ref="O855">SUM(O$833:O$845/$M$129:$M$141*($B855=$F$128:$N$128)*($F$129:$N$141))</f>
        <v>-15.013807926504079</v>
      </c>
      <c r="P855" s="18"/>
      <c r="W855" s="21"/>
      <c r="X855" s="21"/>
      <c r="Y855" s="21"/>
    </row>
    <row r="856" spans="2:25" s="16" customFormat="1">
      <c r="B856" s="973" t="s">
        <v>98</v>
      </c>
      <c r="C856" s="16" t="str">
        <f>INDEX(Vectors[Description], MATCH($B856, Vectors[Code], 0))</f>
        <v>Environmental heat</v>
      </c>
      <c r="D856" s="18"/>
      <c r="E856" s="18"/>
      <c r="F856" s="21">
        <f t="array" ref="F856">SUM(F$833:F$845/$M$129:$M$141*($B856=$F$128:$N$128)*($F$129:$N$141))</f>
        <v>0</v>
      </c>
      <c r="G856" s="21">
        <f t="array" ref="G856">SUM(G$833:G$845/$M$129:$M$141*($B856=$F$128:$N$128)*($F$129:$N$141))</f>
        <v>0</v>
      </c>
      <c r="H856" s="21">
        <f t="array" ref="H856">SUM(H$833:H$845/$M$129:$M$141*($B856=$F$128:$N$128)*($F$129:$N$141))</f>
        <v>0</v>
      </c>
      <c r="I856" s="21">
        <f t="array" ref="I856">SUM(I$833:I$845/$M$129:$M$141*($B856=$F$128:$N$128)*($F$129:$N$141))</f>
        <v>-15.397469507221404</v>
      </c>
      <c r="J856" s="21">
        <f t="array" ref="J856">SUM(J$833:J$845/$M$129:$M$141*($B856=$F$128:$N$128)*($F$129:$N$141))</f>
        <v>-29.031868277075333</v>
      </c>
      <c r="K856" s="21">
        <f t="array" ref="K856">SUM(K$833:K$845/$M$129:$M$141*($B856=$F$128:$N$128)*($F$129:$N$141))</f>
        <v>-40.743670301604972</v>
      </c>
      <c r="L856" s="21">
        <f t="array" ref="L856">SUM(L$833:L$845/$M$129:$M$141*($B856=$F$128:$N$128)*($F$129:$N$141))</f>
        <v>-51.185035924604421</v>
      </c>
      <c r="M856" s="21">
        <f t="array" ref="M856">SUM(M$833:M$845/$M$129:$M$141*($B856=$F$128:$N$128)*($F$129:$N$141))</f>
        <v>-60.164389544496899</v>
      </c>
      <c r="N856" s="21">
        <f t="array" ref="N856">SUM(N$833:N$845/$M$129:$M$141*($B856=$F$128:$N$128)*($F$129:$N$141))</f>
        <v>-68.765677123469018</v>
      </c>
      <c r="O856" s="21">
        <f t="array" ref="O856">SUM(O$833:O$845/$M$129:$M$141*($B856=$F$128:$N$128)*($F$129:$N$141))</f>
        <v>-76.582463586609165</v>
      </c>
      <c r="P856" s="18"/>
      <c r="W856" s="21"/>
      <c r="X856" s="21"/>
      <c r="Y856" s="21"/>
    </row>
    <row r="857" spans="2:25" s="16" customFormat="1">
      <c r="B857" s="973" t="s">
        <v>6</v>
      </c>
      <c r="C857" s="16" t="str">
        <f>INDEX(Vectors[Description], MATCH($B857, Vectors[Code], 0))</f>
        <v>Heating &amp; cooling</v>
      </c>
      <c r="D857" s="18"/>
      <c r="E857" s="18"/>
      <c r="F857" s="21">
        <f t="array" ref="F857">SUM(F$833:F$845/$M$129:$M$141*($B857=$F$128:$N$128)*($F$129:$N$141))</f>
        <v>204.87336129888465</v>
      </c>
      <c r="G857" s="21">
        <f t="array" ref="G857">SUM(G$833:G$845/$M$129:$M$141*($B857=$F$128:$N$128)*($F$129:$N$141))</f>
        <v>207.68260846530973</v>
      </c>
      <c r="H857" s="21">
        <f t="array" ref="H857">SUM(H$833:H$845/$M$129:$M$141*($B857=$F$128:$N$128)*($F$129:$N$141))</f>
        <v>186.68942019215609</v>
      </c>
      <c r="I857" s="21">
        <f t="array" ref="I857">SUM(I$833:I$845/$M$129:$M$141*($B857=$F$128:$N$128)*($F$129:$N$141))</f>
        <v>172.87508030639148</v>
      </c>
      <c r="J857" s="21">
        <f t="array" ref="J857">SUM(J$833:J$845/$M$129:$M$141*($B857=$F$128:$N$128)*($F$129:$N$141))</f>
        <v>162.97929022026409</v>
      </c>
      <c r="K857" s="21">
        <f t="array" ref="K857">SUM(K$833:K$845/$M$129:$M$141*($B857=$F$128:$N$128)*($F$129:$N$141))</f>
        <v>152.48626187190354</v>
      </c>
      <c r="L857" s="21">
        <f t="array" ref="L857">SUM(L$833:L$845/$M$129:$M$141*($B857=$F$128:$N$128)*($F$129:$N$141))</f>
        <v>143.67434827200117</v>
      </c>
      <c r="M857" s="21">
        <f t="array" ref="M857">SUM(M$833:M$845/$M$129:$M$141*($B857=$F$128:$N$128)*($F$129:$N$141))</f>
        <v>135.10459365412001</v>
      </c>
      <c r="N857" s="21">
        <f t="array" ref="N857">SUM(N$833:N$845/$M$129:$M$141*($B857=$F$128:$N$128)*($F$129:$N$141))</f>
        <v>128.68427186485374</v>
      </c>
      <c r="O857" s="21">
        <f t="array" ref="O857">SUM(O$833:O$845/$M$129:$M$141*($B857=$F$128:$N$128)*($F$129:$N$141))</f>
        <v>122.84024667139701</v>
      </c>
      <c r="P857" s="18"/>
      <c r="W857" s="21"/>
      <c r="X857" s="21"/>
      <c r="Y857" s="21"/>
    </row>
    <row r="858" spans="2:25" s="16" customFormat="1">
      <c r="B858" s="973" t="s">
        <v>31</v>
      </c>
      <c r="C858" s="16" t="str">
        <f>INDEX(Vectors[Description], MATCH($B858, Vectors[Code], 0))</f>
        <v>Conversion losses</v>
      </c>
      <c r="D858" s="18"/>
      <c r="E858" s="18"/>
      <c r="F858" s="21">
        <f t="array" ref="F858">SUM(F$833:F$845/$M$129:$M$141*($B858=$F$128:$N$128)*($F$129:$N$141))</f>
        <v>47.864202228989427</v>
      </c>
      <c r="G858" s="21">
        <f t="array" ref="G858">SUM(G$833:G$845/$M$129:$M$141*($B858=$F$128:$N$128)*($F$129:$N$141))</f>
        <v>45.930396200181278</v>
      </c>
      <c r="H858" s="21">
        <f t="array" ref="H858">SUM(H$833:H$845/$M$129:$M$141*($B858=$F$128:$N$128)*($F$129:$N$141))</f>
        <v>35.900229866047674</v>
      </c>
      <c r="I858" s="21">
        <f t="array" ref="I858">SUM(I$833:I$845/$M$129:$M$141*($B858=$F$128:$N$128)*($F$129:$N$141))</f>
        <v>28.839797120744045</v>
      </c>
      <c r="J858" s="21">
        <f t="array" ref="J858">SUM(J$833:J$845/$M$129:$M$141*($B858=$F$128:$N$128)*($F$129:$N$141))</f>
        <v>23.037167555667654</v>
      </c>
      <c r="K858" s="21">
        <f t="array" ref="K858">SUM(K$833:K$845/$M$129:$M$141*($B858=$F$128:$N$128)*($F$129:$N$141))</f>
        <v>17.669585881632454</v>
      </c>
      <c r="L858" s="21">
        <f t="array" ref="L858">SUM(L$833:L$845/$M$129:$M$141*($B858=$F$128:$N$128)*($F$129:$N$141))</f>
        <v>12.98864832449566</v>
      </c>
      <c r="M858" s="21">
        <f t="array" ref="M858">SUM(M$833:M$845/$M$129:$M$141*($B858=$F$128:$N$128)*($F$129:$N$141))</f>
        <v>8.7724387903540517</v>
      </c>
      <c r="N858" s="21">
        <f t="array" ref="N858">SUM(N$833:N$845/$M$129:$M$141*($B858=$F$128:$N$128)*($F$129:$N$141))</f>
        <v>5.0776970218118285</v>
      </c>
      <c r="O858" s="21">
        <f t="array" ref="O858">SUM(O$833:O$845/$M$129:$M$141*($B858=$F$128:$N$128)*($F$129:$N$141))</f>
        <v>1.7181576985411084</v>
      </c>
      <c r="P858" s="18"/>
      <c r="W858" s="21"/>
      <c r="X858" s="21"/>
      <c r="Y858" s="21"/>
    </row>
    <row r="859" spans="2:25" s="16" customFormat="1">
      <c r="B859" s="973"/>
      <c r="D859" s="18"/>
      <c r="E859" s="568" t="str">
        <f>Preferences.EnergyUnits</f>
        <v>TWh</v>
      </c>
      <c r="F859" s="984">
        <f>SUM(F850:F858)</f>
        <v>0</v>
      </c>
      <c r="G859" s="984">
        <f t="shared" ref="G859:O859" si="303">SUM(G850:G858)</f>
        <v>0</v>
      </c>
      <c r="H859" s="984">
        <f t="shared" si="303"/>
        <v>0</v>
      </c>
      <c r="I859" s="984">
        <f t="shared" si="303"/>
        <v>6.3948846218409017E-14</v>
      </c>
      <c r="J859" s="984">
        <f t="shared" si="303"/>
        <v>0</v>
      </c>
      <c r="K859" s="984">
        <f t="shared" si="303"/>
        <v>0</v>
      </c>
      <c r="L859" s="984">
        <f t="shared" si="303"/>
        <v>0</v>
      </c>
      <c r="M859" s="984">
        <f t="shared" si="303"/>
        <v>-2.1316282072803006E-14</v>
      </c>
      <c r="N859" s="984">
        <f t="shared" si="303"/>
        <v>1.3322676295501878E-14</v>
      </c>
      <c r="O859" s="984">
        <f t="shared" si="303"/>
        <v>1.7097434579227411E-14</v>
      </c>
      <c r="P859" s="18"/>
      <c r="W859" s="21"/>
      <c r="X859" s="21"/>
      <c r="Y859" s="21"/>
    </row>
    <row r="860" spans="2:25" s="16" customFormat="1">
      <c r="B860" s="18"/>
      <c r="C860" s="18"/>
      <c r="D860" s="18"/>
      <c r="E860" s="18"/>
      <c r="F860" s="21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W860" s="21"/>
      <c r="X860" s="21"/>
      <c r="Y860" s="21"/>
    </row>
    <row r="861" spans="2:25" s="16" customFormat="1">
      <c r="B861" s="18"/>
      <c r="C861" s="18"/>
      <c r="D861" s="18"/>
      <c r="E861" s="18"/>
      <c r="F861" s="21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W861" s="21"/>
      <c r="X861" s="21"/>
      <c r="Y861" s="21"/>
    </row>
    <row r="862" spans="2:25" s="16" customFormat="1">
      <c r="B862" s="18"/>
      <c r="C862" s="18"/>
      <c r="D862" s="18"/>
      <c r="E862" s="18"/>
      <c r="F862" s="21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W862" s="21"/>
      <c r="X862" s="21"/>
      <c r="Y862" s="21"/>
    </row>
    <row r="863" spans="2:25" s="16" customFormat="1">
      <c r="B863" s="1298">
        <v>5</v>
      </c>
      <c r="C863" s="1298" t="s">
        <v>1007</v>
      </c>
      <c r="D863" s="18"/>
      <c r="E863" s="568"/>
      <c r="F863" s="1243">
        <v>2007</v>
      </c>
      <c r="G863" s="1243">
        <v>2010</v>
      </c>
      <c r="H863" s="1243">
        <v>2015</v>
      </c>
      <c r="I863" s="1243">
        <v>2020</v>
      </c>
      <c r="J863" s="1243">
        <v>2025</v>
      </c>
      <c r="K863" s="1243">
        <v>2030</v>
      </c>
      <c r="L863" s="1243">
        <v>2035</v>
      </c>
      <c r="M863" s="1243">
        <v>2040</v>
      </c>
      <c r="N863" s="1243">
        <v>2045</v>
      </c>
      <c r="O863" s="1243">
        <v>2050</v>
      </c>
      <c r="P863" s="18"/>
      <c r="W863" s="21"/>
      <c r="X863" s="21"/>
      <c r="Y863" s="21"/>
    </row>
    <row r="864" spans="2:25" s="16" customFormat="1">
      <c r="B864" s="18"/>
      <c r="C864" s="18"/>
      <c r="D864" s="18"/>
      <c r="E864" s="18"/>
      <c r="F864" s="21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W864" s="21"/>
      <c r="X864" s="21"/>
      <c r="Y864" s="21"/>
    </row>
    <row r="865" spans="2:25" s="16" customFormat="1">
      <c r="B865" s="18"/>
      <c r="C865" s="1298" t="s">
        <v>1112</v>
      </c>
      <c r="D865" s="18"/>
      <c r="E865" s="568" t="str">
        <f>Preferences.EnergyUnits</f>
        <v>TWh</v>
      </c>
      <c r="F865" s="1450">
        <f t="shared" ref="F865:O865" si="304">INDEX(F$49:F$52, MATCH($E$8, $C$49:$C$52, 0))</f>
        <v>0</v>
      </c>
      <c r="G865" s="1450">
        <f>INDEX(G$49:G$52, MATCH($E$8, $C$49:$C$52, 0))</f>
        <v>0</v>
      </c>
      <c r="H865" s="1450">
        <f t="shared" si="304"/>
        <v>0</v>
      </c>
      <c r="I865" s="1450">
        <f t="shared" si="304"/>
        <v>0</v>
      </c>
      <c r="J865" s="1450">
        <f t="shared" si="304"/>
        <v>0</v>
      </c>
      <c r="K865" s="1450">
        <f t="shared" si="304"/>
        <v>0</v>
      </c>
      <c r="L865" s="1450">
        <f t="shared" si="304"/>
        <v>0</v>
      </c>
      <c r="M865" s="1450">
        <f t="shared" si="304"/>
        <v>0</v>
      </c>
      <c r="N865" s="1450">
        <f t="shared" si="304"/>
        <v>0</v>
      </c>
      <c r="O865" s="1450">
        <f t="shared" si="304"/>
        <v>0</v>
      </c>
      <c r="P865" s="18"/>
      <c r="W865" s="21"/>
      <c r="X865" s="21"/>
      <c r="Y865" s="21"/>
    </row>
    <row r="866" spans="2:25" s="16" customFormat="1">
      <c r="B866" s="18"/>
      <c r="C866" s="18">
        <v>1</v>
      </c>
      <c r="D866" s="18" t="str">
        <f>INDEX($D$94:$D$96, MATCH($C866, $C$94:$C$96, 0))</f>
        <v>Electric air conditioner (old)</v>
      </c>
      <c r="E866" s="568"/>
      <c r="F866" s="936">
        <f t="array" ref="F866:F868">F$865*F642:F644</f>
        <v>0</v>
      </c>
      <c r="G866" s="936">
        <f t="array" ref="G866:G868">G$865*G642:G644</f>
        <v>0</v>
      </c>
      <c r="H866" s="936">
        <f t="array" ref="H866:H868">H$865*H642:H644</f>
        <v>0</v>
      </c>
      <c r="I866" s="936">
        <f t="array" ref="I866:I868">I$865*I642:I644</f>
        <v>0</v>
      </c>
      <c r="J866" s="936">
        <f t="array" ref="J866:J868">J$865*J642:J644</f>
        <v>0</v>
      </c>
      <c r="K866" s="936">
        <f t="array" ref="K866:K868">K$865*K642:K644</f>
        <v>0</v>
      </c>
      <c r="L866" s="936">
        <f t="array" ref="L866:L868">L$865*L642:L644</f>
        <v>0</v>
      </c>
      <c r="M866" s="936">
        <f t="array" ref="M866:M868">M$865*M642:M644</f>
        <v>0</v>
      </c>
      <c r="N866" s="936">
        <f t="array" ref="N866:N868">N$865*N642:N644</f>
        <v>0</v>
      </c>
      <c r="O866" s="936">
        <f t="array" ref="O866:O868">O$865*O642:O644</f>
        <v>0</v>
      </c>
      <c r="P866" s="18"/>
      <c r="W866" s="21"/>
      <c r="X866" s="21"/>
      <c r="Y866" s="21"/>
    </row>
    <row r="867" spans="2:25" s="16" customFormat="1">
      <c r="B867" s="18"/>
      <c r="C867" s="18">
        <v>2</v>
      </c>
      <c r="D867" s="18" t="str">
        <f>INDEX($D$94:$D$96, MATCH($C867, $C$94:$C$96, 0))</f>
        <v>Electric air conditioner (new)</v>
      </c>
      <c r="E867" s="568"/>
      <c r="F867" s="936">
        <v>0</v>
      </c>
      <c r="G867" s="936">
        <v>0</v>
      </c>
      <c r="H867" s="936">
        <v>0</v>
      </c>
      <c r="I867" s="936">
        <v>0</v>
      </c>
      <c r="J867" s="936">
        <v>0</v>
      </c>
      <c r="K867" s="936">
        <v>0</v>
      </c>
      <c r="L867" s="936">
        <v>0</v>
      </c>
      <c r="M867" s="936">
        <v>0</v>
      </c>
      <c r="N867" s="936">
        <v>0</v>
      </c>
      <c r="O867" s="936">
        <v>0</v>
      </c>
      <c r="P867" s="18"/>
      <c r="W867" s="21"/>
      <c r="X867" s="21"/>
      <c r="Y867" s="21"/>
    </row>
    <row r="868" spans="2:25" s="16" customFormat="1">
      <c r="B868" s="18"/>
      <c r="C868" s="18">
        <v>3</v>
      </c>
      <c r="D868" s="18" t="str">
        <f>INDEX($D$94:$D$96, MATCH($C868, $C$94:$C$96, 0))</f>
        <v>Absorption chiller</v>
      </c>
      <c r="E868" s="568"/>
      <c r="F868" s="936">
        <v>0</v>
      </c>
      <c r="G868" s="936">
        <v>0</v>
      </c>
      <c r="H868" s="936">
        <v>0</v>
      </c>
      <c r="I868" s="936">
        <v>0</v>
      </c>
      <c r="J868" s="936">
        <v>0</v>
      </c>
      <c r="K868" s="936">
        <v>0</v>
      </c>
      <c r="L868" s="936">
        <v>0</v>
      </c>
      <c r="M868" s="936">
        <v>0</v>
      </c>
      <c r="N868" s="936">
        <v>0</v>
      </c>
      <c r="O868" s="936">
        <v>0</v>
      </c>
      <c r="P868" s="18"/>
      <c r="W868" s="21"/>
      <c r="X868" s="21"/>
      <c r="Y868" s="21"/>
    </row>
    <row r="869" spans="2:25" s="16" customFormat="1">
      <c r="B869" s="18"/>
      <c r="C869" s="18"/>
      <c r="D869" s="18"/>
      <c r="E869" s="568"/>
      <c r="F869" s="1451">
        <f t="shared" ref="F869:O869" si="305">SUM(F866:F868)</f>
        <v>0</v>
      </c>
      <c r="G869" s="1451">
        <f t="shared" si="305"/>
        <v>0</v>
      </c>
      <c r="H869" s="1451">
        <f t="shared" si="305"/>
        <v>0</v>
      </c>
      <c r="I869" s="1451">
        <f t="shared" si="305"/>
        <v>0</v>
      </c>
      <c r="J869" s="1451">
        <f t="shared" si="305"/>
        <v>0</v>
      </c>
      <c r="K869" s="1451">
        <f t="shared" si="305"/>
        <v>0</v>
      </c>
      <c r="L869" s="1451">
        <f t="shared" si="305"/>
        <v>0</v>
      </c>
      <c r="M869" s="1451">
        <f t="shared" si="305"/>
        <v>0</v>
      </c>
      <c r="N869" s="1451">
        <f t="shared" si="305"/>
        <v>0</v>
      </c>
      <c r="O869" s="1451">
        <f t="shared" si="305"/>
        <v>0</v>
      </c>
      <c r="P869" s="18"/>
      <c r="W869" s="21"/>
      <c r="X869" s="21"/>
      <c r="Y869" s="21"/>
    </row>
    <row r="870" spans="2:25" s="16" customFormat="1">
      <c r="B870" s="18"/>
      <c r="C870" s="18"/>
      <c r="D870" s="18"/>
      <c r="E870" s="568"/>
      <c r="F870" s="936"/>
      <c r="G870" s="936"/>
      <c r="H870" s="936"/>
      <c r="I870" s="936"/>
      <c r="J870" s="936"/>
      <c r="K870" s="936"/>
      <c r="L870" s="936"/>
      <c r="M870" s="936"/>
      <c r="N870" s="936"/>
      <c r="O870" s="936"/>
      <c r="P870" s="18"/>
      <c r="W870" s="21"/>
      <c r="X870" s="21"/>
      <c r="Y870" s="21"/>
    </row>
    <row r="871" spans="2:25" s="16" customFormat="1">
      <c r="B871" s="18"/>
      <c r="C871" s="1298" t="s">
        <v>1113</v>
      </c>
      <c r="D871" s="18"/>
      <c r="E871" s="568"/>
      <c r="F871" s="1450"/>
      <c r="G871" s="1450"/>
      <c r="H871" s="1450"/>
      <c r="I871" s="1450"/>
      <c r="J871" s="1450"/>
      <c r="K871" s="1450"/>
      <c r="L871" s="1450"/>
      <c r="M871" s="1450"/>
      <c r="N871" s="1450"/>
      <c r="O871" s="1450"/>
      <c r="P871" s="18"/>
      <c r="W871" s="21"/>
      <c r="X871" s="21"/>
      <c r="Y871" s="21"/>
    </row>
    <row r="872" spans="2:25" s="16" customFormat="1">
      <c r="B872" s="18"/>
      <c r="C872" s="18"/>
      <c r="D872" s="18"/>
      <c r="E872" s="973"/>
      <c r="F872" s="936"/>
      <c r="G872" s="936"/>
      <c r="H872" s="936"/>
      <c r="I872" s="936"/>
      <c r="J872" s="936"/>
      <c r="K872" s="936"/>
      <c r="L872" s="936"/>
      <c r="M872" s="936"/>
      <c r="N872" s="936"/>
      <c r="O872" s="936"/>
      <c r="P872" s="18"/>
      <c r="W872" s="21"/>
      <c r="X872" s="21"/>
      <c r="Y872" s="21"/>
    </row>
    <row r="873" spans="2:25" s="16" customFormat="1">
      <c r="B873" s="973" t="s">
        <v>40</v>
      </c>
      <c r="C873" s="16" t="str">
        <f>INDEX(Vectors[Description], MATCH($B873, Vectors[Code], 0))</f>
        <v>Electricity (delivered to end user)</v>
      </c>
      <c r="D873" s="18"/>
      <c r="E873" s="973"/>
      <c r="F873" s="21">
        <f t="array" ref="F873">SUM(F$866:F$868/$M$201:$M$203*($B873=$F$200:$N$200)*($F$201:$N$203))</f>
        <v>0</v>
      </c>
      <c r="G873" s="21">
        <f t="array" ref="G873">SUM(G$866:G$868/$M$201:$M$203*($B873=$F$200:$N$200)*($F$201:$N$203))</f>
        <v>0</v>
      </c>
      <c r="H873" s="21">
        <f t="array" ref="H873">SUM(H$866:H$868/$M$201:$M$203*($B873=$F$200:$N$200)*($F$201:$N$203))</f>
        <v>0</v>
      </c>
      <c r="I873" s="21">
        <f t="array" ref="I873">SUM(I$866:I$868/$M$201:$M$203*($B873=$F$200:$N$200)*($F$201:$N$203))</f>
        <v>0</v>
      </c>
      <c r="J873" s="21">
        <f t="array" ref="J873">SUM(J$866:J$868/$M$201:$M$203*($B873=$F$200:$N$200)*($F$201:$N$203))</f>
        <v>0</v>
      </c>
      <c r="K873" s="21">
        <f t="array" ref="K873">SUM(K$866:K$868/$M$201:$M$203*($B873=$F$200:$N$200)*($F$201:$N$203))</f>
        <v>0</v>
      </c>
      <c r="L873" s="21">
        <f t="array" ref="L873">SUM(L$866:L$868/$M$201:$M$203*($B873=$F$200:$N$200)*($F$201:$N$203))</f>
        <v>0</v>
      </c>
      <c r="M873" s="21">
        <f t="array" ref="M873">SUM(M$866:M$868/$M$201:$M$203*($B873=$F$200:$N$200)*($F$201:$N$203))</f>
        <v>0</v>
      </c>
      <c r="N873" s="21">
        <f t="array" ref="N873">SUM(N$866:N$868/$M$201:$M$203*($B873=$F$200:$N$200)*($F$201:$N$203))</f>
        <v>0</v>
      </c>
      <c r="O873" s="21">
        <f t="array" ref="O873">SUM(O$866:O$868/$M$201:$M$203*($B873=$F$200:$N$200)*($F$201:$N$203))</f>
        <v>0</v>
      </c>
      <c r="P873" s="18"/>
      <c r="W873" s="21"/>
      <c r="X873" s="21"/>
      <c r="Y873" s="21"/>
    </row>
    <row r="874" spans="2:25" s="16" customFormat="1">
      <c r="B874" s="973" t="s">
        <v>41</v>
      </c>
      <c r="C874" s="16" t="str">
        <f>INDEX(Vectors[Description], MATCH($B874, Vectors[Code], 0))</f>
        <v>Electricity (supplied to grid)</v>
      </c>
      <c r="D874" s="18"/>
      <c r="E874" s="973"/>
      <c r="F874" s="21">
        <f t="array" ref="F874">SUM(F$866:F$868/$M$201:$M$203*($B874=$F$200:$N$200)*($F$201:$N$203))</f>
        <v>0</v>
      </c>
      <c r="G874" s="21">
        <f t="array" ref="G874">SUM(G$866:G$868/$M$201:$M$203*($B874=$F$200:$N$200)*($F$201:$N$203))</f>
        <v>0</v>
      </c>
      <c r="H874" s="21">
        <f t="array" ref="H874">SUM(H$866:H$868/$M$201:$M$203*($B874=$F$200:$N$200)*($F$201:$N$203))</f>
        <v>0</v>
      </c>
      <c r="I874" s="21">
        <f t="array" ref="I874">SUM(I$866:I$868/$M$201:$M$203*($B874=$F$200:$N$200)*($F$201:$N$203))</f>
        <v>0</v>
      </c>
      <c r="J874" s="21">
        <f t="array" ref="J874">SUM(J$866:J$868/$M$201:$M$203*($B874=$F$200:$N$200)*($F$201:$N$203))</f>
        <v>0</v>
      </c>
      <c r="K874" s="21">
        <f t="array" ref="K874">SUM(K$866:K$868/$M$201:$M$203*($B874=$F$200:$N$200)*($F$201:$N$203))</f>
        <v>0</v>
      </c>
      <c r="L874" s="21">
        <f t="array" ref="L874">SUM(L$866:L$868/$M$201:$M$203*($B874=$F$200:$N$200)*($F$201:$N$203))</f>
        <v>0</v>
      </c>
      <c r="M874" s="21">
        <f t="array" ref="M874">SUM(M$866:M$868/$M$201:$M$203*($B874=$F$200:$N$200)*($F$201:$N$203))</f>
        <v>0</v>
      </c>
      <c r="N874" s="21">
        <f t="array" ref="N874">SUM(N$866:N$868/$M$201:$M$203*($B874=$F$200:$N$200)*($F$201:$N$203))</f>
        <v>0</v>
      </c>
      <c r="O874" s="21">
        <f t="array" ref="O874">SUM(O$866:O$868/$M$201:$M$203*($B874=$F$200:$N$200)*($F$201:$N$203))</f>
        <v>0</v>
      </c>
      <c r="P874" s="18"/>
      <c r="W874" s="21"/>
      <c r="X874" s="21"/>
      <c r="Y874" s="21"/>
    </row>
    <row r="875" spans="2:25" s="16" customFormat="1">
      <c r="B875" s="973" t="s">
        <v>42</v>
      </c>
      <c r="C875" s="16" t="str">
        <f>INDEX(Vectors[Description], MATCH($B875, Vectors[Code], 0))</f>
        <v>Solid hydrocarbons</v>
      </c>
      <c r="D875" s="18"/>
      <c r="E875" s="973"/>
      <c r="F875" s="21">
        <f t="array" ref="F875">SUM(F$866:F$868/$M$201:$M$203*($B875=$F$200:$N$200)*($F$201:$N$203))</f>
        <v>0</v>
      </c>
      <c r="G875" s="21">
        <f t="array" ref="G875">SUM(G$866:G$868/$M$201:$M$203*($B875=$F$200:$N$200)*($F$201:$N$203))</f>
        <v>0</v>
      </c>
      <c r="H875" s="21">
        <f t="array" ref="H875">SUM(H$866:H$868/$M$201:$M$203*($B875=$F$200:$N$200)*($F$201:$N$203))</f>
        <v>0</v>
      </c>
      <c r="I875" s="21">
        <f t="array" ref="I875">SUM(I$866:I$868/$M$201:$M$203*($B875=$F$200:$N$200)*($F$201:$N$203))</f>
        <v>0</v>
      </c>
      <c r="J875" s="21">
        <f t="array" ref="J875">SUM(J$866:J$868/$M$201:$M$203*($B875=$F$200:$N$200)*($F$201:$N$203))</f>
        <v>0</v>
      </c>
      <c r="K875" s="21">
        <f t="array" ref="K875">SUM(K$866:K$868/$M$201:$M$203*($B875=$F$200:$N$200)*($F$201:$N$203))</f>
        <v>0</v>
      </c>
      <c r="L875" s="21">
        <f t="array" ref="L875">SUM(L$866:L$868/$M$201:$M$203*($B875=$F$200:$N$200)*($F$201:$N$203))</f>
        <v>0</v>
      </c>
      <c r="M875" s="21">
        <f t="array" ref="M875">SUM(M$866:M$868/$M$201:$M$203*($B875=$F$200:$N$200)*($F$201:$N$203))</f>
        <v>0</v>
      </c>
      <c r="N875" s="21">
        <f t="array" ref="N875">SUM(N$866:N$868/$M$201:$M$203*($B875=$F$200:$N$200)*($F$201:$N$203))</f>
        <v>0</v>
      </c>
      <c r="O875" s="21">
        <f t="array" ref="O875">SUM(O$866:O$868/$M$201:$M$203*($B875=$F$200:$N$200)*($F$201:$N$203))</f>
        <v>0</v>
      </c>
      <c r="P875" s="18"/>
      <c r="W875" s="21"/>
      <c r="X875" s="21"/>
      <c r="Y875" s="21"/>
    </row>
    <row r="876" spans="2:25" s="16" customFormat="1">
      <c r="B876" s="973" t="s">
        <v>44</v>
      </c>
      <c r="C876" s="16" t="str">
        <f>INDEX(Vectors[Description], MATCH($B876, Vectors[Code], 0))</f>
        <v>Liquid hydrocarbons</v>
      </c>
      <c r="D876" s="18"/>
      <c r="E876" s="973"/>
      <c r="F876" s="21">
        <f t="array" ref="F876">SUM(F$866:F$868/$M$201:$M$203*($B876=$F$200:$N$200)*($F$201:$N$203))</f>
        <v>0</v>
      </c>
      <c r="G876" s="21">
        <f t="array" ref="G876">SUM(G$866:G$868/$M$201:$M$203*($B876=$F$200:$N$200)*($F$201:$N$203))</f>
        <v>0</v>
      </c>
      <c r="H876" s="21">
        <f t="array" ref="H876">SUM(H$866:H$868/$M$201:$M$203*($B876=$F$200:$N$200)*($F$201:$N$203))</f>
        <v>0</v>
      </c>
      <c r="I876" s="21">
        <f t="array" ref="I876">SUM(I$866:I$868/$M$201:$M$203*($B876=$F$200:$N$200)*($F$201:$N$203))</f>
        <v>0</v>
      </c>
      <c r="J876" s="21">
        <f t="array" ref="J876">SUM(J$866:J$868/$M$201:$M$203*($B876=$F$200:$N$200)*($F$201:$N$203))</f>
        <v>0</v>
      </c>
      <c r="K876" s="21">
        <f t="array" ref="K876">SUM(K$866:K$868/$M$201:$M$203*($B876=$F$200:$N$200)*($F$201:$N$203))</f>
        <v>0</v>
      </c>
      <c r="L876" s="21">
        <f t="array" ref="L876">SUM(L$866:L$868/$M$201:$M$203*($B876=$F$200:$N$200)*($F$201:$N$203))</f>
        <v>0</v>
      </c>
      <c r="M876" s="21">
        <f t="array" ref="M876">SUM(M$866:M$868/$M$201:$M$203*($B876=$F$200:$N$200)*($F$201:$N$203))</f>
        <v>0</v>
      </c>
      <c r="N876" s="21">
        <f t="array" ref="N876">SUM(N$866:N$868/$M$201:$M$203*($B876=$F$200:$N$200)*($F$201:$N$203))</f>
        <v>0</v>
      </c>
      <c r="O876" s="21">
        <f t="array" ref="O876">SUM(O$866:O$868/$M$201:$M$203*($B876=$F$200:$N$200)*($F$201:$N$203))</f>
        <v>0</v>
      </c>
      <c r="P876" s="18"/>
      <c r="W876" s="21"/>
      <c r="X876" s="21"/>
      <c r="Y876" s="21"/>
    </row>
    <row r="877" spans="2:25" s="16" customFormat="1">
      <c r="B877" s="973" t="s">
        <v>45</v>
      </c>
      <c r="C877" s="16" t="str">
        <f>INDEX(Vectors[Description], MATCH($B877, Vectors[Code], 0))</f>
        <v>Gaseous hydrocarbons</v>
      </c>
      <c r="D877" s="18"/>
      <c r="E877" s="973"/>
      <c r="F877" s="21">
        <f t="array" ref="F877">SUM(F$866:F$868/$M$201:$M$203*($B877=$F$200:$N$200)*($F$201:$N$203))</f>
        <v>0</v>
      </c>
      <c r="G877" s="21">
        <f t="array" ref="G877">SUM(G$866:G$868/$M$201:$M$203*($B877=$F$200:$N$200)*($F$201:$N$203))</f>
        <v>0</v>
      </c>
      <c r="H877" s="21">
        <f t="array" ref="H877">SUM(H$866:H$868/$M$201:$M$203*($B877=$F$200:$N$200)*($F$201:$N$203))</f>
        <v>0</v>
      </c>
      <c r="I877" s="21">
        <f t="array" ref="I877">SUM(I$866:I$868/$M$201:$M$203*($B877=$F$200:$N$200)*($F$201:$N$203))</f>
        <v>0</v>
      </c>
      <c r="J877" s="21">
        <f t="array" ref="J877">SUM(J$866:J$868/$M$201:$M$203*($B877=$F$200:$N$200)*($F$201:$N$203))</f>
        <v>0</v>
      </c>
      <c r="K877" s="21">
        <f t="array" ref="K877">SUM(K$866:K$868/$M$201:$M$203*($B877=$F$200:$N$200)*($F$201:$N$203))</f>
        <v>0</v>
      </c>
      <c r="L877" s="21">
        <f t="array" ref="L877">SUM(L$866:L$868/$M$201:$M$203*($B877=$F$200:$N$200)*($F$201:$N$203))</f>
        <v>0</v>
      </c>
      <c r="M877" s="21">
        <f t="array" ref="M877">SUM(M$866:M$868/$M$201:$M$203*($B877=$F$200:$N$200)*($F$201:$N$203))</f>
        <v>0</v>
      </c>
      <c r="N877" s="21">
        <f t="array" ref="N877">SUM(N$866:N$868/$M$201:$M$203*($B877=$F$200:$N$200)*($F$201:$N$203))</f>
        <v>0</v>
      </c>
      <c r="O877" s="21">
        <f t="array" ref="O877">SUM(O$866:O$868/$M$201:$M$203*($B877=$F$200:$N$200)*($F$201:$N$203))</f>
        <v>0</v>
      </c>
      <c r="P877" s="18"/>
      <c r="W877" s="21"/>
      <c r="X877" s="21"/>
      <c r="Y877" s="21"/>
    </row>
    <row r="878" spans="2:25" s="16" customFormat="1">
      <c r="B878" s="973" t="s">
        <v>625</v>
      </c>
      <c r="C878" s="16" t="str">
        <f>INDEX(Vectors[Description], MATCH($B878, Vectors[Code], 0))</f>
        <v>Heat transport</v>
      </c>
      <c r="D878" s="18"/>
      <c r="E878" s="973"/>
      <c r="F878" s="21">
        <f t="array" ref="F878">SUM(F$866:F$868/$M$201:$M$203*($B878=$F$200:$N$200)*($F$201:$N$203))</f>
        <v>0</v>
      </c>
      <c r="G878" s="21">
        <f t="array" ref="G878">SUM(G$866:G$868/$M$201:$M$203*($B878=$F$200:$N$200)*($F$201:$N$203))</f>
        <v>0</v>
      </c>
      <c r="H878" s="21">
        <f t="array" ref="H878">SUM(H$866:H$868/$M$201:$M$203*($B878=$F$200:$N$200)*($F$201:$N$203))</f>
        <v>0</v>
      </c>
      <c r="I878" s="21">
        <f t="array" ref="I878">SUM(I$866:I$868/$M$201:$M$203*($B878=$F$200:$N$200)*($F$201:$N$203))</f>
        <v>0</v>
      </c>
      <c r="J878" s="21">
        <f t="array" ref="J878">SUM(J$866:J$868/$M$201:$M$203*($B878=$F$200:$N$200)*($F$201:$N$203))</f>
        <v>0</v>
      </c>
      <c r="K878" s="21">
        <f t="array" ref="K878">SUM(K$866:K$868/$M$201:$M$203*($B878=$F$200:$N$200)*($F$201:$N$203))</f>
        <v>0</v>
      </c>
      <c r="L878" s="21">
        <f t="array" ref="L878">SUM(L$866:L$868/$M$201:$M$203*($B878=$F$200:$N$200)*($F$201:$N$203))</f>
        <v>0</v>
      </c>
      <c r="M878" s="21">
        <f t="array" ref="M878">SUM(M$866:M$868/$M$201:$M$203*($B878=$F$200:$N$200)*($F$201:$N$203))</f>
        <v>0</v>
      </c>
      <c r="N878" s="21">
        <f t="array" ref="N878">SUM(N$866:N$868/$M$201:$M$203*($B878=$F$200:$N$200)*($F$201:$N$203))</f>
        <v>0</v>
      </c>
      <c r="O878" s="21">
        <f t="array" ref="O878">SUM(O$866:O$868/$M$201:$M$203*($B878=$F$200:$N$200)*($F$201:$N$203))</f>
        <v>0</v>
      </c>
      <c r="P878" s="18"/>
      <c r="W878" s="21"/>
      <c r="X878" s="21"/>
      <c r="Y878" s="21"/>
    </row>
    <row r="879" spans="2:25" s="16" customFormat="1">
      <c r="B879" s="973" t="s">
        <v>98</v>
      </c>
      <c r="C879" s="16" t="str">
        <f>INDEX(Vectors[Description], MATCH($B879, Vectors[Code], 0))</f>
        <v>Environmental heat</v>
      </c>
      <c r="D879" s="18"/>
      <c r="E879" s="973"/>
      <c r="F879" s="21">
        <f t="array" ref="F879">SUM(F$866:F$868/$M$201:$M$203*($B879=$F$200:$N$200)*($F$201:$N$203))</f>
        <v>0</v>
      </c>
      <c r="G879" s="21">
        <f t="array" ref="G879">SUM(G$866:G$868/$M$201:$M$203*($B879=$F$200:$N$200)*($F$201:$N$203))</f>
        <v>0</v>
      </c>
      <c r="H879" s="21">
        <f t="array" ref="H879">SUM(H$866:H$868/$M$201:$M$203*($B879=$F$200:$N$200)*($F$201:$N$203))</f>
        <v>0</v>
      </c>
      <c r="I879" s="21">
        <f t="array" ref="I879">SUM(I$866:I$868/$M$201:$M$203*($B879=$F$200:$N$200)*($F$201:$N$203))</f>
        <v>0</v>
      </c>
      <c r="J879" s="21">
        <f t="array" ref="J879">SUM(J$866:J$868/$M$201:$M$203*($B879=$F$200:$N$200)*($F$201:$N$203))</f>
        <v>0</v>
      </c>
      <c r="K879" s="21">
        <f t="array" ref="K879">SUM(K$866:K$868/$M$201:$M$203*($B879=$F$200:$N$200)*($F$201:$N$203))</f>
        <v>0</v>
      </c>
      <c r="L879" s="21">
        <f t="array" ref="L879">SUM(L$866:L$868/$M$201:$M$203*($B879=$F$200:$N$200)*($F$201:$N$203))</f>
        <v>0</v>
      </c>
      <c r="M879" s="21">
        <f t="array" ref="M879">SUM(M$866:M$868/$M$201:$M$203*($B879=$F$200:$N$200)*($F$201:$N$203))</f>
        <v>0</v>
      </c>
      <c r="N879" s="21">
        <f t="array" ref="N879">SUM(N$866:N$868/$M$201:$M$203*($B879=$F$200:$N$200)*($F$201:$N$203))</f>
        <v>0</v>
      </c>
      <c r="O879" s="21">
        <f t="array" ref="O879">SUM(O$866:O$868/$M$201:$M$203*($B879=$F$200:$N$200)*($F$201:$N$203))</f>
        <v>0</v>
      </c>
      <c r="P879" s="18"/>
      <c r="W879" s="21"/>
      <c r="X879" s="21"/>
      <c r="Y879" s="21"/>
    </row>
    <row r="880" spans="2:25" s="16" customFormat="1">
      <c r="B880" s="973" t="s">
        <v>6</v>
      </c>
      <c r="C880" s="16" t="str">
        <f>INDEX(Vectors[Description], MATCH($B880, Vectors[Code], 0))</f>
        <v>Heating &amp; cooling</v>
      </c>
      <c r="D880" s="18"/>
      <c r="E880" s="973"/>
      <c r="F880" s="21">
        <f t="array" ref="F880">SUM(F$866:F$868/$M$201:$M$203*($B880=$F$200:$N$200)*($F$201:$N$203))</f>
        <v>0</v>
      </c>
      <c r="G880" s="21">
        <f t="array" ref="G880">SUM(G$866:G$868/$M$201:$M$203*($B880=$F$200:$N$200)*($F$201:$N$203))</f>
        <v>0</v>
      </c>
      <c r="H880" s="21">
        <f t="array" ref="H880">SUM(H$866:H$868/$M$201:$M$203*($B880=$F$200:$N$200)*($F$201:$N$203))</f>
        <v>0</v>
      </c>
      <c r="I880" s="21">
        <f t="array" ref="I880">SUM(I$866:I$868/$M$201:$M$203*($B880=$F$200:$N$200)*($F$201:$N$203))</f>
        <v>0</v>
      </c>
      <c r="J880" s="21">
        <f t="array" ref="J880">SUM(J$866:J$868/$M$201:$M$203*($B880=$F$200:$N$200)*($F$201:$N$203))</f>
        <v>0</v>
      </c>
      <c r="K880" s="21">
        <f t="array" ref="K880">SUM(K$866:K$868/$M$201:$M$203*($B880=$F$200:$N$200)*($F$201:$N$203))</f>
        <v>0</v>
      </c>
      <c r="L880" s="21">
        <f t="array" ref="L880">SUM(L$866:L$868/$M$201:$M$203*($B880=$F$200:$N$200)*($F$201:$N$203))</f>
        <v>0</v>
      </c>
      <c r="M880" s="21">
        <f t="array" ref="M880">SUM(M$866:M$868/$M$201:$M$203*($B880=$F$200:$N$200)*($F$201:$N$203))</f>
        <v>0</v>
      </c>
      <c r="N880" s="21">
        <f t="array" ref="N880">SUM(N$866:N$868/$M$201:$M$203*($B880=$F$200:$N$200)*($F$201:$N$203))</f>
        <v>0</v>
      </c>
      <c r="O880" s="21">
        <f t="array" ref="O880">SUM(O$866:O$868/$M$201:$M$203*($B880=$F$200:$N$200)*($F$201:$N$203))</f>
        <v>0</v>
      </c>
      <c r="P880" s="18"/>
      <c r="W880" s="21"/>
      <c r="X880" s="21"/>
      <c r="Y880" s="21"/>
    </row>
    <row r="881" spans="2:25" s="16" customFormat="1">
      <c r="B881" s="973" t="s">
        <v>31</v>
      </c>
      <c r="C881" s="16" t="str">
        <f>INDEX(Vectors[Description], MATCH($B881, Vectors[Code], 0))</f>
        <v>Conversion losses</v>
      </c>
      <c r="D881" s="18"/>
      <c r="E881" s="973"/>
      <c r="F881" s="21">
        <f t="array" ref="F881">SUM(F$866:F$868/$M$201:$M$203*($B881=$F$200:$N$200)*($F$201:$N$203))</f>
        <v>0</v>
      </c>
      <c r="G881" s="21">
        <f t="array" ref="G881">SUM(G$866:G$868/$M$201:$M$203*($B881=$F$200:$N$200)*($F$201:$N$203))</f>
        <v>0</v>
      </c>
      <c r="H881" s="21">
        <f t="array" ref="H881">SUM(H$866:H$868/$M$201:$M$203*($B881=$F$200:$N$200)*($F$201:$N$203))</f>
        <v>0</v>
      </c>
      <c r="I881" s="21">
        <f t="array" ref="I881">SUM(I$866:I$868/$M$201:$M$203*($B881=$F$200:$N$200)*($F$201:$N$203))</f>
        <v>0</v>
      </c>
      <c r="J881" s="21">
        <f t="array" ref="J881">SUM(J$866:J$868/$M$201:$M$203*($B881=$F$200:$N$200)*($F$201:$N$203))</f>
        <v>0</v>
      </c>
      <c r="K881" s="21">
        <f t="array" ref="K881">SUM(K$866:K$868/$M$201:$M$203*($B881=$F$200:$N$200)*($F$201:$N$203))</f>
        <v>0</v>
      </c>
      <c r="L881" s="21">
        <f t="array" ref="L881">SUM(L$866:L$868/$M$201:$M$203*($B881=$F$200:$N$200)*($F$201:$N$203))</f>
        <v>0</v>
      </c>
      <c r="M881" s="21">
        <f t="array" ref="M881">SUM(M$866:M$868/$M$201:$M$203*($B881=$F$200:$N$200)*($F$201:$N$203))</f>
        <v>0</v>
      </c>
      <c r="N881" s="21">
        <f t="array" ref="N881">SUM(N$866:N$868/$M$201:$M$203*($B881=$F$200:$N$200)*($F$201:$N$203))</f>
        <v>0</v>
      </c>
      <c r="O881" s="21">
        <f t="array" ref="O881">SUM(O$866:O$868/$M$201:$M$203*($B881=$F$200:$N$200)*($F$201:$N$203))</f>
        <v>0</v>
      </c>
      <c r="P881" s="18"/>
      <c r="W881" s="21"/>
      <c r="X881" s="21"/>
      <c r="Y881" s="21"/>
    </row>
    <row r="882" spans="2:25" s="16" customFormat="1">
      <c r="B882" s="973"/>
      <c r="D882" s="18"/>
      <c r="E882" s="568" t="str">
        <f>Preferences.EnergyUnits</f>
        <v>TWh</v>
      </c>
      <c r="F882" s="984">
        <f>SUM(F873:F881)</f>
        <v>0</v>
      </c>
      <c r="G882" s="984">
        <f t="shared" ref="G882:O882" si="306">SUM(G873:G881)</f>
        <v>0</v>
      </c>
      <c r="H882" s="984">
        <f t="shared" si="306"/>
        <v>0</v>
      </c>
      <c r="I882" s="984">
        <f t="shared" si="306"/>
        <v>0</v>
      </c>
      <c r="J882" s="984">
        <f t="shared" si="306"/>
        <v>0</v>
      </c>
      <c r="K882" s="984">
        <f t="shared" si="306"/>
        <v>0</v>
      </c>
      <c r="L882" s="984">
        <f t="shared" si="306"/>
        <v>0</v>
      </c>
      <c r="M882" s="984">
        <f t="shared" si="306"/>
        <v>0</v>
      </c>
      <c r="N882" s="984">
        <f t="shared" si="306"/>
        <v>0</v>
      </c>
      <c r="O882" s="984">
        <f t="shared" si="306"/>
        <v>0</v>
      </c>
      <c r="P882" s="18"/>
      <c r="W882" s="21"/>
      <c r="X882" s="21"/>
      <c r="Y882" s="21"/>
    </row>
    <row r="883" spans="2:25" s="16" customFormat="1">
      <c r="B883" s="973"/>
      <c r="D883" s="18"/>
      <c r="E883" s="973"/>
      <c r="F883" s="936"/>
      <c r="G883" s="936"/>
      <c r="H883" s="936"/>
      <c r="I883" s="936"/>
      <c r="J883" s="936"/>
      <c r="K883" s="936"/>
      <c r="L883" s="936"/>
      <c r="M883" s="936"/>
      <c r="N883" s="936"/>
      <c r="O883" s="936"/>
      <c r="P883" s="18"/>
      <c r="W883" s="21"/>
      <c r="X883" s="21"/>
      <c r="Y883" s="21"/>
    </row>
    <row r="884" spans="2:25" s="16" customFormat="1">
      <c r="B884" s="18"/>
      <c r="C884" s="1298" t="s">
        <v>1114</v>
      </c>
      <c r="D884" s="18"/>
      <c r="E884" s="568"/>
      <c r="F884" s="1450"/>
      <c r="G884" s="1450"/>
      <c r="H884" s="1450"/>
      <c r="I884" s="1450"/>
      <c r="J884" s="1450"/>
      <c r="K884" s="1450"/>
      <c r="L884" s="1450"/>
      <c r="M884" s="1450"/>
      <c r="N884" s="1450"/>
      <c r="O884" s="1450"/>
      <c r="P884" s="18"/>
      <c r="W884" s="21"/>
      <c r="X884" s="21"/>
      <c r="Y884" s="21"/>
    </row>
    <row r="885" spans="2:25" s="16" customFormat="1">
      <c r="B885" s="18"/>
      <c r="C885" s="18"/>
      <c r="D885" s="18"/>
      <c r="E885" s="973"/>
      <c r="F885" s="936"/>
      <c r="G885" s="936"/>
      <c r="H885" s="936"/>
      <c r="I885" s="936"/>
      <c r="J885" s="936"/>
      <c r="K885" s="936"/>
      <c r="L885" s="936"/>
      <c r="M885" s="936"/>
      <c r="N885" s="936"/>
      <c r="O885" s="936"/>
      <c r="P885" s="18"/>
      <c r="W885" s="21"/>
      <c r="X885" s="21"/>
      <c r="Y885" s="21"/>
    </row>
    <row r="886" spans="2:25" s="16" customFormat="1">
      <c r="B886" s="973" t="s">
        <v>40</v>
      </c>
      <c r="C886" s="16" t="str">
        <f>INDEX(Vectors[Description], MATCH($B886, Vectors[Code], 0))</f>
        <v>Electricity (delivered to end user)</v>
      </c>
      <c r="D886" s="18"/>
      <c r="E886" s="973"/>
      <c r="F886" s="21">
        <f>F873</f>
        <v>0</v>
      </c>
      <c r="G886" s="21">
        <f t="shared" ref="G886:O886" si="307">G873</f>
        <v>0</v>
      </c>
      <c r="H886" s="21">
        <f t="shared" si="307"/>
        <v>0</v>
      </c>
      <c r="I886" s="21">
        <f t="shared" si="307"/>
        <v>0</v>
      </c>
      <c r="J886" s="21">
        <f t="shared" si="307"/>
        <v>0</v>
      </c>
      <c r="K886" s="21">
        <f t="shared" si="307"/>
        <v>0</v>
      </c>
      <c r="L886" s="21">
        <f t="shared" si="307"/>
        <v>0</v>
      </c>
      <c r="M886" s="21">
        <f t="shared" si="307"/>
        <v>0</v>
      </c>
      <c r="N886" s="21">
        <f t="shared" si="307"/>
        <v>0</v>
      </c>
      <c r="O886" s="21">
        <f t="shared" si="307"/>
        <v>0</v>
      </c>
      <c r="P886" s="18"/>
      <c r="W886" s="21"/>
      <c r="X886" s="21"/>
      <c r="Y886" s="21"/>
    </row>
    <row r="887" spans="2:25" s="16" customFormat="1">
      <c r="B887" s="973" t="s">
        <v>41</v>
      </c>
      <c r="C887" s="16" t="str">
        <f>INDEX(Vectors[Description], MATCH($B887, Vectors[Code], 0))</f>
        <v>Electricity (supplied to grid)</v>
      </c>
      <c r="D887" s="18"/>
      <c r="E887" s="973"/>
      <c r="F887" s="21">
        <f t="shared" ref="F887:O891" si="308">F874</f>
        <v>0</v>
      </c>
      <c r="G887" s="21">
        <f t="shared" si="308"/>
        <v>0</v>
      </c>
      <c r="H887" s="21">
        <f t="shared" si="308"/>
        <v>0</v>
      </c>
      <c r="I887" s="21">
        <f t="shared" si="308"/>
        <v>0</v>
      </c>
      <c r="J887" s="21">
        <f t="shared" si="308"/>
        <v>0</v>
      </c>
      <c r="K887" s="21">
        <f t="shared" si="308"/>
        <v>0</v>
      </c>
      <c r="L887" s="21">
        <f t="shared" si="308"/>
        <v>0</v>
      </c>
      <c r="M887" s="21">
        <f t="shared" si="308"/>
        <v>0</v>
      </c>
      <c r="N887" s="21">
        <f t="shared" si="308"/>
        <v>0</v>
      </c>
      <c r="O887" s="21">
        <f t="shared" si="308"/>
        <v>0</v>
      </c>
      <c r="P887" s="18"/>
      <c r="W887" s="21"/>
      <c r="X887" s="21"/>
      <c r="Y887" s="21"/>
    </row>
    <row r="888" spans="2:25" s="16" customFormat="1">
      <c r="B888" s="973" t="s">
        <v>42</v>
      </c>
      <c r="C888" s="16" t="str">
        <f>INDEX(Vectors[Description], MATCH($B888, Vectors[Code], 0))</f>
        <v>Solid hydrocarbons</v>
      </c>
      <c r="D888" s="18"/>
      <c r="E888" s="973"/>
      <c r="F888" s="21">
        <f t="shared" si="308"/>
        <v>0</v>
      </c>
      <c r="G888" s="21">
        <f t="shared" si="308"/>
        <v>0</v>
      </c>
      <c r="H888" s="21">
        <f t="shared" si="308"/>
        <v>0</v>
      </c>
      <c r="I888" s="21">
        <f t="shared" si="308"/>
        <v>0</v>
      </c>
      <c r="J888" s="21">
        <f t="shared" si="308"/>
        <v>0</v>
      </c>
      <c r="K888" s="21">
        <f t="shared" si="308"/>
        <v>0</v>
      </c>
      <c r="L888" s="21">
        <f t="shared" si="308"/>
        <v>0</v>
      </c>
      <c r="M888" s="21">
        <f t="shared" si="308"/>
        <v>0</v>
      </c>
      <c r="N888" s="21">
        <f t="shared" si="308"/>
        <v>0</v>
      </c>
      <c r="O888" s="21">
        <f t="shared" si="308"/>
        <v>0</v>
      </c>
      <c r="P888" s="18"/>
      <c r="W888" s="21"/>
      <c r="X888" s="21"/>
      <c r="Y888" s="21"/>
    </row>
    <row r="889" spans="2:25" s="16" customFormat="1">
      <c r="B889" s="973" t="s">
        <v>44</v>
      </c>
      <c r="C889" s="16" t="str">
        <f>INDEX(Vectors[Description], MATCH($B889, Vectors[Code], 0))</f>
        <v>Liquid hydrocarbons</v>
      </c>
      <c r="D889" s="18"/>
      <c r="E889" s="973"/>
      <c r="F889" s="21">
        <f t="shared" si="308"/>
        <v>0</v>
      </c>
      <c r="G889" s="21">
        <f t="shared" si="308"/>
        <v>0</v>
      </c>
      <c r="H889" s="21">
        <f t="shared" si="308"/>
        <v>0</v>
      </c>
      <c r="I889" s="21">
        <f t="shared" si="308"/>
        <v>0</v>
      </c>
      <c r="J889" s="21">
        <f t="shared" si="308"/>
        <v>0</v>
      </c>
      <c r="K889" s="21">
        <f t="shared" si="308"/>
        <v>0</v>
      </c>
      <c r="L889" s="21">
        <f t="shared" si="308"/>
        <v>0</v>
      </c>
      <c r="M889" s="21">
        <f t="shared" si="308"/>
        <v>0</v>
      </c>
      <c r="N889" s="21">
        <f t="shared" si="308"/>
        <v>0</v>
      </c>
      <c r="O889" s="21">
        <f t="shared" si="308"/>
        <v>0</v>
      </c>
      <c r="P889" s="18"/>
      <c r="W889" s="21"/>
      <c r="X889" s="21"/>
      <c r="Y889" s="21"/>
    </row>
    <row r="890" spans="2:25" s="16" customFormat="1">
      <c r="B890" s="973" t="s">
        <v>45</v>
      </c>
      <c r="C890" s="16" t="str">
        <f>INDEX(Vectors[Description], MATCH($B890, Vectors[Code], 0))</f>
        <v>Gaseous hydrocarbons</v>
      </c>
      <c r="D890" s="18"/>
      <c r="E890" s="973"/>
      <c r="F890" s="21">
        <f t="shared" si="308"/>
        <v>0</v>
      </c>
      <c r="G890" s="21">
        <f t="shared" si="308"/>
        <v>0</v>
      </c>
      <c r="H890" s="21">
        <f t="shared" si="308"/>
        <v>0</v>
      </c>
      <c r="I890" s="21">
        <f t="shared" si="308"/>
        <v>0</v>
      </c>
      <c r="J890" s="21">
        <f t="shared" si="308"/>
        <v>0</v>
      </c>
      <c r="K890" s="21">
        <f t="shared" si="308"/>
        <v>0</v>
      </c>
      <c r="L890" s="21">
        <f t="shared" si="308"/>
        <v>0</v>
      </c>
      <c r="M890" s="21">
        <f t="shared" si="308"/>
        <v>0</v>
      </c>
      <c r="N890" s="21">
        <f t="shared" si="308"/>
        <v>0</v>
      </c>
      <c r="O890" s="21">
        <f t="shared" si="308"/>
        <v>0</v>
      </c>
      <c r="P890" s="18"/>
      <c r="W890" s="21"/>
      <c r="X890" s="21"/>
      <c r="Y890" s="21"/>
    </row>
    <row r="891" spans="2:25" s="16" customFormat="1">
      <c r="B891" s="973" t="s">
        <v>625</v>
      </c>
      <c r="C891" s="16" t="str">
        <f>INDEX(Vectors[Description], MATCH($B891, Vectors[Code], 0))</f>
        <v>Heat transport</v>
      </c>
      <c r="D891" s="18"/>
      <c r="E891" s="973"/>
      <c r="F891" s="21">
        <f t="shared" si="308"/>
        <v>0</v>
      </c>
      <c r="G891" s="21">
        <f t="shared" si="308"/>
        <v>0</v>
      </c>
      <c r="H891" s="21">
        <f t="shared" si="308"/>
        <v>0</v>
      </c>
      <c r="I891" s="21">
        <f t="shared" si="308"/>
        <v>0</v>
      </c>
      <c r="J891" s="21">
        <f t="shared" si="308"/>
        <v>0</v>
      </c>
      <c r="K891" s="21">
        <f t="shared" si="308"/>
        <v>0</v>
      </c>
      <c r="L891" s="21">
        <f t="shared" si="308"/>
        <v>0</v>
      </c>
      <c r="M891" s="21">
        <f t="shared" si="308"/>
        <v>0</v>
      </c>
      <c r="N891" s="21">
        <f t="shared" si="308"/>
        <v>0</v>
      </c>
      <c r="O891" s="21">
        <f t="shared" si="308"/>
        <v>0</v>
      </c>
      <c r="P891" s="18"/>
      <c r="W891" s="21"/>
      <c r="X891" s="21"/>
      <c r="Y891" s="21"/>
    </row>
    <row r="892" spans="2:25" s="16" customFormat="1">
      <c r="B892" s="973" t="s">
        <v>98</v>
      </c>
      <c r="C892" s="16" t="str">
        <f>INDEX(Vectors[Description], MATCH($B892, Vectors[Code], 0))</f>
        <v>Environmental heat</v>
      </c>
      <c r="D892" s="18"/>
      <c r="E892" s="973"/>
      <c r="F892" s="21">
        <v>0</v>
      </c>
      <c r="G892" s="21">
        <v>0</v>
      </c>
      <c r="H892" s="21">
        <v>0</v>
      </c>
      <c r="I892" s="21">
        <v>0</v>
      </c>
      <c r="J892" s="21">
        <v>0</v>
      </c>
      <c r="K892" s="21">
        <v>0</v>
      </c>
      <c r="L892" s="21">
        <v>0</v>
      </c>
      <c r="M892" s="21">
        <v>0</v>
      </c>
      <c r="N892" s="21">
        <v>0</v>
      </c>
      <c r="O892" s="21">
        <v>0</v>
      </c>
      <c r="P892" s="18"/>
      <c r="W892" s="21"/>
      <c r="X892" s="21"/>
      <c r="Y892" s="21"/>
    </row>
    <row r="893" spans="2:25" s="16" customFormat="1">
      <c r="B893" s="973" t="s">
        <v>6</v>
      </c>
      <c r="C893" s="16" t="str">
        <f>INDEX(Vectors[Description], MATCH($B893, Vectors[Code], 0))</f>
        <v>Heating &amp; cooling</v>
      </c>
      <c r="D893" s="18"/>
      <c r="E893" s="973"/>
      <c r="F893" s="1141">
        <f>-SUM(F886:F892)-F894</f>
        <v>0</v>
      </c>
      <c r="G893" s="1141">
        <f t="shared" ref="G893:O893" si="309">-SUM(G886:G892)-G894</f>
        <v>0</v>
      </c>
      <c r="H893" s="1141">
        <f t="shared" si="309"/>
        <v>0</v>
      </c>
      <c r="I893" s="1141">
        <f t="shared" si="309"/>
        <v>0</v>
      </c>
      <c r="J893" s="1141">
        <f t="shared" si="309"/>
        <v>0</v>
      </c>
      <c r="K893" s="1141">
        <f t="shared" si="309"/>
        <v>0</v>
      </c>
      <c r="L893" s="1141">
        <f t="shared" si="309"/>
        <v>0</v>
      </c>
      <c r="M893" s="1141">
        <f t="shared" si="309"/>
        <v>0</v>
      </c>
      <c r="N893" s="1141">
        <f t="shared" si="309"/>
        <v>0</v>
      </c>
      <c r="O893" s="1141">
        <f t="shared" si="309"/>
        <v>0</v>
      </c>
      <c r="P893" s="18"/>
      <c r="W893" s="21"/>
      <c r="X893" s="21"/>
      <c r="Y893" s="21"/>
    </row>
    <row r="894" spans="2:25" s="16" customFormat="1">
      <c r="B894" s="973" t="s">
        <v>31</v>
      </c>
      <c r="C894" s="16" t="str">
        <f>INDEX(Vectors[Description], MATCH($B894, Vectors[Code], 0))</f>
        <v>Conversion losses</v>
      </c>
      <c r="D894" s="18"/>
      <c r="E894" s="973"/>
      <c r="F894" s="21">
        <f t="shared" ref="F894:O894" si="310">F881</f>
        <v>0</v>
      </c>
      <c r="G894" s="21">
        <f t="shared" si="310"/>
        <v>0</v>
      </c>
      <c r="H894" s="21">
        <f t="shared" si="310"/>
        <v>0</v>
      </c>
      <c r="I894" s="21">
        <f t="shared" si="310"/>
        <v>0</v>
      </c>
      <c r="J894" s="21">
        <f t="shared" si="310"/>
        <v>0</v>
      </c>
      <c r="K894" s="21">
        <f t="shared" si="310"/>
        <v>0</v>
      </c>
      <c r="L894" s="21">
        <f t="shared" si="310"/>
        <v>0</v>
      </c>
      <c r="M894" s="21">
        <f t="shared" si="310"/>
        <v>0</v>
      </c>
      <c r="N894" s="21">
        <f t="shared" si="310"/>
        <v>0</v>
      </c>
      <c r="O894" s="21">
        <f t="shared" si="310"/>
        <v>0</v>
      </c>
      <c r="P894" s="18"/>
      <c r="W894" s="21"/>
      <c r="X894" s="21"/>
      <c r="Y894" s="21"/>
    </row>
    <row r="895" spans="2:25" s="16" customFormat="1">
      <c r="B895" s="973"/>
      <c r="D895" s="18"/>
      <c r="E895" s="568" t="str">
        <f>Preferences.EnergyUnits</f>
        <v>TWh</v>
      </c>
      <c r="F895" s="984">
        <f>SUM(F886:F894)</f>
        <v>0</v>
      </c>
      <c r="G895" s="984">
        <f t="shared" ref="G895:O895" si="311">SUM(G886:G894)</f>
        <v>0</v>
      </c>
      <c r="H895" s="984">
        <f t="shared" si="311"/>
        <v>0</v>
      </c>
      <c r="I895" s="984">
        <f t="shared" si="311"/>
        <v>0</v>
      </c>
      <c r="J895" s="984">
        <f t="shared" si="311"/>
        <v>0</v>
      </c>
      <c r="K895" s="984">
        <f t="shared" si="311"/>
        <v>0</v>
      </c>
      <c r="L895" s="984">
        <f t="shared" si="311"/>
        <v>0</v>
      </c>
      <c r="M895" s="984">
        <f t="shared" si="311"/>
        <v>0</v>
      </c>
      <c r="N895" s="984">
        <f t="shared" si="311"/>
        <v>0</v>
      </c>
      <c r="O895" s="984">
        <f t="shared" si="311"/>
        <v>0</v>
      </c>
      <c r="P895" s="18"/>
      <c r="W895" s="21"/>
      <c r="X895" s="21"/>
      <c r="Y895" s="21"/>
    </row>
    <row r="896" spans="2:25" s="16" customFormat="1">
      <c r="B896" s="18"/>
      <c r="C896" s="18"/>
      <c r="D896" s="18"/>
      <c r="E896" s="18"/>
      <c r="F896" s="21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W896" s="21"/>
      <c r="X896" s="21"/>
      <c r="Y896" s="21"/>
    </row>
    <row r="897" spans="2:25" s="16" customFormat="1">
      <c r="B897" s="18"/>
      <c r="C897" s="18"/>
      <c r="D897" s="18"/>
      <c r="E897" s="18"/>
      <c r="F897" s="21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W897" s="21"/>
      <c r="X897" s="21"/>
      <c r="Y897" s="21"/>
    </row>
    <row r="898" spans="2:25" s="16" customFormat="1">
      <c r="B898" s="1298">
        <v>5</v>
      </c>
      <c r="C898" s="1298" t="s">
        <v>994</v>
      </c>
      <c r="D898" s="18"/>
      <c r="F898" s="568">
        <v>2007</v>
      </c>
      <c r="G898" s="568">
        <v>2010</v>
      </c>
      <c r="H898" s="568">
        <v>2015</v>
      </c>
      <c r="I898" s="568">
        <v>2020</v>
      </c>
      <c r="J898" s="568">
        <v>2025</v>
      </c>
      <c r="K898" s="568">
        <v>2030</v>
      </c>
      <c r="L898" s="568">
        <v>2035</v>
      </c>
      <c r="M898" s="568">
        <v>2040</v>
      </c>
      <c r="N898" s="568">
        <v>2045</v>
      </c>
      <c r="O898" s="568">
        <v>2050</v>
      </c>
      <c r="P898" s="18"/>
      <c r="W898" s="21"/>
      <c r="X898" s="21"/>
      <c r="Y898" s="21"/>
    </row>
    <row r="899" spans="2:25" s="16" customFormat="1">
      <c r="B899" s="18"/>
      <c r="C899" s="18"/>
      <c r="D899" s="18"/>
      <c r="E899" s="18"/>
      <c r="F899" s="21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W899" s="21"/>
      <c r="X899" s="21"/>
      <c r="Y899" s="21"/>
    </row>
    <row r="900" spans="2:25" s="16" customFormat="1">
      <c r="B900" s="973" t="s">
        <v>40</v>
      </c>
      <c r="C900" s="16" t="str">
        <f>INDEX(Vectors[Description], MATCH($B900, Vectors[Code], 0))</f>
        <v>Electricity (delivered to end user)</v>
      </c>
      <c r="D900" s="18"/>
      <c r="E900" s="18"/>
      <c r="F900" s="21">
        <f t="shared" ref="F900:O900" ca="1" si="312">F780+F850+F886</f>
        <v>-31.008546529888466</v>
      </c>
      <c r="G900" s="21" t="e">
        <f t="shared" ca="1" si="312"/>
        <v>#REF!</v>
      </c>
      <c r="H900" s="21" t="e">
        <f t="shared" ca="1" si="312"/>
        <v>#REF!</v>
      </c>
      <c r="I900" s="21" t="e">
        <f t="shared" ca="1" si="312"/>
        <v>#REF!</v>
      </c>
      <c r="J900" s="21" t="e">
        <f t="shared" ca="1" si="312"/>
        <v>#REF!</v>
      </c>
      <c r="K900" s="21" t="e">
        <f t="shared" ca="1" si="312"/>
        <v>#REF!</v>
      </c>
      <c r="L900" s="21" t="e">
        <f t="shared" ca="1" si="312"/>
        <v>#REF!</v>
      </c>
      <c r="M900" s="21" t="e">
        <f t="shared" ca="1" si="312"/>
        <v>#REF!</v>
      </c>
      <c r="N900" s="21" t="e">
        <f t="shared" ca="1" si="312"/>
        <v>#REF!</v>
      </c>
      <c r="O900" s="21" t="e">
        <f t="shared" ca="1" si="312"/>
        <v>#REF!</v>
      </c>
      <c r="P900" s="18"/>
      <c r="W900" s="21"/>
      <c r="X900" s="21"/>
      <c r="Y900" s="21"/>
    </row>
    <row r="901" spans="2:25" s="16" customFormat="1">
      <c r="B901" s="973" t="s">
        <v>41</v>
      </c>
      <c r="C901" s="16" t="str">
        <f>INDEX(Vectors[Description], MATCH($B901, Vectors[Code], 0))</f>
        <v>Electricity (supplied to grid)</v>
      </c>
      <c r="D901" s="18"/>
      <c r="E901" s="18"/>
      <c r="F901" s="21">
        <f t="shared" ref="F901:O901" ca="1" si="313">F781+F851+F887</f>
        <v>0</v>
      </c>
      <c r="G901" s="21" t="e">
        <f t="shared" ca="1" si="313"/>
        <v>#REF!</v>
      </c>
      <c r="H901" s="21" t="e">
        <f t="shared" ca="1" si="313"/>
        <v>#REF!</v>
      </c>
      <c r="I901" s="21" t="e">
        <f t="shared" ca="1" si="313"/>
        <v>#REF!</v>
      </c>
      <c r="J901" s="21" t="e">
        <f t="shared" ca="1" si="313"/>
        <v>#REF!</v>
      </c>
      <c r="K901" s="21" t="e">
        <f t="shared" ca="1" si="313"/>
        <v>#REF!</v>
      </c>
      <c r="L901" s="21" t="e">
        <f t="shared" ca="1" si="313"/>
        <v>#REF!</v>
      </c>
      <c r="M901" s="21" t="e">
        <f t="shared" ca="1" si="313"/>
        <v>#REF!</v>
      </c>
      <c r="N901" s="21" t="e">
        <f t="shared" ca="1" si="313"/>
        <v>#REF!</v>
      </c>
      <c r="O901" s="21" t="e">
        <f t="shared" ca="1" si="313"/>
        <v>#REF!</v>
      </c>
      <c r="P901" s="18"/>
      <c r="W901" s="21"/>
      <c r="X901" s="21"/>
      <c r="Y901" s="21"/>
    </row>
    <row r="902" spans="2:25" s="16" customFormat="1">
      <c r="B902" s="973" t="s">
        <v>42</v>
      </c>
      <c r="C902" s="16" t="str">
        <f>INDEX(Vectors[Description], MATCH($B902, Vectors[Code], 0))</f>
        <v>Solid hydrocarbons</v>
      </c>
      <c r="D902" s="18"/>
      <c r="E902" s="18"/>
      <c r="F902" s="21">
        <f t="shared" ref="F902:O902" ca="1" si="314">F782+F852+F888</f>
        <v>-14.256803002247571</v>
      </c>
      <c r="G902" s="21" t="e">
        <f t="shared" ca="1" si="314"/>
        <v>#REF!</v>
      </c>
      <c r="H902" s="21" t="e">
        <f t="shared" ca="1" si="314"/>
        <v>#REF!</v>
      </c>
      <c r="I902" s="21" t="e">
        <f t="shared" ca="1" si="314"/>
        <v>#REF!</v>
      </c>
      <c r="J902" s="21" t="e">
        <f t="shared" ca="1" si="314"/>
        <v>#REF!</v>
      </c>
      <c r="K902" s="21" t="e">
        <f t="shared" ca="1" si="314"/>
        <v>#REF!</v>
      </c>
      <c r="L902" s="21" t="e">
        <f t="shared" ca="1" si="314"/>
        <v>#REF!</v>
      </c>
      <c r="M902" s="21" t="e">
        <f t="shared" ca="1" si="314"/>
        <v>#REF!</v>
      </c>
      <c r="N902" s="21" t="e">
        <f t="shared" ca="1" si="314"/>
        <v>#REF!</v>
      </c>
      <c r="O902" s="21" t="e">
        <f t="shared" ca="1" si="314"/>
        <v>#REF!</v>
      </c>
      <c r="P902" s="18"/>
      <c r="W902" s="21"/>
      <c r="X902" s="21"/>
      <c r="Y902" s="21"/>
    </row>
    <row r="903" spans="2:25" s="16" customFormat="1">
      <c r="B903" s="973" t="s">
        <v>44</v>
      </c>
      <c r="C903" s="16" t="str">
        <f>INDEX(Vectors[Description], MATCH($B903, Vectors[Code], 0))</f>
        <v>Liquid hydrocarbons</v>
      </c>
      <c r="D903" s="18"/>
      <c r="E903" s="18"/>
      <c r="F903" s="21">
        <f t="shared" ref="F903:O903" ca="1" si="315">F783+F853+F889</f>
        <v>-12.787029496861225</v>
      </c>
      <c r="G903" s="21" t="e">
        <f t="shared" ca="1" si="315"/>
        <v>#REF!</v>
      </c>
      <c r="H903" s="21" t="e">
        <f t="shared" ca="1" si="315"/>
        <v>#REF!</v>
      </c>
      <c r="I903" s="21" t="e">
        <f t="shared" ca="1" si="315"/>
        <v>#REF!</v>
      </c>
      <c r="J903" s="21" t="e">
        <f t="shared" ca="1" si="315"/>
        <v>#REF!</v>
      </c>
      <c r="K903" s="21" t="e">
        <f t="shared" ca="1" si="315"/>
        <v>#REF!</v>
      </c>
      <c r="L903" s="21" t="e">
        <f t="shared" ca="1" si="315"/>
        <v>#REF!</v>
      </c>
      <c r="M903" s="21" t="e">
        <f t="shared" ca="1" si="315"/>
        <v>#REF!</v>
      </c>
      <c r="N903" s="21" t="e">
        <f t="shared" ca="1" si="315"/>
        <v>#REF!</v>
      </c>
      <c r="O903" s="21" t="e">
        <f t="shared" ca="1" si="315"/>
        <v>#REF!</v>
      </c>
      <c r="P903" s="18"/>
      <c r="W903" s="21"/>
      <c r="X903" s="21"/>
      <c r="Y903" s="21"/>
    </row>
    <row r="904" spans="2:25" s="16" customFormat="1">
      <c r="B904" s="973" t="s">
        <v>45</v>
      </c>
      <c r="C904" s="16" t="str">
        <f>INDEX(Vectors[Description], MATCH($B904, Vectors[Code], 0))</f>
        <v>Gaseous hydrocarbons</v>
      </c>
      <c r="D904" s="18"/>
      <c r="E904" s="18"/>
      <c r="F904" s="21">
        <f t="shared" ref="F904:O904" ca="1" si="316">F784+F854+F890</f>
        <v>-324.47780687796825</v>
      </c>
      <c r="G904" s="21" t="e">
        <f t="shared" ca="1" si="316"/>
        <v>#REF!</v>
      </c>
      <c r="H904" s="21" t="e">
        <f t="shared" ca="1" si="316"/>
        <v>#REF!</v>
      </c>
      <c r="I904" s="21" t="e">
        <f t="shared" ca="1" si="316"/>
        <v>#REF!</v>
      </c>
      <c r="J904" s="21" t="e">
        <f t="shared" ca="1" si="316"/>
        <v>#REF!</v>
      </c>
      <c r="K904" s="21" t="e">
        <f t="shared" ca="1" si="316"/>
        <v>#REF!</v>
      </c>
      <c r="L904" s="21" t="e">
        <f t="shared" ca="1" si="316"/>
        <v>#REF!</v>
      </c>
      <c r="M904" s="21" t="e">
        <f t="shared" ca="1" si="316"/>
        <v>#REF!</v>
      </c>
      <c r="N904" s="21" t="e">
        <f t="shared" ca="1" si="316"/>
        <v>#REF!</v>
      </c>
      <c r="O904" s="21" t="e">
        <f t="shared" ca="1" si="316"/>
        <v>#REF!</v>
      </c>
      <c r="P904" s="18"/>
      <c r="W904" s="21"/>
      <c r="X904" s="21"/>
      <c r="Y904" s="21"/>
    </row>
    <row r="905" spans="2:25" s="16" customFormat="1">
      <c r="B905" s="973" t="s">
        <v>625</v>
      </c>
      <c r="C905" s="16" t="str">
        <f>INDEX(Vectors[Description], MATCH($B905, Vectors[Code], 0))</f>
        <v>Heat transport</v>
      </c>
      <c r="D905" s="18"/>
      <c r="E905" s="18"/>
      <c r="F905" s="21">
        <f t="shared" ref="F905:O905" ca="1" si="317">F785+F855+F891</f>
        <v>0</v>
      </c>
      <c r="G905" s="21" t="e">
        <f t="shared" ca="1" si="317"/>
        <v>#REF!</v>
      </c>
      <c r="H905" s="21" t="e">
        <f t="shared" ca="1" si="317"/>
        <v>#REF!</v>
      </c>
      <c r="I905" s="21" t="e">
        <f t="shared" ca="1" si="317"/>
        <v>#REF!</v>
      </c>
      <c r="J905" s="21" t="e">
        <f t="shared" ca="1" si="317"/>
        <v>#REF!</v>
      </c>
      <c r="K905" s="21" t="e">
        <f t="shared" ca="1" si="317"/>
        <v>#REF!</v>
      </c>
      <c r="L905" s="21" t="e">
        <f t="shared" ca="1" si="317"/>
        <v>#REF!</v>
      </c>
      <c r="M905" s="21" t="e">
        <f t="shared" ca="1" si="317"/>
        <v>#REF!</v>
      </c>
      <c r="N905" s="21" t="e">
        <f t="shared" ca="1" si="317"/>
        <v>#REF!</v>
      </c>
      <c r="O905" s="21" t="e">
        <f t="shared" ca="1" si="317"/>
        <v>#REF!</v>
      </c>
      <c r="P905" s="18"/>
      <c r="W905" s="21"/>
      <c r="X905" s="21"/>
      <c r="Y905" s="21"/>
    </row>
    <row r="906" spans="2:25" s="16" customFormat="1">
      <c r="B906" s="973" t="s">
        <v>98</v>
      </c>
      <c r="C906" s="16" t="str">
        <f>INDEX(Vectors[Description], MATCH($B906, Vectors[Code], 0))</f>
        <v>Environmental heat</v>
      </c>
      <c r="D906" s="18"/>
      <c r="E906" s="18"/>
      <c r="F906" s="21">
        <f t="shared" ref="F906:O906" ca="1" si="318">F786+F856+F892</f>
        <v>0</v>
      </c>
      <c r="G906" s="21" t="e">
        <f t="shared" ca="1" si="318"/>
        <v>#REF!</v>
      </c>
      <c r="H906" s="21" t="e">
        <f t="shared" ca="1" si="318"/>
        <v>#REF!</v>
      </c>
      <c r="I906" s="21" t="e">
        <f t="shared" ca="1" si="318"/>
        <v>#REF!</v>
      </c>
      <c r="J906" s="21" t="e">
        <f t="shared" ca="1" si="318"/>
        <v>#REF!</v>
      </c>
      <c r="K906" s="21" t="e">
        <f t="shared" ca="1" si="318"/>
        <v>#REF!</v>
      </c>
      <c r="L906" s="21" t="e">
        <f t="shared" ca="1" si="318"/>
        <v>#REF!</v>
      </c>
      <c r="M906" s="21" t="e">
        <f t="shared" ca="1" si="318"/>
        <v>#REF!</v>
      </c>
      <c r="N906" s="21" t="e">
        <f t="shared" ca="1" si="318"/>
        <v>#REF!</v>
      </c>
      <c r="O906" s="21" t="e">
        <f t="shared" ca="1" si="318"/>
        <v>#REF!</v>
      </c>
      <c r="P906" s="18"/>
      <c r="W906" s="21"/>
      <c r="X906" s="21"/>
      <c r="Y906" s="21"/>
    </row>
    <row r="907" spans="2:25" s="16" customFormat="1">
      <c r="B907" s="973" t="s">
        <v>6</v>
      </c>
      <c r="C907" s="16" t="str">
        <f>INDEX(Vectors[Description], MATCH($B907, Vectors[Code], 0))</f>
        <v>Heating &amp; cooling</v>
      </c>
      <c r="D907" s="18"/>
      <c r="E907" s="18"/>
      <c r="F907" s="21">
        <f t="shared" ref="F907:O907" ca="1" si="319">F787+F857+F893</f>
        <v>310.08546529888463</v>
      </c>
      <c r="G907" s="21" t="e">
        <f t="shared" ca="1" si="319"/>
        <v>#REF!</v>
      </c>
      <c r="H907" s="21" t="e">
        <f t="shared" ca="1" si="319"/>
        <v>#REF!</v>
      </c>
      <c r="I907" s="21" t="e">
        <f t="shared" ca="1" si="319"/>
        <v>#REF!</v>
      </c>
      <c r="J907" s="21" t="e">
        <f t="shared" ca="1" si="319"/>
        <v>#REF!</v>
      </c>
      <c r="K907" s="21" t="e">
        <f t="shared" ca="1" si="319"/>
        <v>#REF!</v>
      </c>
      <c r="L907" s="21" t="e">
        <f t="shared" ca="1" si="319"/>
        <v>#REF!</v>
      </c>
      <c r="M907" s="21" t="e">
        <f t="shared" ca="1" si="319"/>
        <v>#REF!</v>
      </c>
      <c r="N907" s="21" t="e">
        <f t="shared" ca="1" si="319"/>
        <v>#REF!</v>
      </c>
      <c r="O907" s="21" t="e">
        <f t="shared" ca="1" si="319"/>
        <v>#REF!</v>
      </c>
      <c r="P907" s="18"/>
      <c r="W907" s="21"/>
      <c r="X907" s="21"/>
      <c r="Y907" s="21"/>
    </row>
    <row r="908" spans="2:25" s="16" customFormat="1">
      <c r="B908" s="973" t="s">
        <v>31</v>
      </c>
      <c r="C908" s="16" t="str">
        <f>INDEX(Vectors[Description], MATCH($B908, Vectors[Code], 0))</f>
        <v>Conversion losses</v>
      </c>
      <c r="D908" s="18"/>
      <c r="E908" s="18"/>
      <c r="F908" s="21">
        <f t="shared" ref="F908:O908" ca="1" si="320">F788+F858+F894</f>
        <v>72.444720608080829</v>
      </c>
      <c r="G908" s="21" t="e">
        <f t="shared" ca="1" si="320"/>
        <v>#REF!</v>
      </c>
      <c r="H908" s="21" t="e">
        <f t="shared" ca="1" si="320"/>
        <v>#REF!</v>
      </c>
      <c r="I908" s="21" t="e">
        <f t="shared" ca="1" si="320"/>
        <v>#REF!</v>
      </c>
      <c r="J908" s="21" t="e">
        <f t="shared" ca="1" si="320"/>
        <v>#REF!</v>
      </c>
      <c r="K908" s="21" t="e">
        <f t="shared" ca="1" si="320"/>
        <v>#REF!</v>
      </c>
      <c r="L908" s="21" t="e">
        <f t="shared" ca="1" si="320"/>
        <v>#REF!</v>
      </c>
      <c r="M908" s="21" t="e">
        <f t="shared" ca="1" si="320"/>
        <v>#REF!</v>
      </c>
      <c r="N908" s="21" t="e">
        <f t="shared" ca="1" si="320"/>
        <v>#REF!</v>
      </c>
      <c r="O908" s="21" t="e">
        <f t="shared" ca="1" si="320"/>
        <v>#REF!</v>
      </c>
      <c r="P908" s="18"/>
      <c r="W908" s="21"/>
      <c r="X908" s="21"/>
      <c r="Y908" s="21"/>
    </row>
    <row r="909" spans="2:25" s="16" customFormat="1">
      <c r="B909" s="18"/>
      <c r="C909" s="18"/>
      <c r="D909" s="18"/>
      <c r="E909" s="568" t="str">
        <f>Preferences.EnergyUnits</f>
        <v>TWh</v>
      </c>
      <c r="F909" s="984">
        <f t="shared" ref="F909:O909" ca="1" si="321">SUM(F900:F908)</f>
        <v>0</v>
      </c>
      <c r="G909" s="984" t="e">
        <f t="shared" ca="1" si="321"/>
        <v>#REF!</v>
      </c>
      <c r="H909" s="984" t="e">
        <f t="shared" ca="1" si="321"/>
        <v>#REF!</v>
      </c>
      <c r="I909" s="984" t="e">
        <f t="shared" ca="1" si="321"/>
        <v>#REF!</v>
      </c>
      <c r="J909" s="984" t="e">
        <f t="shared" ca="1" si="321"/>
        <v>#REF!</v>
      </c>
      <c r="K909" s="984" t="e">
        <f t="shared" ca="1" si="321"/>
        <v>#REF!</v>
      </c>
      <c r="L909" s="984" t="e">
        <f t="shared" ca="1" si="321"/>
        <v>#REF!</v>
      </c>
      <c r="M909" s="984" t="e">
        <f t="shared" ca="1" si="321"/>
        <v>#REF!</v>
      </c>
      <c r="N909" s="984" t="e">
        <f t="shared" ca="1" si="321"/>
        <v>#REF!</v>
      </c>
      <c r="O909" s="984" t="e">
        <f t="shared" ca="1" si="321"/>
        <v>#REF!</v>
      </c>
      <c r="P909" s="18"/>
      <c r="W909" s="21"/>
      <c r="X909" s="21"/>
      <c r="Y909" s="21"/>
    </row>
    <row r="910" spans="2:25" s="16" customFormat="1">
      <c r="B910" s="18"/>
      <c r="C910" s="18"/>
      <c r="D910" s="18"/>
      <c r="E910" s="18"/>
      <c r="F910" s="21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 spans="2:25" s="16" customFormat="1">
      <c r="B911" s="568">
        <v>6</v>
      </c>
      <c r="C911" s="792" t="s">
        <v>882</v>
      </c>
      <c r="D911" s="18"/>
      <c r="E911" s="18"/>
      <c r="F911" s="568">
        <v>2007</v>
      </c>
      <c r="G911" s="568">
        <v>2010</v>
      </c>
      <c r="H911" s="568">
        <v>2015</v>
      </c>
      <c r="I911" s="568">
        <v>2020</v>
      </c>
      <c r="J911" s="568">
        <v>2025</v>
      </c>
      <c r="K911" s="568">
        <v>2030</v>
      </c>
      <c r="L911" s="568">
        <v>2035</v>
      </c>
      <c r="M911" s="568">
        <v>2040</v>
      </c>
      <c r="N911" s="568">
        <v>2045</v>
      </c>
      <c r="O911" s="568">
        <v>2050</v>
      </c>
      <c r="P911" s="18"/>
    </row>
    <row r="912" spans="2:25" s="16" customFormat="1">
      <c r="B912" s="18"/>
      <c r="C912" s="18" t="s">
        <v>792</v>
      </c>
      <c r="D912" s="18"/>
      <c r="E912" s="18" t="s">
        <v>810</v>
      </c>
      <c r="F912" s="1299">
        <f t="array" aca="1" ref="F912" ca="1">-SUM(F$900:F$908*SUMIFS(EF[CO2], EF[Vector], $B$900:$B$908))</f>
        <v>67.291769164453711</v>
      </c>
      <c r="G912" s="1299" t="e">
        <f t="array" aca="1" ref="G912" ca="1">-SUM(G$900:G$908*SUMIFS(EF[CO2], EF[Vector], $B$900:$B$908))</f>
        <v>#REF!</v>
      </c>
      <c r="H912" s="1299" t="e">
        <f t="array" aca="1" ref="H912" ca="1">-SUM(H$900:H$908*SUMIFS(EF[CO2], EF[Vector], $B$900:$B$908))</f>
        <v>#REF!</v>
      </c>
      <c r="I912" s="1299" t="e">
        <f t="array" aca="1" ref="I912" ca="1">-SUM(I$900:I$908*SUMIFS(EF[CO2], EF[Vector], $B$900:$B$908))</f>
        <v>#REF!</v>
      </c>
      <c r="J912" s="1299" t="e">
        <f t="array" aca="1" ref="J912" ca="1">-SUM(J$900:J$908*SUMIFS(EF[CO2], EF[Vector], $B$900:$B$908))</f>
        <v>#REF!</v>
      </c>
      <c r="K912" s="1299" t="e">
        <f t="array" aca="1" ref="K912" ca="1">-SUM(K$900:K$908*SUMIFS(EF[CO2], EF[Vector], $B$900:$B$908))</f>
        <v>#REF!</v>
      </c>
      <c r="L912" s="1299" t="e">
        <f t="array" aca="1" ref="L912" ca="1">-SUM(L$900:L$908*SUMIFS(EF[CO2], EF[Vector], $B$900:$B$908))</f>
        <v>#REF!</v>
      </c>
      <c r="M912" s="1299" t="e">
        <f t="array" aca="1" ref="M912" ca="1">-SUM(M$900:M$908*SUMIFS(EF[CO2], EF[Vector], $B$900:$B$908))</f>
        <v>#REF!</v>
      </c>
      <c r="N912" s="1299" t="e">
        <f t="array" aca="1" ref="N912" ca="1">-SUM(N$900:N$908*SUMIFS(EF[CO2], EF[Vector], $B$900:$B$908))</f>
        <v>#REF!</v>
      </c>
      <c r="O912" s="1299" t="e">
        <f t="array" aca="1" ref="O912" ca="1">-SUM(O$900:O$908*SUMIFS(EF[CO2], EF[Vector], $B$900:$B$908))</f>
        <v>#REF!</v>
      </c>
      <c r="P912" s="18"/>
      <c r="Q912" s="21"/>
    </row>
    <row r="913" spans="2:25" s="16" customFormat="1">
      <c r="B913" s="18"/>
      <c r="C913" s="18" t="s">
        <v>793</v>
      </c>
      <c r="D913" s="18"/>
      <c r="E913" s="18"/>
      <c r="F913" s="1299">
        <f t="array" aca="1" ref="F913" ca="1">-SUM(F$900:F$908*SUMIFS(EF[CH4], EF[Vector], $B$900:$B$908))</f>
        <v>0.13655504882378258</v>
      </c>
      <c r="G913" s="1299" t="e">
        <f t="array" aca="1" ref="G913" ca="1">-SUM(G$900:G$908*SUMIFS(EF[CH4], EF[Vector], $B$900:$B$908))</f>
        <v>#REF!</v>
      </c>
      <c r="H913" s="1299" t="e">
        <f t="array" aca="1" ref="H913" ca="1">-SUM(H$900:H$908*SUMIFS(EF[CH4], EF[Vector], $B$900:$B$908))</f>
        <v>#REF!</v>
      </c>
      <c r="I913" s="1299" t="e">
        <f t="array" aca="1" ref="I913" ca="1">-SUM(I$900:I$908*SUMIFS(EF[CH4], EF[Vector], $B$900:$B$908))</f>
        <v>#REF!</v>
      </c>
      <c r="J913" s="1299" t="e">
        <f t="array" aca="1" ref="J913" ca="1">-SUM(J$900:J$908*SUMIFS(EF[CH4], EF[Vector], $B$900:$B$908))</f>
        <v>#REF!</v>
      </c>
      <c r="K913" s="1299" t="e">
        <f t="array" aca="1" ref="K913" ca="1">-SUM(K$900:K$908*SUMIFS(EF[CH4], EF[Vector], $B$900:$B$908))</f>
        <v>#REF!</v>
      </c>
      <c r="L913" s="1299" t="e">
        <f t="array" aca="1" ref="L913" ca="1">-SUM(L$900:L$908*SUMIFS(EF[CH4], EF[Vector], $B$900:$B$908))</f>
        <v>#REF!</v>
      </c>
      <c r="M913" s="1299" t="e">
        <f t="array" aca="1" ref="M913" ca="1">-SUM(M$900:M$908*SUMIFS(EF[CH4], EF[Vector], $B$900:$B$908))</f>
        <v>#REF!</v>
      </c>
      <c r="N913" s="1299" t="e">
        <f t="array" aca="1" ref="N913" ca="1">-SUM(N$900:N$908*SUMIFS(EF[CH4], EF[Vector], $B$900:$B$908))</f>
        <v>#REF!</v>
      </c>
      <c r="O913" s="1299" t="e">
        <f t="array" aca="1" ref="O913" ca="1">-SUM(O$900:O$908*SUMIFS(EF[CH4], EF[Vector], $B$900:$B$908))</f>
        <v>#REF!</v>
      </c>
      <c r="P913" s="18"/>
    </row>
    <row r="914" spans="2:25" s="16" customFormat="1">
      <c r="B914" s="18"/>
      <c r="C914" s="18" t="s">
        <v>794</v>
      </c>
      <c r="D914" s="18"/>
      <c r="E914" s="18"/>
      <c r="F914" s="1299">
        <f t="array" aca="1" ref="F914" ca="1">-SUM(F$900:F$908*SUMIFS(EF[N2O],EF[Vector], $B$900:$B$908))</f>
        <v>0.22513176941521534</v>
      </c>
      <c r="G914" s="1299" t="e">
        <f t="array" aca="1" ref="G914" ca="1">-SUM(G$900:G$908*SUMIFS(EF[N2O],EF[Vector], $B$900:$B$908))</f>
        <v>#REF!</v>
      </c>
      <c r="H914" s="1299" t="e">
        <f t="array" aca="1" ref="H914" ca="1">-SUM(H$900:H$908*SUMIFS(EF[N2O],EF[Vector], $B$900:$B$908))</f>
        <v>#REF!</v>
      </c>
      <c r="I914" s="1299" t="e">
        <f t="array" aca="1" ref="I914" ca="1">-SUM(I$900:I$908*SUMIFS(EF[N2O],EF[Vector], $B$900:$B$908))</f>
        <v>#REF!</v>
      </c>
      <c r="J914" s="1299" t="e">
        <f t="array" aca="1" ref="J914" ca="1">-SUM(J$900:J$908*SUMIFS(EF[N2O],EF[Vector], $B$900:$B$908))</f>
        <v>#REF!</v>
      </c>
      <c r="K914" s="1299" t="e">
        <f t="array" aca="1" ref="K914" ca="1">-SUM(K$900:K$908*SUMIFS(EF[N2O],EF[Vector], $B$900:$B$908))</f>
        <v>#REF!</v>
      </c>
      <c r="L914" s="1299" t="e">
        <f t="array" aca="1" ref="L914" ca="1">-SUM(L$900:L$908*SUMIFS(EF[N2O],EF[Vector], $B$900:$B$908))</f>
        <v>#REF!</v>
      </c>
      <c r="M914" s="1299" t="e">
        <f t="array" aca="1" ref="M914" ca="1">-SUM(M$900:M$908*SUMIFS(EF[N2O],EF[Vector], $B$900:$B$908))</f>
        <v>#REF!</v>
      </c>
      <c r="N914" s="1299" t="e">
        <f t="array" aca="1" ref="N914" ca="1">-SUM(N$900:N$908*SUMIFS(EF[N2O],EF[Vector], $B$900:$B$908))</f>
        <v>#REF!</v>
      </c>
      <c r="O914" s="1299" t="e">
        <f t="array" aca="1" ref="O914" ca="1">-SUM(O$900:O$908*SUMIFS(EF[N2O],EF[Vector], $B$900:$B$908))</f>
        <v>#REF!</v>
      </c>
      <c r="P914" s="18"/>
    </row>
    <row r="916" spans="2:25" s="16" customFormat="1">
      <c r="B916" s="240" t="s">
        <v>1807</v>
      </c>
      <c r="C916" s="1695"/>
      <c r="D916" s="18"/>
      <c r="E916" s="18"/>
      <c r="F916" s="1243">
        <v>2007</v>
      </c>
      <c r="G916" s="1243">
        <v>2010</v>
      </c>
      <c r="H916" s="1243">
        <v>2015</v>
      </c>
      <c r="I916" s="1243">
        <v>2020</v>
      </c>
      <c r="J916" s="1243">
        <v>2025</v>
      </c>
      <c r="K916" s="1243">
        <v>2030</v>
      </c>
      <c r="L916" s="1243">
        <v>2035</v>
      </c>
      <c r="M916" s="1243">
        <v>2040</v>
      </c>
      <c r="N916" s="1243">
        <v>2045</v>
      </c>
      <c r="O916" s="1243">
        <v>2050</v>
      </c>
      <c r="P916" s="18"/>
      <c r="W916" s="21"/>
      <c r="X916" s="21"/>
      <c r="Y916" s="21"/>
    </row>
    <row r="917" spans="2:25">
      <c r="C917" s="18" t="s">
        <v>1764</v>
      </c>
      <c r="E917" s="18" t="s">
        <v>260</v>
      </c>
      <c r="F917" s="1008" t="e">
        <f ca="1">(F763/$M147+F833/$M129)*(1-'Intermediate output'!#REF!)</f>
        <v>#REF!</v>
      </c>
      <c r="G917" s="1008" t="e">
        <f ca="1">(G763/$M147+G833/$M129)*(1-'Intermediate output'!#REF!)</f>
        <v>#REF!</v>
      </c>
      <c r="H917" s="1008" t="e">
        <f ca="1">(H763/$M147+H833/$M129)*(1-'Intermediate output'!#REF!)</f>
        <v>#REF!</v>
      </c>
      <c r="I917" s="1008" t="e">
        <f ca="1">(I763/$M147+I833/$M129)*(1-'Intermediate output'!#REF!)</f>
        <v>#REF!</v>
      </c>
      <c r="J917" s="1008" t="e">
        <f ca="1">(J763/$M147+J833/$M129)*(1-'Intermediate output'!#REF!)</f>
        <v>#REF!</v>
      </c>
      <c r="K917" s="1008" t="e">
        <f ca="1">(K763/$M147+K833/$M129)*(1-'Intermediate output'!#REF!)</f>
        <v>#REF!</v>
      </c>
      <c r="L917" s="1008" t="e">
        <f ca="1">(L763/$M147+L833/$M129)*(1-'Intermediate output'!#REF!)</f>
        <v>#REF!</v>
      </c>
      <c r="M917" s="1008" t="e">
        <f ca="1">(M763/$M147+M833/$M129)*(1-'Intermediate output'!#REF!)</f>
        <v>#REF!</v>
      </c>
      <c r="N917" s="1008" t="e">
        <f ca="1">(N763/$M147+N833/$M129)*(1-'Intermediate output'!#REF!)</f>
        <v>#REF!</v>
      </c>
      <c r="O917" s="1008" t="e">
        <f ca="1">(O763/$M147+O833/$M129)*(1-'Intermediate output'!#REF!)</f>
        <v>#REF!</v>
      </c>
    </row>
    <row r="918" spans="2:25">
      <c r="C918" s="18" t="s">
        <v>1764</v>
      </c>
      <c r="E918" s="18" t="s">
        <v>1806</v>
      </c>
      <c r="F918" s="1008" t="e">
        <f ca="1">(F763/$M147+F833/$M129)*('Intermediate output'!#REF!)</f>
        <v>#REF!</v>
      </c>
      <c r="G918" s="1008" t="e">
        <f ca="1">(G763/$M147+G833/$M129)*('Intermediate output'!#REF!)</f>
        <v>#REF!</v>
      </c>
      <c r="H918" s="1008" t="e">
        <f ca="1">(H763/$M147+H833/$M129)*('Intermediate output'!#REF!)</f>
        <v>#REF!</v>
      </c>
      <c r="I918" s="1008" t="e">
        <f ca="1">(I763/$M147+I833/$M129)*('Intermediate output'!#REF!)</f>
        <v>#REF!</v>
      </c>
      <c r="J918" s="1008" t="e">
        <f ca="1">(J763/$M147+J833/$M129)*('Intermediate output'!#REF!)</f>
        <v>#REF!</v>
      </c>
      <c r="K918" s="1008" t="e">
        <f ca="1">(K763/$M147+K833/$M129)*('Intermediate output'!#REF!)</f>
        <v>#REF!</v>
      </c>
      <c r="L918" s="1008" t="e">
        <f ca="1">(L763/$M147+L833/$M129)*('Intermediate output'!#REF!)</f>
        <v>#REF!</v>
      </c>
      <c r="M918" s="1008" t="e">
        <f ca="1">(M763/$M147+M833/$M129)*('Intermediate output'!#REF!)</f>
        <v>#REF!</v>
      </c>
      <c r="N918" s="1008" t="e">
        <f ca="1">(N763/$M147+N833/$M129)*('Intermediate output'!#REF!)</f>
        <v>#REF!</v>
      </c>
      <c r="O918" s="1008" t="e">
        <f ca="1">(O763/$M147+O833/$M129)*('Intermediate output'!#REF!)</f>
        <v>#REF!</v>
      </c>
    </row>
    <row r="919" spans="2:25">
      <c r="C919" s="18" t="s">
        <v>1765</v>
      </c>
      <c r="E919" s="18" t="s">
        <v>260</v>
      </c>
      <c r="F919" s="1008" t="e">
        <f ca="1">(F764/$M148+F834/$M130)*(1-'Intermediate output'!#REF!)</f>
        <v>#REF!</v>
      </c>
      <c r="G919" s="1008" t="e">
        <f ca="1">(G764/$M148+G834/$M130)*(1-'Intermediate output'!#REF!)</f>
        <v>#REF!</v>
      </c>
      <c r="H919" s="1008" t="e">
        <f ca="1">(H764/$M148+H834/$M130)*(1-'Intermediate output'!#REF!)</f>
        <v>#REF!</v>
      </c>
      <c r="I919" s="1008" t="e">
        <f ca="1">(I764/$M148+I834/$M130)*(1-'Intermediate output'!#REF!)</f>
        <v>#REF!</v>
      </c>
      <c r="J919" s="1008" t="e">
        <f ca="1">(J764/$M148+J834/$M130)*(1-'Intermediate output'!#REF!)</f>
        <v>#REF!</v>
      </c>
      <c r="K919" s="1008" t="e">
        <f ca="1">(K764/$M148+K834/$M130)*(1-'Intermediate output'!#REF!)</f>
        <v>#REF!</v>
      </c>
      <c r="L919" s="1008" t="e">
        <f ca="1">(L764/$M148+L834/$M130)*(1-'Intermediate output'!#REF!)</f>
        <v>#REF!</v>
      </c>
      <c r="M919" s="1008" t="e">
        <f ca="1">(M764/$M148+M834/$M130)*(1-'Intermediate output'!#REF!)</f>
        <v>#REF!</v>
      </c>
      <c r="N919" s="1008" t="e">
        <f ca="1">(N764/$M148+N834/$M130)*(1-'Intermediate output'!#REF!)</f>
        <v>#REF!</v>
      </c>
      <c r="O919" s="1008" t="e">
        <f ca="1">(O764/$M148+O834/$M130)*(1-'Intermediate output'!#REF!)</f>
        <v>#REF!</v>
      </c>
    </row>
    <row r="920" spans="2:25">
      <c r="C920" s="18" t="s">
        <v>1765</v>
      </c>
      <c r="E920" s="18" t="s">
        <v>1806</v>
      </c>
      <c r="F920" s="1008" t="e">
        <f ca="1">(F764/$M148+F834/$M130)*('Intermediate output'!#REF!)</f>
        <v>#REF!</v>
      </c>
      <c r="G920" s="1008" t="e">
        <f ca="1">(G764/$M148+G834/$M130)*('Intermediate output'!#REF!)</f>
        <v>#REF!</v>
      </c>
      <c r="H920" s="1008" t="e">
        <f ca="1">(H764/$M148+H834/$M130)*('Intermediate output'!#REF!)</f>
        <v>#REF!</v>
      </c>
      <c r="I920" s="1008" t="e">
        <f ca="1">(I764/$M148+I834/$M130)*('Intermediate output'!#REF!)</f>
        <v>#REF!</v>
      </c>
      <c r="J920" s="1008" t="e">
        <f ca="1">(J764/$M148+J834/$M130)*('Intermediate output'!#REF!)</f>
        <v>#REF!</v>
      </c>
      <c r="K920" s="1008" t="e">
        <f ca="1">(K764/$M148+K834/$M130)*('Intermediate output'!#REF!)</f>
        <v>#REF!</v>
      </c>
      <c r="L920" s="1008" t="e">
        <f ca="1">(L764/$M148+L834/$M130)*('Intermediate output'!#REF!)</f>
        <v>#REF!</v>
      </c>
      <c r="M920" s="1008" t="e">
        <f ca="1">(M764/$M148+M834/$M130)*('Intermediate output'!#REF!)</f>
        <v>#REF!</v>
      </c>
      <c r="N920" s="1008" t="e">
        <f ca="1">(N764/$M148+N834/$M130)*('Intermediate output'!#REF!)</f>
        <v>#REF!</v>
      </c>
      <c r="O920" s="1008" t="e">
        <f ca="1">(O764/$M148+O834/$M130)*('Intermediate output'!#REF!)</f>
        <v>#REF!</v>
      </c>
    </row>
    <row r="921" spans="2:25">
      <c r="C921" s="18" t="s">
        <v>671</v>
      </c>
      <c r="E921" s="18" t="s">
        <v>187</v>
      </c>
      <c r="F921" s="1008" t="e">
        <f ca="1">(F766/$M150+F836/$M132)*(1-'Intermediate output'!#REF!)</f>
        <v>#REF!</v>
      </c>
      <c r="G921" s="1008" t="e">
        <f ca="1">(G766/$M150+G836/$M132)*(1-'Intermediate output'!#REF!)</f>
        <v>#REF!</v>
      </c>
      <c r="H921" s="1008" t="e">
        <f ca="1">(H766/$M150+H836/$M132)*(1-'Intermediate output'!#REF!)</f>
        <v>#REF!</v>
      </c>
      <c r="I921" s="1008" t="e">
        <f ca="1">(I766/$M150+I836/$M132)*(1-'Intermediate output'!#REF!)</f>
        <v>#REF!</v>
      </c>
      <c r="J921" s="1008" t="e">
        <f ca="1">(J766/$M150+J836/$M132)*(1-'Intermediate output'!#REF!)</f>
        <v>#REF!</v>
      </c>
      <c r="K921" s="1008" t="e">
        <f ca="1">(K766/$M150+K836/$M132)*(1-'Intermediate output'!#REF!)</f>
        <v>#REF!</v>
      </c>
      <c r="L921" s="1008" t="e">
        <f ca="1">(L766/$M150+L836/$M132)*(1-'Intermediate output'!#REF!)</f>
        <v>#REF!</v>
      </c>
      <c r="M921" s="1008" t="e">
        <f ca="1">(M766/$M150+M836/$M132)*(1-'Intermediate output'!#REF!)</f>
        <v>#REF!</v>
      </c>
      <c r="N921" s="1008" t="e">
        <f ca="1">(N766/$M150+N836/$M132)*(1-'Intermediate output'!#REF!)</f>
        <v>#REF!</v>
      </c>
      <c r="O921" s="1008" t="e">
        <f ca="1">(O766/$M150+O836/$M132)*(1-'Intermediate output'!#REF!)</f>
        <v>#REF!</v>
      </c>
    </row>
    <row r="922" spans="2:25">
      <c r="C922" s="18" t="s">
        <v>671</v>
      </c>
      <c r="E922" s="18" t="s">
        <v>1797</v>
      </c>
      <c r="F922" s="1008" t="e">
        <f ca="1">(F766/$M150+F836/$M132)*('Intermediate output'!#REF!)</f>
        <v>#REF!</v>
      </c>
      <c r="G922" s="1008" t="e">
        <f ca="1">(G766/$M150+G836/$M132)*('Intermediate output'!#REF!)</f>
        <v>#REF!</v>
      </c>
      <c r="H922" s="1008" t="e">
        <f ca="1">(H766/$M150+H836/$M132)*('Intermediate output'!#REF!)</f>
        <v>#REF!</v>
      </c>
      <c r="I922" s="1008" t="e">
        <f ca="1">(I766/$M150+I836/$M132)*('Intermediate output'!#REF!)</f>
        <v>#REF!</v>
      </c>
      <c r="J922" s="1008" t="e">
        <f ca="1">(J766/$M150+J836/$M132)*('Intermediate output'!#REF!)</f>
        <v>#REF!</v>
      </c>
      <c r="K922" s="1008" t="e">
        <f ca="1">(K766/$M150+K836/$M132)*('Intermediate output'!#REF!)</f>
        <v>#REF!</v>
      </c>
      <c r="L922" s="1008" t="e">
        <f ca="1">(L766/$M150+L836/$M132)*('Intermediate output'!#REF!)</f>
        <v>#REF!</v>
      </c>
      <c r="M922" s="1008" t="e">
        <f ca="1">(M766/$M150+M836/$M132)*('Intermediate output'!#REF!)</f>
        <v>#REF!</v>
      </c>
      <c r="N922" s="1008" t="e">
        <f ca="1">(N766/$M150+N836/$M132)*('Intermediate output'!#REF!)</f>
        <v>#REF!</v>
      </c>
      <c r="O922" s="1008" t="e">
        <f ca="1">(O766/$M150+O836/$M132)*('Intermediate output'!#REF!)</f>
        <v>#REF!</v>
      </c>
    </row>
    <row r="923" spans="2:25">
      <c r="C923" s="18" t="s">
        <v>670</v>
      </c>
      <c r="E923" s="18" t="s">
        <v>126</v>
      </c>
      <c r="F923" s="1008" t="e">
        <f ca="1">(F767/$M151+F837/$M133)*(1-'Intermediate output'!#REF!)</f>
        <v>#REF!</v>
      </c>
      <c r="G923" s="1008" t="e">
        <f ca="1">(G767/$M151+G837/$M133)*(1-'Intermediate output'!#REF!)</f>
        <v>#REF!</v>
      </c>
      <c r="H923" s="1008" t="e">
        <f ca="1">(H767/$M151+H837/$M133)*(1-'Intermediate output'!#REF!)</f>
        <v>#REF!</v>
      </c>
      <c r="I923" s="1008" t="e">
        <f ca="1">(I767/$M151+I837/$M133)*(1-'Intermediate output'!#REF!)</f>
        <v>#REF!</v>
      </c>
      <c r="J923" s="1008" t="e">
        <f ca="1">(J767/$M151+J837/$M133)*(1-'Intermediate output'!#REF!)</f>
        <v>#REF!</v>
      </c>
      <c r="K923" s="1008" t="e">
        <f ca="1">(K767/$M151+K837/$M133)*(1-'Intermediate output'!#REF!)</f>
        <v>#REF!</v>
      </c>
      <c r="L923" s="1008" t="e">
        <f ca="1">(L767/$M151+L837/$M133)*(1-'Intermediate output'!#REF!)</f>
        <v>#REF!</v>
      </c>
      <c r="M923" s="1008" t="e">
        <f ca="1">(M767/$M151+M837/$M133)*(1-'Intermediate output'!#REF!)</f>
        <v>#REF!</v>
      </c>
      <c r="N923" s="1008" t="e">
        <f ca="1">(N767/$M151+N837/$M133)*(1-'Intermediate output'!#REF!)</f>
        <v>#REF!</v>
      </c>
      <c r="O923" s="1008" t="e">
        <f ca="1">(O767/$M151+O837/$M133)*(1-'Intermediate output'!#REF!)</f>
        <v>#REF!</v>
      </c>
    </row>
    <row r="924" spans="2:25">
      <c r="C924" s="18" t="s">
        <v>670</v>
      </c>
      <c r="E924" s="18" t="s">
        <v>1284</v>
      </c>
      <c r="F924" s="1008" t="e">
        <f ca="1">(F767/$M151+F837/$M133)*('Intermediate output'!#REF!)</f>
        <v>#REF!</v>
      </c>
      <c r="G924" s="1008" t="e">
        <f ca="1">(G767/$M151+G837/$M133)*('Intermediate output'!#REF!)</f>
        <v>#REF!</v>
      </c>
      <c r="H924" s="1008" t="e">
        <f ca="1">(H767/$M151+H837/$M133)*('Intermediate output'!#REF!)</f>
        <v>#REF!</v>
      </c>
      <c r="I924" s="1008" t="e">
        <f ca="1">(I767/$M151+I837/$M133)*('Intermediate output'!#REF!)</f>
        <v>#REF!</v>
      </c>
      <c r="J924" s="1008" t="e">
        <f ca="1">(J767/$M151+J837/$M133)*('Intermediate output'!#REF!)</f>
        <v>#REF!</v>
      </c>
      <c r="K924" s="1008" t="e">
        <f ca="1">(K767/$M151+K837/$M133)*('Intermediate output'!#REF!)</f>
        <v>#REF!</v>
      </c>
      <c r="L924" s="1008" t="e">
        <f ca="1">(L767/$M151+L837/$M133)*('Intermediate output'!#REF!)</f>
        <v>#REF!</v>
      </c>
      <c r="M924" s="1008" t="e">
        <f ca="1">(M767/$M151+M837/$M133)*('Intermediate output'!#REF!)</f>
        <v>#REF!</v>
      </c>
      <c r="N924" s="1008" t="e">
        <f ca="1">(N767/$M151+N837/$M133)*('Intermediate output'!#REF!)</f>
        <v>#REF!</v>
      </c>
      <c r="O924" s="1008" t="e">
        <f ca="1">(O767/$M151+O837/$M133)*('Intermediate output'!#REF!)</f>
        <v>#REF!</v>
      </c>
    </row>
    <row r="925" spans="2:25">
      <c r="C925" s="18" t="s">
        <v>929</v>
      </c>
      <c r="E925" s="18" t="s">
        <v>260</v>
      </c>
      <c r="F925" s="1008" t="e">
        <f ca="1">(F768/$M152+F838/$M134)*(1-'Intermediate output'!#REF!)</f>
        <v>#REF!</v>
      </c>
      <c r="G925" s="1008" t="e">
        <f ca="1">(G768/$M152+G838/$M134)*(1-'Intermediate output'!#REF!)</f>
        <v>#REF!</v>
      </c>
      <c r="H925" s="1008" t="e">
        <f ca="1">(H768/$M152+H838/$M134)*(1-'Intermediate output'!#REF!)</f>
        <v>#REF!</v>
      </c>
      <c r="I925" s="1008" t="e">
        <f ca="1">(I768/$M152+I838/$M134)*(1-'Intermediate output'!#REF!)</f>
        <v>#REF!</v>
      </c>
      <c r="J925" s="1008" t="e">
        <f ca="1">(J768/$M152+J838/$M134)*(1-'Intermediate output'!#REF!)</f>
        <v>#REF!</v>
      </c>
      <c r="K925" s="1008" t="e">
        <f ca="1">(K768/$M152+K838/$M134)*(1-'Intermediate output'!#REF!)</f>
        <v>#REF!</v>
      </c>
      <c r="L925" s="1008" t="e">
        <f ca="1">(L768/$M152+L838/$M134)*(1-'Intermediate output'!#REF!)</f>
        <v>#REF!</v>
      </c>
      <c r="M925" s="1008" t="e">
        <f ca="1">(M768/$M152+M838/$M134)*(1-'Intermediate output'!#REF!)</f>
        <v>#REF!</v>
      </c>
      <c r="N925" s="1008" t="e">
        <f ca="1">(N768/$M152+N838/$M134)*(1-'Intermediate output'!#REF!)</f>
        <v>#REF!</v>
      </c>
      <c r="O925" s="1008" t="e">
        <f ca="1">(O768/$M152+O838/$M134)*(1-'Intermediate output'!#REF!)</f>
        <v>#REF!</v>
      </c>
    </row>
    <row r="926" spans="2:25">
      <c r="C926" s="18" t="s">
        <v>929</v>
      </c>
      <c r="E926" s="18" t="s">
        <v>1806</v>
      </c>
      <c r="F926" s="1008" t="e">
        <f ca="1">(F768/$M152+F838/$M134)*('Intermediate output'!#REF!)</f>
        <v>#REF!</v>
      </c>
      <c r="G926" s="1008" t="e">
        <f ca="1">(G768/$M152+G838/$M134)*('Intermediate output'!#REF!)</f>
        <v>#REF!</v>
      </c>
      <c r="H926" s="1008" t="e">
        <f ca="1">(H768/$M152+H838/$M134)*('Intermediate output'!#REF!)</f>
        <v>#REF!</v>
      </c>
      <c r="I926" s="1008" t="e">
        <f ca="1">(I768/$M152+I838/$M134)*('Intermediate output'!#REF!)</f>
        <v>#REF!</v>
      </c>
      <c r="J926" s="1008" t="e">
        <f ca="1">(J768/$M152+J838/$M134)*('Intermediate output'!#REF!)</f>
        <v>#REF!</v>
      </c>
      <c r="K926" s="1008" t="e">
        <f ca="1">(K768/$M152+K838/$M134)*('Intermediate output'!#REF!)</f>
        <v>#REF!</v>
      </c>
      <c r="L926" s="1008" t="e">
        <f ca="1">(L768/$M152+L838/$M134)*('Intermediate output'!#REF!)</f>
        <v>#REF!</v>
      </c>
      <c r="M926" s="1008" t="e">
        <f ca="1">(M768/$M152+M838/$M134)*('Intermediate output'!#REF!)</f>
        <v>#REF!</v>
      </c>
      <c r="N926" s="1008" t="e">
        <f ca="1">(N768/$M152+N838/$M134)*('Intermediate output'!#REF!)</f>
        <v>#REF!</v>
      </c>
      <c r="O926" s="1008" t="e">
        <f ca="1">(O768/$M152+O838/$M134)*('Intermediate output'!#REF!)</f>
        <v>#REF!</v>
      </c>
    </row>
    <row r="927" spans="2:25">
      <c r="C927" s="18" t="s">
        <v>1587</v>
      </c>
      <c r="E927" s="18" t="s">
        <v>260</v>
      </c>
      <c r="F927" s="1008" t="e">
        <f ca="1">(F769/$M153+F839/$M135)*(1-'Intermediate output'!#REF!)</f>
        <v>#REF!</v>
      </c>
      <c r="G927" s="1008" t="e">
        <f ca="1">(G769/$M153+G839/$M135)*(1-'Intermediate output'!#REF!)</f>
        <v>#REF!</v>
      </c>
      <c r="H927" s="1008" t="e">
        <f ca="1">(H769/$M153+H839/$M135)*(1-'Intermediate output'!#REF!)</f>
        <v>#REF!</v>
      </c>
      <c r="I927" s="1008" t="e">
        <f ca="1">(I769/$M153+I839/$M135)*(1-'Intermediate output'!#REF!)</f>
        <v>#REF!</v>
      </c>
      <c r="J927" s="1008" t="e">
        <f ca="1">(J769/$M153+J839/$M135)*(1-'Intermediate output'!#REF!)</f>
        <v>#REF!</v>
      </c>
      <c r="K927" s="1008" t="e">
        <f ca="1">(K769/$M153+K839/$M135)*(1-'Intermediate output'!#REF!)</f>
        <v>#REF!</v>
      </c>
      <c r="L927" s="1008" t="e">
        <f ca="1">(L769/$M153+L839/$M135)*(1-'Intermediate output'!#REF!)</f>
        <v>#REF!</v>
      </c>
      <c r="M927" s="1008" t="e">
        <f ca="1">(M769/$M153+M839/$M135)*(1-'Intermediate output'!#REF!)</f>
        <v>#REF!</v>
      </c>
      <c r="N927" s="1008" t="e">
        <f ca="1">(N769/$M153+N839/$M135)*(1-'Intermediate output'!#REF!)</f>
        <v>#REF!</v>
      </c>
      <c r="O927" s="1008" t="e">
        <f ca="1">(O769/$M153+O839/$M135)*(1-'Intermediate output'!#REF!)</f>
        <v>#REF!</v>
      </c>
    </row>
    <row r="928" spans="2:25">
      <c r="C928" s="18" t="s">
        <v>1587</v>
      </c>
      <c r="E928" s="18" t="s">
        <v>1806</v>
      </c>
      <c r="F928" s="1008" t="e">
        <f ca="1">(F769/$M153+F839/$M135)*('Intermediate output'!#REF!)</f>
        <v>#REF!</v>
      </c>
      <c r="G928" s="1008" t="e">
        <f ca="1">(G769/$M153+G839/$M135)*('Intermediate output'!#REF!)</f>
        <v>#REF!</v>
      </c>
      <c r="H928" s="1008" t="e">
        <f ca="1">(H769/$M153+H839/$M135)*('Intermediate output'!#REF!)</f>
        <v>#REF!</v>
      </c>
      <c r="I928" s="1008" t="e">
        <f ca="1">(I769/$M153+I839/$M135)*('Intermediate output'!#REF!)</f>
        <v>#REF!</v>
      </c>
      <c r="J928" s="1008" t="e">
        <f ca="1">(J769/$M153+J839/$M135)*('Intermediate output'!#REF!)</f>
        <v>#REF!</v>
      </c>
      <c r="K928" s="1008" t="e">
        <f ca="1">(K769/$M153+K839/$M135)*('Intermediate output'!#REF!)</f>
        <v>#REF!</v>
      </c>
      <c r="L928" s="1008" t="e">
        <f ca="1">(L769/$M153+L839/$M135)*('Intermediate output'!#REF!)</f>
        <v>#REF!</v>
      </c>
      <c r="M928" s="1008" t="e">
        <f ca="1">(M769/$M153+M839/$M135)*('Intermediate output'!#REF!)</f>
        <v>#REF!</v>
      </c>
      <c r="N928" s="1008" t="e">
        <f ca="1">(N769/$M153+N839/$M135)*('Intermediate output'!#REF!)</f>
        <v>#REF!</v>
      </c>
      <c r="O928" s="1008" t="e">
        <f ca="1">(O769/$M153+O839/$M135)*('Intermediate output'!#REF!)</f>
        <v>#REF!</v>
      </c>
    </row>
    <row r="929" spans="2:25">
      <c r="C929" s="18" t="s">
        <v>1102</v>
      </c>
      <c r="E929" s="18" t="s">
        <v>260</v>
      </c>
      <c r="F929" s="1008" t="e">
        <f ca="1">(F773/$M157+F843/$M139)*(1-'Intermediate output'!#REF!)</f>
        <v>#REF!</v>
      </c>
      <c r="G929" s="1008" t="e">
        <f ca="1">(G773/$M157+G843/$M139)*(1-'Intermediate output'!#REF!)</f>
        <v>#REF!</v>
      </c>
      <c r="H929" s="1008" t="e">
        <f ca="1">(H773/$M157+H843/$M139)*(1-'Intermediate output'!#REF!)</f>
        <v>#REF!</v>
      </c>
      <c r="I929" s="1008" t="e">
        <f ca="1">(I773/$M157+I843/$M139)*(1-'Intermediate output'!#REF!)</f>
        <v>#REF!</v>
      </c>
      <c r="J929" s="1008" t="e">
        <f ca="1">(J773/$M157+J843/$M139)*(1-'Intermediate output'!#REF!)</f>
        <v>#REF!</v>
      </c>
      <c r="K929" s="1008" t="e">
        <f ca="1">(K773/$M157+K843/$M139)*(1-'Intermediate output'!#REF!)</f>
        <v>#REF!</v>
      </c>
      <c r="L929" s="1008" t="e">
        <f ca="1">(L773/$M157+L843/$M139)*(1-'Intermediate output'!#REF!)</f>
        <v>#REF!</v>
      </c>
      <c r="M929" s="1008" t="e">
        <f ca="1">(M773/$M157+M843/$M139)*(1-'Intermediate output'!#REF!)</f>
        <v>#REF!</v>
      </c>
      <c r="N929" s="1008" t="e">
        <f ca="1">(N773/$M157+N843/$M139)*(1-'Intermediate output'!#REF!)</f>
        <v>#REF!</v>
      </c>
      <c r="O929" s="1008" t="e">
        <f ca="1">(O773/$M157+O843/$M139)*(1-'Intermediate output'!#REF!)</f>
        <v>#REF!</v>
      </c>
    </row>
    <row r="930" spans="2:25">
      <c r="C930" s="18" t="s">
        <v>1102</v>
      </c>
      <c r="E930" s="18" t="s">
        <v>1806</v>
      </c>
      <c r="F930" s="1008" t="e">
        <f ca="1">(F773/$M157+F843/$M139)*('Intermediate output'!#REF!)</f>
        <v>#REF!</v>
      </c>
      <c r="G930" s="1008" t="e">
        <f ca="1">(G773/$M157+G843/$M139)*('Intermediate output'!#REF!)</f>
        <v>#REF!</v>
      </c>
      <c r="H930" s="1008" t="e">
        <f ca="1">(H773/$M157+H843/$M139)*('Intermediate output'!#REF!)</f>
        <v>#REF!</v>
      </c>
      <c r="I930" s="1008" t="e">
        <f ca="1">(I773/$M157+I843/$M139)*('Intermediate output'!#REF!)</f>
        <v>#REF!</v>
      </c>
      <c r="J930" s="1008" t="e">
        <f ca="1">(J773/$M157+J843/$M139)*('Intermediate output'!#REF!)</f>
        <v>#REF!</v>
      </c>
      <c r="K930" s="1008" t="e">
        <f ca="1">(K773/$M157+K843/$M139)*('Intermediate output'!#REF!)</f>
        <v>#REF!</v>
      </c>
      <c r="L930" s="1008" t="e">
        <f ca="1">(L773/$M157+L843/$M139)*('Intermediate output'!#REF!)</f>
        <v>#REF!</v>
      </c>
      <c r="M930" s="1008" t="e">
        <f ca="1">(M773/$M157+M843/$M139)*('Intermediate output'!#REF!)</f>
        <v>#REF!</v>
      </c>
      <c r="N930" s="1008" t="e">
        <f ca="1">(N773/$M157+N843/$M139)*('Intermediate output'!#REF!)</f>
        <v>#REF!</v>
      </c>
      <c r="O930" s="1008" t="e">
        <f ca="1">(O773/$M157+O843/$M139)*('Intermediate output'!#REF!)</f>
        <v>#REF!</v>
      </c>
    </row>
    <row r="931" spans="2:25">
      <c r="C931" s="18" t="s">
        <v>1103</v>
      </c>
      <c r="E931" s="18" t="s">
        <v>126</v>
      </c>
      <c r="F931" s="1008" t="e">
        <f ca="1">(F774/$M158+F844/$M140)*(1-'Intermediate output'!#REF!)</f>
        <v>#REF!</v>
      </c>
      <c r="G931" s="1008" t="e">
        <f ca="1">(G774/$M158+G844/$M140)*(1-'Intermediate output'!#REF!)</f>
        <v>#REF!</v>
      </c>
      <c r="H931" s="1008" t="e">
        <f ca="1">(H774/$M158+H844/$M140)*(1-'Intermediate output'!#REF!)</f>
        <v>#REF!</v>
      </c>
      <c r="I931" s="1008" t="e">
        <f ca="1">(I774/$M158+I844/$M140)*(1-'Intermediate output'!#REF!)</f>
        <v>#REF!</v>
      </c>
      <c r="J931" s="1008" t="e">
        <f ca="1">(J774/$M158+J844/$M140)*(1-'Intermediate output'!#REF!)</f>
        <v>#REF!</v>
      </c>
      <c r="K931" s="1008" t="e">
        <f ca="1">(K774/$M158+K844/$M140)*(1-'Intermediate output'!#REF!)</f>
        <v>#REF!</v>
      </c>
      <c r="L931" s="1008" t="e">
        <f ca="1">(L774/$M158+L844/$M140)*(1-'Intermediate output'!#REF!)</f>
        <v>#REF!</v>
      </c>
      <c r="M931" s="1008" t="e">
        <f ca="1">(M774/$M158+M844/$M140)*(1-'Intermediate output'!#REF!)</f>
        <v>#REF!</v>
      </c>
      <c r="N931" s="1008" t="e">
        <f ca="1">(N774/$M158+N844/$M140)*(1-'Intermediate output'!#REF!)</f>
        <v>#REF!</v>
      </c>
      <c r="O931" s="1008" t="e">
        <f ca="1">(O774/$M158+O844/$M140)*(1-'Intermediate output'!#REF!)</f>
        <v>#REF!</v>
      </c>
    </row>
    <row r="932" spans="2:25">
      <c r="C932" s="18" t="s">
        <v>1103</v>
      </c>
      <c r="E932" s="18" t="s">
        <v>1284</v>
      </c>
      <c r="F932" s="1008" t="e">
        <f ca="1">(F774/$M158+F844/$M140)*('Intermediate output'!#REF!)</f>
        <v>#REF!</v>
      </c>
      <c r="G932" s="1008" t="e">
        <f ca="1">(G774/$M158+G844/$M140)*('Intermediate output'!#REF!)</f>
        <v>#REF!</v>
      </c>
      <c r="H932" s="1008" t="e">
        <f ca="1">(H774/$M158+H844/$M140)*('Intermediate output'!#REF!)</f>
        <v>#REF!</v>
      </c>
      <c r="I932" s="1008" t="e">
        <f ca="1">(I774/$M158+I844/$M140)*('Intermediate output'!#REF!)</f>
        <v>#REF!</v>
      </c>
      <c r="J932" s="1008" t="e">
        <f ca="1">(J774/$M158+J844/$M140)*('Intermediate output'!#REF!)</f>
        <v>#REF!</v>
      </c>
      <c r="K932" s="1008" t="e">
        <f ca="1">(K774/$M158+K844/$M140)*('Intermediate output'!#REF!)</f>
        <v>#REF!</v>
      </c>
      <c r="L932" s="1008" t="e">
        <f ca="1">(L774/$M158+L844/$M140)*('Intermediate output'!#REF!)</f>
        <v>#REF!</v>
      </c>
      <c r="M932" s="1008" t="e">
        <f ca="1">(M774/$M158+M844/$M140)*('Intermediate output'!#REF!)</f>
        <v>#REF!</v>
      </c>
      <c r="N932" s="1008" t="e">
        <f ca="1">(N774/$M158+N844/$M140)*('Intermediate output'!#REF!)</f>
        <v>#REF!</v>
      </c>
      <c r="O932" s="1008" t="e">
        <f ca="1">(O774/$M158+O844/$M140)*('Intermediate output'!#REF!)</f>
        <v>#REF!</v>
      </c>
    </row>
    <row r="933" spans="2:25" s="16" customFormat="1">
      <c r="B933" s="973"/>
      <c r="C933" s="1695" t="s">
        <v>1809</v>
      </c>
      <c r="D933" s="18"/>
      <c r="E933" s="973"/>
      <c r="F933" s="1719" t="e">
        <f ca="1">SUM(F917:F932)</f>
        <v>#REF!</v>
      </c>
      <c r="G933" s="1719" t="e">
        <f t="shared" ref="G933:O933" ca="1" si="322">SUM(G917:G932)</f>
        <v>#REF!</v>
      </c>
      <c r="H933" s="1719" t="e">
        <f t="shared" ca="1" si="322"/>
        <v>#REF!</v>
      </c>
      <c r="I933" s="1719" t="e">
        <f t="shared" ca="1" si="322"/>
        <v>#REF!</v>
      </c>
      <c r="J933" s="1719" t="e">
        <f t="shared" ca="1" si="322"/>
        <v>#REF!</v>
      </c>
      <c r="K933" s="1719" t="e">
        <f t="shared" ca="1" si="322"/>
        <v>#REF!</v>
      </c>
      <c r="L933" s="1719" t="e">
        <f t="shared" ca="1" si="322"/>
        <v>#REF!</v>
      </c>
      <c r="M933" s="1719" t="e">
        <f t="shared" ca="1" si="322"/>
        <v>#REF!</v>
      </c>
      <c r="N933" s="1719" t="e">
        <f t="shared" ca="1" si="322"/>
        <v>#REF!</v>
      </c>
      <c r="O933" s="1719" t="e">
        <f t="shared" ca="1" si="322"/>
        <v>#REF!</v>
      </c>
      <c r="P933" s="18"/>
      <c r="Q933" s="21"/>
      <c r="W933" s="21"/>
      <c r="X933" s="21"/>
      <c r="Y933" s="21"/>
    </row>
    <row r="934" spans="2:25" s="16" customFormat="1">
      <c r="B934" s="973"/>
      <c r="C934" s="18" t="s">
        <v>1808</v>
      </c>
      <c r="D934" s="18"/>
      <c r="E934" s="568"/>
      <c r="F934" s="1718" t="e">
        <f t="shared" ref="F934:O934" ca="1" si="323">IF(SUM(F1190:F1192,F933)=0,"ok",F933+SUM(F1190:F1192))</f>
        <v>#REF!</v>
      </c>
      <c r="G934" s="1718" t="e">
        <f t="shared" ca="1" si="323"/>
        <v>#REF!</v>
      </c>
      <c r="H934" s="1718" t="e">
        <f t="shared" ca="1" si="323"/>
        <v>#REF!</v>
      </c>
      <c r="I934" s="1718" t="e">
        <f t="shared" ca="1" si="323"/>
        <v>#REF!</v>
      </c>
      <c r="J934" s="1718" t="e">
        <f t="shared" ca="1" si="323"/>
        <v>#REF!</v>
      </c>
      <c r="K934" s="1718" t="e">
        <f t="shared" ca="1" si="323"/>
        <v>#REF!</v>
      </c>
      <c r="L934" s="1718" t="e">
        <f t="shared" ca="1" si="323"/>
        <v>#REF!</v>
      </c>
      <c r="M934" s="1718" t="e">
        <f t="shared" ca="1" si="323"/>
        <v>#REF!</v>
      </c>
      <c r="N934" s="1718" t="e">
        <f t="shared" ca="1" si="323"/>
        <v>#REF!</v>
      </c>
      <c r="O934" s="1718" t="e">
        <f t="shared" ca="1" si="323"/>
        <v>#REF!</v>
      </c>
      <c r="P934" s="18"/>
      <c r="Q934" s="21"/>
      <c r="W934" s="21"/>
      <c r="X934" s="21"/>
      <c r="Y934" s="21"/>
    </row>
    <row r="935" spans="2:25" s="16" customFormat="1">
      <c r="B935" s="973"/>
      <c r="C935" s="18"/>
      <c r="D935" s="18"/>
      <c r="E935" s="568"/>
      <c r="F935" s="1236"/>
      <c r="G935" s="1236"/>
      <c r="H935" s="1236"/>
      <c r="I935" s="1236"/>
      <c r="J935" s="1236"/>
      <c r="K935" s="1236"/>
      <c r="L935" s="1236"/>
      <c r="M935" s="1236"/>
      <c r="N935" s="1236"/>
      <c r="O935" s="1236"/>
      <c r="P935" s="18"/>
      <c r="Q935" s="21"/>
      <c r="W935" s="21"/>
      <c r="X935" s="21"/>
      <c r="Y935" s="21"/>
    </row>
    <row r="936" spans="2:25" s="1582" customFormat="1">
      <c r="B936" s="18"/>
      <c r="C936" s="18" t="s">
        <v>72</v>
      </c>
      <c r="D936" s="18" t="s">
        <v>400</v>
      </c>
      <c r="E936" s="1616"/>
      <c r="F936" s="568" t="s">
        <v>578</v>
      </c>
      <c r="G936" s="568" t="s">
        <v>579</v>
      </c>
      <c r="H936" s="568" t="s">
        <v>604</v>
      </c>
      <c r="I936" s="568" t="s">
        <v>605</v>
      </c>
      <c r="J936" s="568" t="s">
        <v>606</v>
      </c>
      <c r="K936" s="568" t="s">
        <v>607</v>
      </c>
      <c r="L936" s="568" t="s">
        <v>608</v>
      </c>
      <c r="M936" s="568" t="s">
        <v>609</v>
      </c>
      <c r="N936" s="568" t="s">
        <v>610</v>
      </c>
      <c r="O936" s="568" t="s">
        <v>611</v>
      </c>
      <c r="P936" s="18"/>
    </row>
    <row r="937" spans="2:25" s="1582" customFormat="1">
      <c r="B937" s="18"/>
      <c r="C937" s="18" t="str">
        <f>INDEX(AirQualityVectors[Code],MATCH(D937,AirQualityVectors[Description],0))</f>
        <v>AQ.01</v>
      </c>
      <c r="D937" s="18" t="s">
        <v>1760</v>
      </c>
      <c r="E937" s="1616"/>
      <c r="F937" s="21" t="e">
        <f t="shared" ref="F937:O937" ca="1" si="324">SUMPRODUCT(F917:F932,F289:F304)</f>
        <v>#REF!</v>
      </c>
      <c r="G937" s="21" t="e">
        <f t="shared" ca="1" si="324"/>
        <v>#REF!</v>
      </c>
      <c r="H937" s="21" t="e">
        <f t="shared" ca="1" si="324"/>
        <v>#REF!</v>
      </c>
      <c r="I937" s="21" t="e">
        <f t="shared" ca="1" si="324"/>
        <v>#REF!</v>
      </c>
      <c r="J937" s="21" t="e">
        <f t="shared" ca="1" si="324"/>
        <v>#REF!</v>
      </c>
      <c r="K937" s="21" t="e">
        <f t="shared" ca="1" si="324"/>
        <v>#REF!</v>
      </c>
      <c r="L937" s="21" t="e">
        <f t="shared" ca="1" si="324"/>
        <v>#REF!</v>
      </c>
      <c r="M937" s="21" t="e">
        <f t="shared" ca="1" si="324"/>
        <v>#REF!</v>
      </c>
      <c r="N937" s="21" t="e">
        <f t="shared" ca="1" si="324"/>
        <v>#REF!</v>
      </c>
      <c r="O937" s="21" t="e">
        <f t="shared" ca="1" si="324"/>
        <v>#REF!</v>
      </c>
      <c r="P937" s="18"/>
    </row>
    <row r="938" spans="2:25" s="1582" customFormat="1">
      <c r="B938" s="18"/>
      <c r="C938" s="18" t="str">
        <f>INDEX(AirQualityVectors[Code],MATCH(D938,AirQualityVectors[Description],0))</f>
        <v>AQ.02</v>
      </c>
      <c r="D938" s="18" t="s">
        <v>1762</v>
      </c>
      <c r="E938" s="1616"/>
      <c r="F938" s="21" t="e">
        <f t="shared" ref="F938:O938" ca="1" si="325">SUMPRODUCT(F917:F932,F309:F324)</f>
        <v>#REF!</v>
      </c>
      <c r="G938" s="21" t="e">
        <f t="shared" ca="1" si="325"/>
        <v>#REF!</v>
      </c>
      <c r="H938" s="21" t="e">
        <f t="shared" ca="1" si="325"/>
        <v>#REF!</v>
      </c>
      <c r="I938" s="21" t="e">
        <f t="shared" ca="1" si="325"/>
        <v>#REF!</v>
      </c>
      <c r="J938" s="21" t="e">
        <f t="shared" ca="1" si="325"/>
        <v>#REF!</v>
      </c>
      <c r="K938" s="21" t="e">
        <f t="shared" ca="1" si="325"/>
        <v>#REF!</v>
      </c>
      <c r="L938" s="21" t="e">
        <f t="shared" ca="1" si="325"/>
        <v>#REF!</v>
      </c>
      <c r="M938" s="21" t="e">
        <f t="shared" ca="1" si="325"/>
        <v>#REF!</v>
      </c>
      <c r="N938" s="21" t="e">
        <f t="shared" ca="1" si="325"/>
        <v>#REF!</v>
      </c>
      <c r="O938" s="21" t="e">
        <f t="shared" ca="1" si="325"/>
        <v>#REF!</v>
      </c>
      <c r="P938" s="18"/>
    </row>
    <row r="939" spans="2:25" s="1582" customFormat="1">
      <c r="B939" s="18"/>
      <c r="C939" s="18" t="str">
        <f>INDEX(AirQualityVectors[Code],MATCH(D939,AirQualityVectors[Description],0))</f>
        <v>AQ.03</v>
      </c>
      <c r="D939" s="18" t="s">
        <v>1763</v>
      </c>
      <c r="E939" s="1616"/>
      <c r="F939" s="21" t="e">
        <f t="shared" ref="F939:O939" ca="1" si="326">SUMPRODUCT(F917:F932,F329:F344)</f>
        <v>#REF!</v>
      </c>
      <c r="G939" s="21" t="e">
        <f t="shared" ca="1" si="326"/>
        <v>#REF!</v>
      </c>
      <c r="H939" s="21" t="e">
        <f t="shared" ca="1" si="326"/>
        <v>#REF!</v>
      </c>
      <c r="I939" s="21" t="e">
        <f t="shared" ca="1" si="326"/>
        <v>#REF!</v>
      </c>
      <c r="J939" s="21" t="e">
        <f t="shared" ca="1" si="326"/>
        <v>#REF!</v>
      </c>
      <c r="K939" s="21" t="e">
        <f t="shared" ca="1" si="326"/>
        <v>#REF!</v>
      </c>
      <c r="L939" s="21" t="e">
        <f t="shared" ca="1" si="326"/>
        <v>#REF!</v>
      </c>
      <c r="M939" s="21" t="e">
        <f t="shared" ca="1" si="326"/>
        <v>#REF!</v>
      </c>
      <c r="N939" s="21" t="e">
        <f t="shared" ca="1" si="326"/>
        <v>#REF!</v>
      </c>
      <c r="O939" s="21" t="e">
        <f t="shared" ca="1" si="326"/>
        <v>#REF!</v>
      </c>
      <c r="P939" s="18"/>
    </row>
    <row r="940" spans="2:25" s="1583" customFormat="1">
      <c r="B940" s="18"/>
      <c r="C940" s="18" t="str">
        <f>INDEX(AirQualityVectors[Code],MATCH(D940,AirQualityVectors[Description],0))</f>
        <v>AQ.04</v>
      </c>
      <c r="D940" s="18" t="s">
        <v>1761</v>
      </c>
      <c r="E940" s="1616"/>
      <c r="F940" s="21" t="e">
        <f t="shared" ref="F940:O940" ca="1" si="327">SUMPRODUCT(F917:F932,F349:F364)</f>
        <v>#REF!</v>
      </c>
      <c r="G940" s="21" t="e">
        <f t="shared" ca="1" si="327"/>
        <v>#REF!</v>
      </c>
      <c r="H940" s="21" t="e">
        <f t="shared" ca="1" si="327"/>
        <v>#REF!</v>
      </c>
      <c r="I940" s="21" t="e">
        <f t="shared" ca="1" si="327"/>
        <v>#REF!</v>
      </c>
      <c r="J940" s="21" t="e">
        <f t="shared" ca="1" si="327"/>
        <v>#REF!</v>
      </c>
      <c r="K940" s="21" t="e">
        <f t="shared" ca="1" si="327"/>
        <v>#REF!</v>
      </c>
      <c r="L940" s="21" t="e">
        <f t="shared" ca="1" si="327"/>
        <v>#REF!</v>
      </c>
      <c r="M940" s="21" t="e">
        <f t="shared" ca="1" si="327"/>
        <v>#REF!</v>
      </c>
      <c r="N940" s="21" t="e">
        <f t="shared" ca="1" si="327"/>
        <v>#REF!</v>
      </c>
      <c r="O940" s="21" t="e">
        <f t="shared" ca="1" si="327"/>
        <v>#REF!</v>
      </c>
      <c r="P940" s="18"/>
    </row>
    <row r="941" spans="2:25" s="16" customFormat="1">
      <c r="B941" s="18"/>
      <c r="C941" s="18"/>
      <c r="D941" s="18"/>
      <c r="E941" s="18"/>
      <c r="F941" s="1299"/>
      <c r="G941" s="1299"/>
      <c r="H941" s="1299"/>
      <c r="I941" s="1299"/>
      <c r="J941" s="1299"/>
      <c r="K941" s="1299"/>
      <c r="L941" s="1299"/>
      <c r="M941" s="1299"/>
      <c r="N941" s="1299"/>
      <c r="O941" s="1299"/>
      <c r="P941" s="18"/>
    </row>
    <row r="942" spans="2:25" s="16" customFormat="1">
      <c r="B942" s="1298">
        <v>7</v>
      </c>
      <c r="C942" s="1298" t="s">
        <v>1347</v>
      </c>
      <c r="D942" s="18"/>
      <c r="E942" s="18"/>
      <c r="F942" s="1299"/>
      <c r="G942" s="1299"/>
      <c r="H942" s="1299"/>
      <c r="I942" s="1299"/>
      <c r="J942" s="1299"/>
      <c r="K942" s="1299"/>
      <c r="L942" s="1299"/>
      <c r="M942" s="1299"/>
      <c r="N942" s="1299"/>
      <c r="O942" s="1299"/>
      <c r="P942" s="18"/>
    </row>
    <row r="943" spans="2:25" s="16" customFormat="1">
      <c r="B943" s="18"/>
      <c r="C943" s="18"/>
      <c r="D943" s="18"/>
      <c r="E943" s="18"/>
      <c r="F943" s="1299"/>
      <c r="G943" s="1299"/>
      <c r="H943" s="1299"/>
      <c r="I943" s="1299"/>
      <c r="J943" s="1299"/>
      <c r="K943" s="1299"/>
      <c r="L943" s="1299"/>
      <c r="M943" s="1299"/>
      <c r="N943" s="1299"/>
      <c r="O943" s="1299"/>
      <c r="P943" s="18"/>
    </row>
    <row r="944" spans="2:25" s="16" customFormat="1">
      <c r="B944" s="1298"/>
      <c r="C944" s="1298" t="s">
        <v>1352</v>
      </c>
      <c r="D944" s="18"/>
      <c r="E944" s="568"/>
      <c r="F944" s="568">
        <v>2007</v>
      </c>
      <c r="G944" s="568">
        <v>2010</v>
      </c>
      <c r="H944" s="568">
        <v>2015</v>
      </c>
      <c r="I944" s="568">
        <v>2020</v>
      </c>
      <c r="J944" s="568">
        <v>2025</v>
      </c>
      <c r="K944" s="568">
        <v>2030</v>
      </c>
      <c r="L944" s="568">
        <v>2035</v>
      </c>
      <c r="M944" s="568">
        <v>2040</v>
      </c>
      <c r="N944" s="568">
        <v>2045</v>
      </c>
      <c r="O944" s="568">
        <v>2050</v>
      </c>
      <c r="P944" s="18"/>
    </row>
    <row r="945" spans="2:25" s="16" customFormat="1">
      <c r="B945" s="18"/>
      <c r="C945" s="18"/>
      <c r="D945" s="18"/>
      <c r="E945" s="18"/>
      <c r="F945" s="973"/>
      <c r="G945" s="973"/>
      <c r="H945" s="973"/>
      <c r="I945" s="973"/>
      <c r="J945" s="973"/>
      <c r="K945" s="973"/>
      <c r="L945" s="973"/>
      <c r="M945" s="973"/>
      <c r="N945" s="973"/>
      <c r="O945" s="973"/>
      <c r="P945" s="18"/>
    </row>
    <row r="946" spans="2:25" s="16" customFormat="1">
      <c r="B946" s="973">
        <v>1</v>
      </c>
      <c r="C946" s="18" t="str">
        <f t="shared" ref="C946:C958" si="328">INDEX($D$76:$D$88, MATCH($B946, $C$76:$C$88, 0))</f>
        <v>Gas boiler (old)</v>
      </c>
      <c r="D946" s="18"/>
      <c r="E946" s="1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18"/>
    </row>
    <row r="947" spans="2:25" s="16" customFormat="1">
      <c r="B947" s="973">
        <v>2</v>
      </c>
      <c r="C947" s="18" t="str">
        <f t="shared" si="328"/>
        <v>Gas boiler (new)</v>
      </c>
      <c r="D947" s="18"/>
      <c r="E947" s="1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18"/>
    </row>
    <row r="948" spans="2:25" s="16" customFormat="1">
      <c r="B948" s="973">
        <v>3</v>
      </c>
      <c r="C948" s="18" t="str">
        <f t="shared" si="328"/>
        <v>Resistive heating</v>
      </c>
      <c r="D948" s="18"/>
      <c r="E948" s="1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18"/>
    </row>
    <row r="949" spans="2:25" s="16" customFormat="1">
      <c r="B949" s="973">
        <v>4</v>
      </c>
      <c r="C949" s="18" t="str">
        <f t="shared" si="328"/>
        <v>Oil-fired boiler</v>
      </c>
      <c r="D949" s="18"/>
      <c r="E949" s="1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18"/>
    </row>
    <row r="950" spans="2:25" s="16" customFormat="1">
      <c r="B950" s="973">
        <v>5</v>
      </c>
      <c r="C950" s="18" t="str">
        <f t="shared" si="328"/>
        <v>Solid-fuel boiler</v>
      </c>
      <c r="D950" s="18"/>
      <c r="E950" s="1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18"/>
    </row>
    <row r="951" spans="2:25" s="16" customFormat="1">
      <c r="B951" s="973">
        <v>6</v>
      </c>
      <c r="C951" s="18" t="str">
        <f t="shared" si="328"/>
        <v>Stirling engine micro-CHP</v>
      </c>
      <c r="D951" s="18"/>
      <c r="E951" s="18"/>
      <c r="F951" s="21">
        <f ca="1">F768+F838</f>
        <v>0</v>
      </c>
      <c r="G951" s="21" t="e">
        <f t="shared" ref="G951:O952" ca="1" si="329">G768+G838</f>
        <v>#REF!</v>
      </c>
      <c r="H951" s="21" t="e">
        <f t="shared" ca="1" si="329"/>
        <v>#REF!</v>
      </c>
      <c r="I951" s="21" t="e">
        <f t="shared" ca="1" si="329"/>
        <v>#REF!</v>
      </c>
      <c r="J951" s="21" t="e">
        <f t="shared" ca="1" si="329"/>
        <v>#REF!</v>
      </c>
      <c r="K951" s="21" t="e">
        <f t="shared" ca="1" si="329"/>
        <v>#REF!</v>
      </c>
      <c r="L951" s="21" t="e">
        <f t="shared" ca="1" si="329"/>
        <v>#REF!</v>
      </c>
      <c r="M951" s="21" t="e">
        <f t="shared" ca="1" si="329"/>
        <v>#REF!</v>
      </c>
      <c r="N951" s="21" t="e">
        <f t="shared" ca="1" si="329"/>
        <v>#REF!</v>
      </c>
      <c r="O951" s="21" t="e">
        <f t="shared" ca="1" si="329"/>
        <v>#REF!</v>
      </c>
      <c r="P951" s="18"/>
    </row>
    <row r="952" spans="2:25" s="16" customFormat="1">
      <c r="B952" s="973">
        <v>7</v>
      </c>
      <c r="C952" s="18" t="str">
        <f t="shared" si="328"/>
        <v>Fuel-cell micro-CHP</v>
      </c>
      <c r="D952" s="18"/>
      <c r="E952" s="18"/>
      <c r="F952" s="21">
        <f ca="1">F769+F839</f>
        <v>0</v>
      </c>
      <c r="G952" s="21" t="e">
        <f t="shared" ca="1" si="329"/>
        <v>#REF!</v>
      </c>
      <c r="H952" s="21" t="e">
        <f t="shared" ca="1" si="329"/>
        <v>#REF!</v>
      </c>
      <c r="I952" s="21" t="e">
        <f t="shared" ca="1" si="329"/>
        <v>#REF!</v>
      </c>
      <c r="J952" s="21" t="e">
        <f t="shared" ca="1" si="329"/>
        <v>#REF!</v>
      </c>
      <c r="K952" s="21" t="e">
        <f t="shared" ca="1" si="329"/>
        <v>#REF!</v>
      </c>
      <c r="L952" s="21" t="e">
        <f t="shared" ca="1" si="329"/>
        <v>#REF!</v>
      </c>
      <c r="M952" s="21" t="e">
        <f t="shared" ca="1" si="329"/>
        <v>#REF!</v>
      </c>
      <c r="N952" s="21" t="e">
        <f t="shared" ca="1" si="329"/>
        <v>#REF!</v>
      </c>
      <c r="O952" s="21" t="e">
        <f t="shared" ca="1" si="329"/>
        <v>#REF!</v>
      </c>
      <c r="P952" s="18"/>
    </row>
    <row r="953" spans="2:25" s="16" customFormat="1">
      <c r="B953" s="973">
        <v>8</v>
      </c>
      <c r="C953" s="18" t="str">
        <f t="shared" si="328"/>
        <v>Air-source heat pump</v>
      </c>
      <c r="D953" s="18"/>
      <c r="E953" s="1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18"/>
    </row>
    <row r="954" spans="2:25" s="16" customFormat="1">
      <c r="B954" s="973">
        <v>9</v>
      </c>
      <c r="C954" s="18" t="str">
        <f t="shared" si="328"/>
        <v>Ground-source heat pump</v>
      </c>
      <c r="D954" s="18"/>
      <c r="E954" s="1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18"/>
      <c r="W954" s="21"/>
      <c r="X954" s="21"/>
      <c r="Y954" s="21"/>
    </row>
    <row r="955" spans="2:25" s="16" customFormat="1">
      <c r="B955" s="973">
        <v>10</v>
      </c>
      <c r="C955" s="18" t="str">
        <f t="shared" si="328"/>
        <v>Geothermal electricity</v>
      </c>
      <c r="D955" s="18"/>
      <c r="E955" s="1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18"/>
      <c r="W955" s="21"/>
      <c r="X955" s="21"/>
      <c r="Y955" s="21"/>
    </row>
    <row r="956" spans="2:25" s="16" customFormat="1">
      <c r="B956" s="973">
        <v>11</v>
      </c>
      <c r="C956" s="18" t="str">
        <f t="shared" si="328"/>
        <v>Community scale gas CHP with local district heating</v>
      </c>
      <c r="D956" s="18"/>
      <c r="E956" s="18"/>
      <c r="F956" s="21">
        <f ca="1">F773+F843</f>
        <v>0</v>
      </c>
      <c r="G956" s="21" t="e">
        <f t="shared" ref="G956:O957" ca="1" si="330">G773+G843</f>
        <v>#REF!</v>
      </c>
      <c r="H956" s="21" t="e">
        <f t="shared" ca="1" si="330"/>
        <v>#REF!</v>
      </c>
      <c r="I956" s="21" t="e">
        <f t="shared" ca="1" si="330"/>
        <v>#REF!</v>
      </c>
      <c r="J956" s="21" t="e">
        <f t="shared" ca="1" si="330"/>
        <v>#REF!</v>
      </c>
      <c r="K956" s="21" t="e">
        <f t="shared" ca="1" si="330"/>
        <v>#REF!</v>
      </c>
      <c r="L956" s="21" t="e">
        <f t="shared" ca="1" si="330"/>
        <v>#REF!</v>
      </c>
      <c r="M956" s="21" t="e">
        <f t="shared" ca="1" si="330"/>
        <v>#REF!</v>
      </c>
      <c r="N956" s="21" t="e">
        <f t="shared" ca="1" si="330"/>
        <v>#REF!</v>
      </c>
      <c r="O956" s="21" t="e">
        <f t="shared" ca="1" si="330"/>
        <v>#REF!</v>
      </c>
      <c r="P956" s="18"/>
      <c r="W956" s="21"/>
      <c r="X956" s="21"/>
      <c r="Y956" s="21"/>
    </row>
    <row r="957" spans="2:25" s="16" customFormat="1">
      <c r="B957" s="973">
        <v>12</v>
      </c>
      <c r="C957" s="18" t="str">
        <f t="shared" si="328"/>
        <v>Community scale solid-fuel CHP with local district heating</v>
      </c>
      <c r="D957" s="18"/>
      <c r="E957" s="18"/>
      <c r="F957" s="21">
        <f ca="1">F774+F844</f>
        <v>0</v>
      </c>
      <c r="G957" s="21" t="e">
        <f t="shared" ca="1" si="330"/>
        <v>#REF!</v>
      </c>
      <c r="H957" s="21" t="e">
        <f t="shared" ca="1" si="330"/>
        <v>#REF!</v>
      </c>
      <c r="I957" s="21" t="e">
        <f t="shared" ca="1" si="330"/>
        <v>#REF!</v>
      </c>
      <c r="J957" s="21" t="e">
        <f t="shared" ca="1" si="330"/>
        <v>#REF!</v>
      </c>
      <c r="K957" s="21" t="e">
        <f t="shared" ca="1" si="330"/>
        <v>#REF!</v>
      </c>
      <c r="L957" s="21" t="e">
        <f t="shared" ca="1" si="330"/>
        <v>#REF!</v>
      </c>
      <c r="M957" s="21" t="e">
        <f t="shared" ca="1" si="330"/>
        <v>#REF!</v>
      </c>
      <c r="N957" s="21" t="e">
        <f t="shared" ca="1" si="330"/>
        <v>#REF!</v>
      </c>
      <c r="O957" s="21" t="e">
        <f t="shared" ca="1" si="330"/>
        <v>#REF!</v>
      </c>
      <c r="P957" s="18"/>
      <c r="W957" s="21"/>
      <c r="X957" s="21"/>
      <c r="Y957" s="21"/>
    </row>
    <row r="958" spans="2:25" s="16" customFormat="1">
      <c r="B958" s="973">
        <v>13</v>
      </c>
      <c r="C958" s="18" t="str">
        <f t="shared" si="328"/>
        <v>Long distance district heating from large power stations</v>
      </c>
      <c r="D958" s="18"/>
      <c r="E958" s="1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18"/>
      <c r="W958" s="21"/>
      <c r="X958" s="21"/>
      <c r="Y958" s="21"/>
    </row>
    <row r="959" spans="2:25" s="16" customFormat="1">
      <c r="B959" s="973"/>
      <c r="C959" s="18"/>
      <c r="D959" s="18"/>
      <c r="E959" s="568" t="str">
        <f>Preferences.EnergyUnits</f>
        <v>TWh</v>
      </c>
      <c r="F959" s="984">
        <f ca="1">SUM(F946:F958)</f>
        <v>0</v>
      </c>
      <c r="G959" s="984" t="e">
        <f t="shared" ref="G959:O959" ca="1" si="331">SUM(G946:G958)</f>
        <v>#REF!</v>
      </c>
      <c r="H959" s="984" t="e">
        <f t="shared" ca="1" si="331"/>
        <v>#REF!</v>
      </c>
      <c r="I959" s="984" t="e">
        <f t="shared" ca="1" si="331"/>
        <v>#REF!</v>
      </c>
      <c r="J959" s="984" t="e">
        <f t="shared" ca="1" si="331"/>
        <v>#REF!</v>
      </c>
      <c r="K959" s="984" t="e">
        <f t="shared" ca="1" si="331"/>
        <v>#REF!</v>
      </c>
      <c r="L959" s="984" t="e">
        <f t="shared" ca="1" si="331"/>
        <v>#REF!</v>
      </c>
      <c r="M959" s="984" t="e">
        <f t="shared" ca="1" si="331"/>
        <v>#REF!</v>
      </c>
      <c r="N959" s="984" t="e">
        <f t="shared" ca="1" si="331"/>
        <v>#REF!</v>
      </c>
      <c r="O959" s="984" t="e">
        <f t="shared" ca="1" si="331"/>
        <v>#REF!</v>
      </c>
      <c r="P959" s="18"/>
      <c r="W959" s="21"/>
      <c r="X959" s="21"/>
      <c r="Y959" s="21"/>
    </row>
    <row r="960" spans="2:25" s="16" customFormat="1">
      <c r="B960" s="973"/>
      <c r="C960" s="18"/>
      <c r="D960" s="18"/>
      <c r="E960" s="568"/>
      <c r="F960" s="1236"/>
      <c r="G960" s="1236"/>
      <c r="H960" s="1236"/>
      <c r="I960" s="1236"/>
      <c r="J960" s="1236"/>
      <c r="K960" s="1236"/>
      <c r="L960" s="1236"/>
      <c r="M960" s="1236"/>
      <c r="N960" s="1236"/>
      <c r="O960" s="1236"/>
      <c r="P960" s="18"/>
      <c r="W960" s="21"/>
      <c r="X960" s="21"/>
      <c r="Y960" s="21"/>
    </row>
    <row r="961" spans="2:25" s="16" customFormat="1">
      <c r="B961" s="973"/>
      <c r="C961" s="18"/>
      <c r="D961" s="18"/>
      <c r="E961" s="568"/>
      <c r="F961" s="1236"/>
      <c r="G961" s="1236"/>
      <c r="H961" s="1236"/>
      <c r="I961" s="1236"/>
      <c r="J961" s="1236"/>
      <c r="K961" s="1236"/>
      <c r="L961" s="1236"/>
      <c r="M961" s="1236"/>
      <c r="N961" s="1236"/>
      <c r="O961" s="1236"/>
      <c r="P961" s="18"/>
      <c r="W961" s="21"/>
      <c r="X961" s="21"/>
      <c r="Y961" s="21"/>
    </row>
    <row r="962" spans="2:25" s="16" customFormat="1">
      <c r="B962" s="1298"/>
      <c r="C962" s="1298" t="s">
        <v>1113</v>
      </c>
      <c r="D962" s="18"/>
      <c r="F962" s="1243">
        <v>2007</v>
      </c>
      <c r="G962" s="1243">
        <v>2010</v>
      </c>
      <c r="H962" s="1243">
        <v>2015</v>
      </c>
      <c r="I962" s="1243">
        <v>2020</v>
      </c>
      <c r="J962" s="1243">
        <v>2025</v>
      </c>
      <c r="K962" s="1243">
        <v>2030</v>
      </c>
      <c r="L962" s="1243">
        <v>2035</v>
      </c>
      <c r="M962" s="1243">
        <v>2040</v>
      </c>
      <c r="N962" s="1243">
        <v>2045</v>
      </c>
      <c r="O962" s="1243">
        <v>2050</v>
      </c>
      <c r="P962" s="18"/>
      <c r="W962" s="21"/>
      <c r="X962" s="21"/>
      <c r="Y962" s="21"/>
    </row>
    <row r="963" spans="2:25" s="16" customFormat="1">
      <c r="B963" s="18"/>
      <c r="C963" s="18"/>
      <c r="D963" s="18"/>
      <c r="E963" s="18"/>
      <c r="F963" s="21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W963" s="21"/>
      <c r="X963" s="21"/>
      <c r="Y963" s="21"/>
    </row>
    <row r="964" spans="2:25" s="16" customFormat="1">
      <c r="B964" s="973" t="s">
        <v>40</v>
      </c>
      <c r="C964" s="16" t="str">
        <f>INDEX(Vectors[Description], MATCH($B964, Vectors[Code], 0))</f>
        <v>Electricity (delivered to end user)</v>
      </c>
      <c r="D964" s="18"/>
      <c r="E964" s="18"/>
      <c r="F964" s="21">
        <f t="array" aca="1" ref="F964" ca="1">SUM(F$946:F$958/$M$129:$M$141*($B964=$F$128:$N$128)*($F$129:$N$141))</f>
        <v>0</v>
      </c>
      <c r="G964" s="21" t="e">
        <f t="array" aca="1" ref="G964" ca="1">SUM(G$946:G$958/$M$129:$M$141*($B964=$F$128:$N$128)*($F$129:$N$141))</f>
        <v>#REF!</v>
      </c>
      <c r="H964" s="21" t="e">
        <f t="array" aca="1" ref="H964" ca="1">SUM(H$946:H$958/$M$129:$M$141*($B964=$F$128:$N$128)*($F$129:$N$141))</f>
        <v>#REF!</v>
      </c>
      <c r="I964" s="21" t="e">
        <f t="array" aca="1" ref="I964" ca="1">SUM(I$946:I$958/$M$129:$M$141*($B964=$F$128:$N$128)*($F$129:$N$141))</f>
        <v>#REF!</v>
      </c>
      <c r="J964" s="21" t="e">
        <f t="array" aca="1" ref="J964" ca="1">SUM(J$946:J$958/$M$129:$M$141*($B964=$F$128:$N$128)*($F$129:$N$141))</f>
        <v>#REF!</v>
      </c>
      <c r="K964" s="21" t="e">
        <f t="array" aca="1" ref="K964" ca="1">SUM(K$946:K$958/$M$129:$M$141*($B964=$F$128:$N$128)*($F$129:$N$141))</f>
        <v>#REF!</v>
      </c>
      <c r="L964" s="21" t="e">
        <f t="array" aca="1" ref="L964" ca="1">SUM(L$946:L$958/$M$129:$M$141*($B964=$F$128:$N$128)*($F$129:$N$141))</f>
        <v>#REF!</v>
      </c>
      <c r="M964" s="21" t="e">
        <f t="array" aca="1" ref="M964" ca="1">SUM(M$946:M$958/$M$129:$M$141*($B964=$F$128:$N$128)*($F$129:$N$141))</f>
        <v>#REF!</v>
      </c>
      <c r="N964" s="21" t="e">
        <f t="array" aca="1" ref="N964" ca="1">SUM(N$946:N$958/$M$129:$M$141*($B964=$F$128:$N$128)*($F$129:$N$141))</f>
        <v>#REF!</v>
      </c>
      <c r="O964" s="21" t="e">
        <f t="array" aca="1" ref="O964" ca="1">SUM(O$946:O$958/$M$129:$M$141*($B964=$F$128:$N$128)*($F$129:$N$141))</f>
        <v>#REF!</v>
      </c>
      <c r="P964" s="18"/>
      <c r="W964" s="21"/>
      <c r="X964" s="21"/>
      <c r="Y964" s="21"/>
    </row>
    <row r="965" spans="2:25" s="16" customFormat="1">
      <c r="B965" s="973" t="s">
        <v>41</v>
      </c>
      <c r="C965" s="16" t="str">
        <f>INDEX(Vectors[Description], MATCH($B965, Vectors[Code], 0))</f>
        <v>Electricity (supplied to grid)</v>
      </c>
      <c r="D965" s="18"/>
      <c r="E965" s="18"/>
      <c r="F965" s="21">
        <f t="array" aca="1" ref="F965" ca="1">SUM(F$946:F$958/$M$129:$M$141*($B965=$F$128:$N$128)*($F$129:$N$141))</f>
        <v>0</v>
      </c>
      <c r="G965" s="21" t="e">
        <f t="array" aca="1" ref="G965" ca="1">SUM(G$946:G$958/$M$129:$M$141*($B965=$F$128:$N$128)*($F$129:$N$141))</f>
        <v>#REF!</v>
      </c>
      <c r="H965" s="21" t="e">
        <f t="array" aca="1" ref="H965" ca="1">SUM(H$946:H$958/$M$129:$M$141*($B965=$F$128:$N$128)*($F$129:$N$141))</f>
        <v>#REF!</v>
      </c>
      <c r="I965" s="21" t="e">
        <f t="array" aca="1" ref="I965" ca="1">SUM(I$946:I$958/$M$129:$M$141*($B965=$F$128:$N$128)*($F$129:$N$141))</f>
        <v>#REF!</v>
      </c>
      <c r="J965" s="21" t="e">
        <f t="array" aca="1" ref="J965" ca="1">SUM(J$946:J$958/$M$129:$M$141*($B965=$F$128:$N$128)*($F$129:$N$141))</f>
        <v>#REF!</v>
      </c>
      <c r="K965" s="21" t="e">
        <f t="array" aca="1" ref="K965" ca="1">SUM(K$946:K$958/$M$129:$M$141*($B965=$F$128:$N$128)*($F$129:$N$141))</f>
        <v>#REF!</v>
      </c>
      <c r="L965" s="21" t="e">
        <f t="array" aca="1" ref="L965" ca="1">SUM(L$946:L$958/$M$129:$M$141*($B965=$F$128:$N$128)*($F$129:$N$141))</f>
        <v>#REF!</v>
      </c>
      <c r="M965" s="21" t="e">
        <f t="array" aca="1" ref="M965" ca="1">SUM(M$946:M$958/$M$129:$M$141*($B965=$F$128:$N$128)*($F$129:$N$141))</f>
        <v>#REF!</v>
      </c>
      <c r="N965" s="21" t="e">
        <f t="array" aca="1" ref="N965" ca="1">SUM(N$946:N$958/$M$129:$M$141*($B965=$F$128:$N$128)*($F$129:$N$141))</f>
        <v>#REF!</v>
      </c>
      <c r="O965" s="21" t="e">
        <f t="array" aca="1" ref="O965" ca="1">SUM(O$946:O$958/$M$129:$M$141*($B965=$F$128:$N$128)*($F$129:$N$141))</f>
        <v>#REF!</v>
      </c>
      <c r="P965" s="18"/>
      <c r="W965" s="21"/>
      <c r="X965" s="21"/>
      <c r="Y965" s="21"/>
    </row>
    <row r="966" spans="2:25" s="16" customFormat="1">
      <c r="B966" s="973" t="s">
        <v>42</v>
      </c>
      <c r="C966" s="16" t="str">
        <f>INDEX(Vectors[Description], MATCH($B966, Vectors[Code], 0))</f>
        <v>Solid hydrocarbons</v>
      </c>
      <c r="D966" s="18"/>
      <c r="E966" s="18"/>
      <c r="F966" s="21">
        <f t="array" aca="1" ref="F966" ca="1">SUM(F$946:F$958/$M$129:$M$141*($B966=$F$128:$N$128)*($F$129:$N$141))</f>
        <v>0</v>
      </c>
      <c r="G966" s="21" t="e">
        <f t="array" aca="1" ref="G966" ca="1">SUM(G$946:G$958/$M$129:$M$141*($B966=$F$128:$N$128)*($F$129:$N$141))</f>
        <v>#REF!</v>
      </c>
      <c r="H966" s="21" t="e">
        <f t="array" aca="1" ref="H966" ca="1">SUM(H$946:H$958/$M$129:$M$141*($B966=$F$128:$N$128)*($F$129:$N$141))</f>
        <v>#REF!</v>
      </c>
      <c r="I966" s="21" t="e">
        <f t="array" aca="1" ref="I966" ca="1">SUM(I$946:I$958/$M$129:$M$141*($B966=$F$128:$N$128)*($F$129:$N$141))</f>
        <v>#REF!</v>
      </c>
      <c r="J966" s="21" t="e">
        <f t="array" aca="1" ref="J966" ca="1">SUM(J$946:J$958/$M$129:$M$141*($B966=$F$128:$N$128)*($F$129:$N$141))</f>
        <v>#REF!</v>
      </c>
      <c r="K966" s="21" t="e">
        <f t="array" aca="1" ref="K966" ca="1">SUM(K$946:K$958/$M$129:$M$141*($B966=$F$128:$N$128)*($F$129:$N$141))</f>
        <v>#REF!</v>
      </c>
      <c r="L966" s="21" t="e">
        <f t="array" aca="1" ref="L966" ca="1">SUM(L$946:L$958/$M$129:$M$141*($B966=$F$128:$N$128)*($F$129:$N$141))</f>
        <v>#REF!</v>
      </c>
      <c r="M966" s="21" t="e">
        <f t="array" aca="1" ref="M966" ca="1">SUM(M$946:M$958/$M$129:$M$141*($B966=$F$128:$N$128)*($F$129:$N$141))</f>
        <v>#REF!</v>
      </c>
      <c r="N966" s="21" t="e">
        <f t="array" aca="1" ref="N966" ca="1">SUM(N$946:N$958/$M$129:$M$141*($B966=$F$128:$N$128)*($F$129:$N$141))</f>
        <v>#REF!</v>
      </c>
      <c r="O966" s="21" t="e">
        <f t="array" aca="1" ref="O966" ca="1">SUM(O$946:O$958/$M$129:$M$141*($B966=$F$128:$N$128)*($F$129:$N$141))</f>
        <v>#REF!</v>
      </c>
      <c r="P966" s="18"/>
      <c r="W966" s="21"/>
      <c r="X966" s="21"/>
      <c r="Y966" s="21"/>
    </row>
    <row r="967" spans="2:25" s="16" customFormat="1">
      <c r="B967" s="973" t="s">
        <v>44</v>
      </c>
      <c r="C967" s="16" t="str">
        <f>INDEX(Vectors[Description], MATCH($B967, Vectors[Code], 0))</f>
        <v>Liquid hydrocarbons</v>
      </c>
      <c r="D967" s="18"/>
      <c r="E967" s="18"/>
      <c r="F967" s="21">
        <f t="array" aca="1" ref="F967" ca="1">SUM(F$946:F$958/$M$129:$M$141*($B967=$F$128:$N$128)*($F$129:$N$141))</f>
        <v>0</v>
      </c>
      <c r="G967" s="21" t="e">
        <f t="array" aca="1" ref="G967" ca="1">SUM(G$946:G$958/$M$129:$M$141*($B967=$F$128:$N$128)*($F$129:$N$141))</f>
        <v>#REF!</v>
      </c>
      <c r="H967" s="21" t="e">
        <f t="array" aca="1" ref="H967" ca="1">SUM(H$946:H$958/$M$129:$M$141*($B967=$F$128:$N$128)*($F$129:$N$141))</f>
        <v>#REF!</v>
      </c>
      <c r="I967" s="21" t="e">
        <f t="array" aca="1" ref="I967" ca="1">SUM(I$946:I$958/$M$129:$M$141*($B967=$F$128:$N$128)*($F$129:$N$141))</f>
        <v>#REF!</v>
      </c>
      <c r="J967" s="21" t="e">
        <f t="array" aca="1" ref="J967" ca="1">SUM(J$946:J$958/$M$129:$M$141*($B967=$F$128:$N$128)*($F$129:$N$141))</f>
        <v>#REF!</v>
      </c>
      <c r="K967" s="21" t="e">
        <f t="array" aca="1" ref="K967" ca="1">SUM(K$946:K$958/$M$129:$M$141*($B967=$F$128:$N$128)*($F$129:$N$141))</f>
        <v>#REF!</v>
      </c>
      <c r="L967" s="21" t="e">
        <f t="array" aca="1" ref="L967" ca="1">SUM(L$946:L$958/$M$129:$M$141*($B967=$F$128:$N$128)*($F$129:$N$141))</f>
        <v>#REF!</v>
      </c>
      <c r="M967" s="21" t="e">
        <f t="array" aca="1" ref="M967" ca="1">SUM(M$946:M$958/$M$129:$M$141*($B967=$F$128:$N$128)*($F$129:$N$141))</f>
        <v>#REF!</v>
      </c>
      <c r="N967" s="21" t="e">
        <f t="array" aca="1" ref="N967" ca="1">SUM(N$946:N$958/$M$129:$M$141*($B967=$F$128:$N$128)*($F$129:$N$141))</f>
        <v>#REF!</v>
      </c>
      <c r="O967" s="21" t="e">
        <f t="array" aca="1" ref="O967" ca="1">SUM(O$946:O$958/$M$129:$M$141*($B967=$F$128:$N$128)*($F$129:$N$141))</f>
        <v>#REF!</v>
      </c>
      <c r="P967" s="18"/>
      <c r="W967" s="21"/>
      <c r="X967" s="21"/>
      <c r="Y967" s="21"/>
    </row>
    <row r="968" spans="2:25" s="16" customFormat="1">
      <c r="B968" s="973" t="s">
        <v>45</v>
      </c>
      <c r="C968" s="16" t="str">
        <f>INDEX(Vectors[Description], MATCH($B968, Vectors[Code], 0))</f>
        <v>Gaseous hydrocarbons</v>
      </c>
      <c r="D968" s="18"/>
      <c r="E968" s="18"/>
      <c r="F968" s="21">
        <f t="array" aca="1" ref="F968" ca="1">SUM(F$946:F$958/$M$129:$M$141*($B968=$F$128:$N$128)*($F$129:$N$141))</f>
        <v>0</v>
      </c>
      <c r="G968" s="21" t="e">
        <f t="array" aca="1" ref="G968" ca="1">SUM(G$946:G$958/$M$129:$M$141*($B968=$F$128:$N$128)*($F$129:$N$141))</f>
        <v>#REF!</v>
      </c>
      <c r="H968" s="21" t="e">
        <f t="array" aca="1" ref="H968" ca="1">SUM(H$946:H$958/$M$129:$M$141*($B968=$F$128:$N$128)*($F$129:$N$141))</f>
        <v>#REF!</v>
      </c>
      <c r="I968" s="21" t="e">
        <f t="array" aca="1" ref="I968" ca="1">SUM(I$946:I$958/$M$129:$M$141*($B968=$F$128:$N$128)*($F$129:$N$141))</f>
        <v>#REF!</v>
      </c>
      <c r="J968" s="21" t="e">
        <f t="array" aca="1" ref="J968" ca="1">SUM(J$946:J$958/$M$129:$M$141*($B968=$F$128:$N$128)*($F$129:$N$141))</f>
        <v>#REF!</v>
      </c>
      <c r="K968" s="21" t="e">
        <f t="array" aca="1" ref="K968" ca="1">SUM(K$946:K$958/$M$129:$M$141*($B968=$F$128:$N$128)*($F$129:$N$141))</f>
        <v>#REF!</v>
      </c>
      <c r="L968" s="21" t="e">
        <f t="array" aca="1" ref="L968" ca="1">SUM(L$946:L$958/$M$129:$M$141*($B968=$F$128:$N$128)*($F$129:$N$141))</f>
        <v>#REF!</v>
      </c>
      <c r="M968" s="21" t="e">
        <f t="array" aca="1" ref="M968" ca="1">SUM(M$946:M$958/$M$129:$M$141*($B968=$F$128:$N$128)*($F$129:$N$141))</f>
        <v>#REF!</v>
      </c>
      <c r="N968" s="21" t="e">
        <f t="array" aca="1" ref="N968" ca="1">SUM(N$946:N$958/$M$129:$M$141*($B968=$F$128:$N$128)*($F$129:$N$141))</f>
        <v>#REF!</v>
      </c>
      <c r="O968" s="21" t="e">
        <f t="array" aca="1" ref="O968" ca="1">SUM(O$946:O$958/$M$129:$M$141*($B968=$F$128:$N$128)*($F$129:$N$141))</f>
        <v>#REF!</v>
      </c>
      <c r="P968" s="18"/>
      <c r="W968" s="21"/>
      <c r="X968" s="21"/>
      <c r="Y968" s="21"/>
    </row>
    <row r="969" spans="2:25" s="16" customFormat="1">
      <c r="B969" s="973" t="s">
        <v>625</v>
      </c>
      <c r="C969" s="16" t="str">
        <f>INDEX(Vectors[Description], MATCH($B969, Vectors[Code], 0))</f>
        <v>Heat transport</v>
      </c>
      <c r="D969" s="18"/>
      <c r="E969" s="18"/>
      <c r="F969" s="21">
        <f t="array" aca="1" ref="F969" ca="1">SUM(F$946:F$958/$M$129:$M$141*($B969=$F$128:$N$128)*($F$129:$N$141))</f>
        <v>0</v>
      </c>
      <c r="G969" s="21" t="e">
        <f t="array" aca="1" ref="G969" ca="1">SUM(G$946:G$958/$M$129:$M$141*($B969=$F$128:$N$128)*($F$129:$N$141))</f>
        <v>#REF!</v>
      </c>
      <c r="H969" s="21" t="e">
        <f t="array" aca="1" ref="H969" ca="1">SUM(H$946:H$958/$M$129:$M$141*($B969=$F$128:$N$128)*($F$129:$N$141))</f>
        <v>#REF!</v>
      </c>
      <c r="I969" s="21" t="e">
        <f t="array" aca="1" ref="I969" ca="1">SUM(I$946:I$958/$M$129:$M$141*($B969=$F$128:$N$128)*($F$129:$N$141))</f>
        <v>#REF!</v>
      </c>
      <c r="J969" s="21" t="e">
        <f t="array" aca="1" ref="J969" ca="1">SUM(J$946:J$958/$M$129:$M$141*($B969=$F$128:$N$128)*($F$129:$N$141))</f>
        <v>#REF!</v>
      </c>
      <c r="K969" s="21" t="e">
        <f t="array" aca="1" ref="K969" ca="1">SUM(K$946:K$958/$M$129:$M$141*($B969=$F$128:$N$128)*($F$129:$N$141))</f>
        <v>#REF!</v>
      </c>
      <c r="L969" s="21" t="e">
        <f t="array" aca="1" ref="L969" ca="1">SUM(L$946:L$958/$M$129:$M$141*($B969=$F$128:$N$128)*($F$129:$N$141))</f>
        <v>#REF!</v>
      </c>
      <c r="M969" s="21" t="e">
        <f t="array" aca="1" ref="M969" ca="1">SUM(M$946:M$958/$M$129:$M$141*($B969=$F$128:$N$128)*($F$129:$N$141))</f>
        <v>#REF!</v>
      </c>
      <c r="N969" s="21" t="e">
        <f t="array" aca="1" ref="N969" ca="1">SUM(N$946:N$958/$M$129:$M$141*($B969=$F$128:$N$128)*($F$129:$N$141))</f>
        <v>#REF!</v>
      </c>
      <c r="O969" s="21" t="e">
        <f t="array" aca="1" ref="O969" ca="1">SUM(O$946:O$958/$M$129:$M$141*($B969=$F$128:$N$128)*($F$129:$N$141))</f>
        <v>#REF!</v>
      </c>
      <c r="P969" s="18"/>
      <c r="W969" s="21"/>
      <c r="X969" s="21"/>
      <c r="Y969" s="21"/>
    </row>
    <row r="970" spans="2:25" s="16" customFormat="1">
      <c r="B970" s="973" t="s">
        <v>98</v>
      </c>
      <c r="C970" s="16" t="str">
        <f>INDEX(Vectors[Description], MATCH($B970, Vectors[Code], 0))</f>
        <v>Environmental heat</v>
      </c>
      <c r="D970" s="18"/>
      <c r="E970" s="18"/>
      <c r="F970" s="21">
        <f t="array" aca="1" ref="F970" ca="1">SUM(F$946:F$958/$M$129:$M$141*($B970=$F$128:$N$128)*($F$129:$N$141))</f>
        <v>0</v>
      </c>
      <c r="G970" s="21" t="e">
        <f t="array" aca="1" ref="G970" ca="1">SUM(G$946:G$958/$M$129:$M$141*($B970=$F$128:$N$128)*($F$129:$N$141))</f>
        <v>#REF!</v>
      </c>
      <c r="H970" s="21" t="e">
        <f t="array" aca="1" ref="H970" ca="1">SUM(H$946:H$958/$M$129:$M$141*($B970=$F$128:$N$128)*($F$129:$N$141))</f>
        <v>#REF!</v>
      </c>
      <c r="I970" s="21" t="e">
        <f t="array" aca="1" ref="I970" ca="1">SUM(I$946:I$958/$M$129:$M$141*($B970=$F$128:$N$128)*($F$129:$N$141))</f>
        <v>#REF!</v>
      </c>
      <c r="J970" s="21" t="e">
        <f t="array" aca="1" ref="J970" ca="1">SUM(J$946:J$958/$M$129:$M$141*($B970=$F$128:$N$128)*($F$129:$N$141))</f>
        <v>#REF!</v>
      </c>
      <c r="K970" s="21" t="e">
        <f t="array" aca="1" ref="K970" ca="1">SUM(K$946:K$958/$M$129:$M$141*($B970=$F$128:$N$128)*($F$129:$N$141))</f>
        <v>#REF!</v>
      </c>
      <c r="L970" s="21" t="e">
        <f t="array" aca="1" ref="L970" ca="1">SUM(L$946:L$958/$M$129:$M$141*($B970=$F$128:$N$128)*($F$129:$N$141))</f>
        <v>#REF!</v>
      </c>
      <c r="M970" s="21" t="e">
        <f t="array" aca="1" ref="M970" ca="1">SUM(M$946:M$958/$M$129:$M$141*($B970=$F$128:$N$128)*($F$129:$N$141))</f>
        <v>#REF!</v>
      </c>
      <c r="N970" s="21" t="e">
        <f t="array" aca="1" ref="N970" ca="1">SUM(N$946:N$958/$M$129:$M$141*($B970=$F$128:$N$128)*($F$129:$N$141))</f>
        <v>#REF!</v>
      </c>
      <c r="O970" s="21" t="e">
        <f t="array" aca="1" ref="O970" ca="1">SUM(O$946:O$958/$M$129:$M$141*($B970=$F$128:$N$128)*($F$129:$N$141))</f>
        <v>#REF!</v>
      </c>
      <c r="P970" s="18"/>
      <c r="W970" s="21"/>
      <c r="X970" s="21"/>
      <c r="Y970" s="21"/>
    </row>
    <row r="971" spans="2:25" s="16" customFormat="1">
      <c r="B971" s="973" t="s">
        <v>6</v>
      </c>
      <c r="C971" s="16" t="str">
        <f>INDEX(Vectors[Description], MATCH($B971, Vectors[Code], 0))</f>
        <v>Heating &amp; cooling</v>
      </c>
      <c r="D971" s="18"/>
      <c r="E971" s="18"/>
      <c r="F971" s="21">
        <f t="array" aca="1" ref="F971" ca="1">SUM(F$946:F$958/$M$129:$M$141*($B971=$F$128:$N$128)*($F$129:$N$141))</f>
        <v>0</v>
      </c>
      <c r="G971" s="21" t="e">
        <f t="array" aca="1" ref="G971" ca="1">SUM(G$946:G$958/$M$129:$M$141*($B971=$F$128:$N$128)*($F$129:$N$141))</f>
        <v>#REF!</v>
      </c>
      <c r="H971" s="21" t="e">
        <f t="array" aca="1" ref="H971" ca="1">SUM(H$946:H$958/$M$129:$M$141*($B971=$F$128:$N$128)*($F$129:$N$141))</f>
        <v>#REF!</v>
      </c>
      <c r="I971" s="21" t="e">
        <f t="array" aca="1" ref="I971" ca="1">SUM(I$946:I$958/$M$129:$M$141*($B971=$F$128:$N$128)*($F$129:$N$141))</f>
        <v>#REF!</v>
      </c>
      <c r="J971" s="21" t="e">
        <f t="array" aca="1" ref="J971" ca="1">SUM(J$946:J$958/$M$129:$M$141*($B971=$F$128:$N$128)*($F$129:$N$141))</f>
        <v>#REF!</v>
      </c>
      <c r="K971" s="21" t="e">
        <f t="array" aca="1" ref="K971" ca="1">SUM(K$946:K$958/$M$129:$M$141*($B971=$F$128:$N$128)*($F$129:$N$141))</f>
        <v>#REF!</v>
      </c>
      <c r="L971" s="21" t="e">
        <f t="array" aca="1" ref="L971" ca="1">SUM(L$946:L$958/$M$129:$M$141*($B971=$F$128:$N$128)*($F$129:$N$141))</f>
        <v>#REF!</v>
      </c>
      <c r="M971" s="21" t="e">
        <f t="array" aca="1" ref="M971" ca="1">SUM(M$946:M$958/$M$129:$M$141*($B971=$F$128:$N$128)*($F$129:$N$141))</f>
        <v>#REF!</v>
      </c>
      <c r="N971" s="21" t="e">
        <f t="array" aca="1" ref="N971" ca="1">SUM(N$946:N$958/$M$129:$M$141*($B971=$F$128:$N$128)*($F$129:$N$141))</f>
        <v>#REF!</v>
      </c>
      <c r="O971" s="21" t="e">
        <f t="array" aca="1" ref="O971" ca="1">SUM(O$946:O$958/$M$129:$M$141*($B971=$F$128:$N$128)*($F$129:$N$141))</f>
        <v>#REF!</v>
      </c>
      <c r="P971" s="18"/>
      <c r="W971" s="21"/>
      <c r="X971" s="21"/>
      <c r="Y971" s="21"/>
    </row>
    <row r="972" spans="2:25" s="16" customFormat="1">
      <c r="B972" s="973" t="s">
        <v>31</v>
      </c>
      <c r="C972" s="16" t="str">
        <f>INDEX(Vectors[Description], MATCH($B972, Vectors[Code], 0))</f>
        <v>Conversion losses</v>
      </c>
      <c r="D972" s="18"/>
      <c r="E972" s="18"/>
      <c r="F972" s="21">
        <f t="array" aca="1" ref="F972" ca="1">SUM(F$946:F$958/$M$129:$M$141*($B972=$F$128:$N$128)*($F$129:$N$141))</f>
        <v>0</v>
      </c>
      <c r="G972" s="21" t="e">
        <f t="array" aca="1" ref="G972" ca="1">SUM(G$946:G$958/$M$129:$M$141*($B972=$F$128:$N$128)*($F$129:$N$141))</f>
        <v>#REF!</v>
      </c>
      <c r="H972" s="21" t="e">
        <f t="array" aca="1" ref="H972" ca="1">SUM(H$946:H$958/$M$129:$M$141*($B972=$F$128:$N$128)*($F$129:$N$141))</f>
        <v>#REF!</v>
      </c>
      <c r="I972" s="21" t="e">
        <f t="array" aca="1" ref="I972" ca="1">SUM(I$946:I$958/$M$129:$M$141*($B972=$F$128:$N$128)*($F$129:$N$141))</f>
        <v>#REF!</v>
      </c>
      <c r="J972" s="21" t="e">
        <f t="array" aca="1" ref="J972" ca="1">SUM(J$946:J$958/$M$129:$M$141*($B972=$F$128:$N$128)*($F$129:$N$141))</f>
        <v>#REF!</v>
      </c>
      <c r="K972" s="21" t="e">
        <f t="array" aca="1" ref="K972" ca="1">SUM(K$946:K$958/$M$129:$M$141*($B972=$F$128:$N$128)*($F$129:$N$141))</f>
        <v>#REF!</v>
      </c>
      <c r="L972" s="21" t="e">
        <f t="array" aca="1" ref="L972" ca="1">SUM(L$946:L$958/$M$129:$M$141*($B972=$F$128:$N$128)*($F$129:$N$141))</f>
        <v>#REF!</v>
      </c>
      <c r="M972" s="21" t="e">
        <f t="array" aca="1" ref="M972" ca="1">SUM(M$946:M$958/$M$129:$M$141*($B972=$F$128:$N$128)*($F$129:$N$141))</f>
        <v>#REF!</v>
      </c>
      <c r="N972" s="21" t="e">
        <f t="array" aca="1" ref="N972" ca="1">SUM(N$946:N$958/$M$129:$M$141*($B972=$F$128:$N$128)*($F$129:$N$141))</f>
        <v>#REF!</v>
      </c>
      <c r="O972" s="21" t="e">
        <f t="array" aca="1" ref="O972" ca="1">SUM(O$946:O$958/$M$129:$M$141*($B972=$F$128:$N$128)*($F$129:$N$141))</f>
        <v>#REF!</v>
      </c>
      <c r="P972" s="18"/>
      <c r="W972" s="21"/>
      <c r="X972" s="21"/>
      <c r="Y972" s="21"/>
    </row>
    <row r="973" spans="2:25" s="16" customFormat="1">
      <c r="B973" s="18"/>
      <c r="C973" s="18"/>
      <c r="D973" s="18"/>
      <c r="E973" s="568" t="str">
        <f>Preferences.EnergyUnits</f>
        <v>TWh</v>
      </c>
      <c r="F973" s="984">
        <f t="shared" ref="F973:O973" ca="1" si="332">SUM(F964:F972)</f>
        <v>0</v>
      </c>
      <c r="G973" s="984" t="e">
        <f t="shared" ca="1" si="332"/>
        <v>#REF!</v>
      </c>
      <c r="H973" s="984" t="e">
        <f t="shared" ca="1" si="332"/>
        <v>#REF!</v>
      </c>
      <c r="I973" s="984" t="e">
        <f t="shared" ca="1" si="332"/>
        <v>#REF!</v>
      </c>
      <c r="J973" s="984" t="e">
        <f t="shared" ca="1" si="332"/>
        <v>#REF!</v>
      </c>
      <c r="K973" s="984" t="e">
        <f t="shared" ca="1" si="332"/>
        <v>#REF!</v>
      </c>
      <c r="L973" s="984" t="e">
        <f t="shared" ca="1" si="332"/>
        <v>#REF!</v>
      </c>
      <c r="M973" s="984" t="e">
        <f t="shared" ca="1" si="332"/>
        <v>#REF!</v>
      </c>
      <c r="N973" s="984" t="e">
        <f t="shared" ca="1" si="332"/>
        <v>#REF!</v>
      </c>
      <c r="O973" s="984" t="e">
        <f t="shared" ca="1" si="332"/>
        <v>#REF!</v>
      </c>
      <c r="P973" s="18"/>
      <c r="W973" s="21"/>
      <c r="X973" s="21"/>
      <c r="Y973" s="21"/>
    </row>
    <row r="974" spans="2:25" s="16" customFormat="1">
      <c r="B974" s="18"/>
      <c r="C974" s="18"/>
      <c r="D974" s="18"/>
      <c r="E974" s="18"/>
      <c r="F974" s="1299"/>
      <c r="G974" s="1299"/>
      <c r="H974" s="1299"/>
      <c r="I974" s="1299"/>
      <c r="J974" s="1299"/>
      <c r="K974" s="1299"/>
      <c r="L974" s="1299"/>
      <c r="M974" s="1299"/>
      <c r="N974" s="1299"/>
      <c r="O974" s="1299"/>
      <c r="P974" s="18"/>
      <c r="W974" s="21"/>
      <c r="X974" s="21"/>
      <c r="Y974" s="21"/>
    </row>
    <row r="975" spans="2:25" s="16" customFormat="1">
      <c r="B975" s="18"/>
      <c r="C975" s="792" t="s">
        <v>1348</v>
      </c>
      <c r="D975" s="18"/>
      <c r="E975" s="18"/>
      <c r="F975" s="568">
        <v>2007</v>
      </c>
      <c r="G975" s="568">
        <v>2010</v>
      </c>
      <c r="H975" s="568">
        <v>2015</v>
      </c>
      <c r="I975" s="568">
        <v>2020</v>
      </c>
      <c r="J975" s="568">
        <v>2025</v>
      </c>
      <c r="K975" s="568">
        <v>2030</v>
      </c>
      <c r="L975" s="568">
        <v>2035</v>
      </c>
      <c r="M975" s="568">
        <v>2040</v>
      </c>
      <c r="N975" s="568">
        <v>2045</v>
      </c>
      <c r="O975" s="568">
        <v>2050</v>
      </c>
      <c r="P975" s="18"/>
      <c r="W975" s="21"/>
      <c r="X975" s="21"/>
      <c r="Y975" s="21"/>
    </row>
    <row r="976" spans="2:25" s="16" customFormat="1">
      <c r="B976" s="18"/>
      <c r="C976" s="18" t="s">
        <v>792</v>
      </c>
      <c r="D976" s="18"/>
      <c r="E976" s="18" t="s">
        <v>810</v>
      </c>
      <c r="F976" s="1299">
        <f t="array" aca="1" ref="F976" ca="1">-SUM(F$964:F$972*SUMIFS(EF[CO2], EF[Vector], $B$964:$B$972))</f>
        <v>0</v>
      </c>
      <c r="G976" s="1299" t="e">
        <f t="array" aca="1" ref="G976" ca="1">-SUM(G$964:G$972*SUMIFS(EF[CO2], EF[Vector], $B$964:$B$972))</f>
        <v>#REF!</v>
      </c>
      <c r="H976" s="1299" t="e">
        <f t="array" aca="1" ref="H976" ca="1">-SUM(H$964:H$972*SUMIFS(EF[CO2], EF[Vector], $B$964:$B$972))</f>
        <v>#REF!</v>
      </c>
      <c r="I976" s="1299" t="e">
        <f t="array" aca="1" ref="I976" ca="1">-SUM(I$964:I$972*SUMIFS(EF[CO2], EF[Vector], $B$964:$B$972))</f>
        <v>#REF!</v>
      </c>
      <c r="J976" s="1299" t="e">
        <f t="array" aca="1" ref="J976" ca="1">-SUM(J$964:J$972*SUMIFS(EF[CO2], EF[Vector], $B$964:$B$972))</f>
        <v>#REF!</v>
      </c>
      <c r="K976" s="1299" t="e">
        <f t="array" aca="1" ref="K976" ca="1">-SUM(K$964:K$972*SUMIFS(EF[CO2], EF[Vector], $B$964:$B$972))</f>
        <v>#REF!</v>
      </c>
      <c r="L976" s="1299" t="e">
        <f t="array" aca="1" ref="L976" ca="1">-SUM(L$964:L$972*SUMIFS(EF[CO2], EF[Vector], $B$964:$B$972))</f>
        <v>#REF!</v>
      </c>
      <c r="M976" s="1299" t="e">
        <f t="array" aca="1" ref="M976" ca="1">-SUM(M$964:M$972*SUMIFS(EF[CO2], EF[Vector], $B$964:$B$972))</f>
        <v>#REF!</v>
      </c>
      <c r="N976" s="1299" t="e">
        <f t="array" aca="1" ref="N976" ca="1">-SUM(N$964:N$972*SUMIFS(EF[CO2], EF[Vector], $B$964:$B$972))</f>
        <v>#REF!</v>
      </c>
      <c r="O976" s="1299" t="e">
        <f t="array" aca="1" ref="O976" ca="1">-SUM(O$964:O$972*SUMIFS(EF[CO2], EF[Vector], $B$964:$B$972))</f>
        <v>#REF!</v>
      </c>
      <c r="P976" s="18"/>
      <c r="W976" s="21"/>
      <c r="X976" s="21"/>
      <c r="Y976" s="21"/>
    </row>
    <row r="977" spans="2:25" s="16" customFormat="1">
      <c r="B977" s="18"/>
      <c r="C977" s="18" t="s">
        <v>793</v>
      </c>
      <c r="D977" s="18"/>
      <c r="E977" s="18"/>
      <c r="F977" s="1299">
        <f t="array" aca="1" ref="F977" ca="1">-SUM(F$964:F$972*SUMIFS(EF[CO2], EF[Vector], $B$964:$B$972))</f>
        <v>0</v>
      </c>
      <c r="G977" s="1299" t="e">
        <f t="array" aca="1" ref="G977" ca="1">-SUM(G$964:G$972*SUMIFS(EF[CO2], EF[Vector], $B$964:$B$972))</f>
        <v>#REF!</v>
      </c>
      <c r="H977" s="1299" t="e">
        <f t="array" aca="1" ref="H977" ca="1">-SUM(H$964:H$972*SUMIFS(EF[CO2], EF[Vector], $B$964:$B$972))</f>
        <v>#REF!</v>
      </c>
      <c r="I977" s="1299" t="e">
        <f t="array" aca="1" ref="I977" ca="1">-SUM(I$964:I$972*SUMIFS(EF[CO2], EF[Vector], $B$964:$B$972))</f>
        <v>#REF!</v>
      </c>
      <c r="J977" s="1299" t="e">
        <f t="array" aca="1" ref="J977" ca="1">-SUM(J$964:J$972*SUMIFS(EF[CO2], EF[Vector], $B$964:$B$972))</f>
        <v>#REF!</v>
      </c>
      <c r="K977" s="1299" t="e">
        <f t="array" aca="1" ref="K977" ca="1">-SUM(K$964:K$972*SUMIFS(EF[CO2], EF[Vector], $B$964:$B$972))</f>
        <v>#REF!</v>
      </c>
      <c r="L977" s="1299" t="e">
        <f t="array" aca="1" ref="L977" ca="1">-SUM(L$964:L$972*SUMIFS(EF[CO2], EF[Vector], $B$964:$B$972))</f>
        <v>#REF!</v>
      </c>
      <c r="M977" s="1299" t="e">
        <f t="array" aca="1" ref="M977" ca="1">-SUM(M$964:M$972*SUMIFS(EF[CO2], EF[Vector], $B$964:$B$972))</f>
        <v>#REF!</v>
      </c>
      <c r="N977" s="1299" t="e">
        <f t="array" aca="1" ref="N977" ca="1">-SUM(N$964:N$972*SUMIFS(EF[CO2], EF[Vector], $B$964:$B$972))</f>
        <v>#REF!</v>
      </c>
      <c r="O977" s="1299" t="e">
        <f t="array" aca="1" ref="O977" ca="1">-SUM(O$964:O$972*SUMIFS(EF[CO2], EF[Vector], $B$964:$B$972))</f>
        <v>#REF!</v>
      </c>
      <c r="P977" s="18"/>
      <c r="W977" s="21"/>
      <c r="X977" s="21"/>
      <c r="Y977" s="21"/>
    </row>
    <row r="978" spans="2:25" s="16" customFormat="1">
      <c r="B978" s="18"/>
      <c r="C978" s="18" t="s">
        <v>794</v>
      </c>
      <c r="D978" s="18"/>
      <c r="E978" s="18"/>
      <c r="F978" s="1299">
        <f t="array" aca="1" ref="F978" ca="1">-SUM(F$964:F$972*SUMIFS(EF[CO2], EF[Vector], $B$964:$B$972))</f>
        <v>0</v>
      </c>
      <c r="G978" s="1299" t="e">
        <f t="array" aca="1" ref="G978" ca="1">-SUM(G$964:G$972*SUMIFS(EF[CO2], EF[Vector], $B$964:$B$972))</f>
        <v>#REF!</v>
      </c>
      <c r="H978" s="1299" t="e">
        <f t="array" aca="1" ref="H978" ca="1">-SUM(H$964:H$972*SUMIFS(EF[CO2], EF[Vector], $B$964:$B$972))</f>
        <v>#REF!</v>
      </c>
      <c r="I978" s="1299" t="e">
        <f t="array" aca="1" ref="I978" ca="1">-SUM(I$964:I$972*SUMIFS(EF[CO2], EF[Vector], $B$964:$B$972))</f>
        <v>#REF!</v>
      </c>
      <c r="J978" s="1299" t="e">
        <f t="array" aca="1" ref="J978" ca="1">-SUM(J$964:J$972*SUMIFS(EF[CO2], EF[Vector], $B$964:$B$972))</f>
        <v>#REF!</v>
      </c>
      <c r="K978" s="1299" t="e">
        <f t="array" aca="1" ref="K978" ca="1">-SUM(K$964:K$972*SUMIFS(EF[CO2], EF[Vector], $B$964:$B$972))</f>
        <v>#REF!</v>
      </c>
      <c r="L978" s="1299" t="e">
        <f t="array" aca="1" ref="L978" ca="1">-SUM(L$964:L$972*SUMIFS(EF[CO2], EF[Vector], $B$964:$B$972))</f>
        <v>#REF!</v>
      </c>
      <c r="M978" s="1299" t="e">
        <f t="array" aca="1" ref="M978" ca="1">-SUM(M$964:M$972*SUMIFS(EF[CO2], EF[Vector], $B$964:$B$972))</f>
        <v>#REF!</v>
      </c>
      <c r="N978" s="1299" t="e">
        <f t="array" aca="1" ref="N978" ca="1">-SUM(N$964:N$972*SUMIFS(EF[CO2], EF[Vector], $B$964:$B$972))</f>
        <v>#REF!</v>
      </c>
      <c r="O978" s="1299" t="e">
        <f t="array" aca="1" ref="O978" ca="1">-SUM(O$964:O$972*SUMIFS(EF[CO2], EF[Vector], $B$964:$B$972))</f>
        <v>#REF!</v>
      </c>
      <c r="P978" s="18"/>
      <c r="W978" s="21"/>
      <c r="X978" s="21"/>
      <c r="Y978" s="21"/>
    </row>
    <row r="979" spans="2:25" s="16" customFormat="1">
      <c r="B979" s="18"/>
      <c r="C979" s="18"/>
      <c r="D979" s="18"/>
      <c r="E979" s="18"/>
      <c r="F979" s="21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W979" s="21"/>
      <c r="X979" s="21"/>
      <c r="Y979" s="21"/>
    </row>
    <row r="980" spans="2:25" s="16" customFormat="1">
      <c r="B980" s="1298">
        <v>8</v>
      </c>
      <c r="C980" s="1298" t="s">
        <v>1633</v>
      </c>
      <c r="D980" s="18"/>
      <c r="E980" s="18"/>
      <c r="F980" s="21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W980" s="21"/>
      <c r="X980" s="21"/>
      <c r="Y980" s="21"/>
    </row>
    <row r="981" spans="2:25" s="16" customFormat="1">
      <c r="B981" s="18"/>
      <c r="C981" s="18"/>
      <c r="D981" s="18"/>
      <c r="E981" s="18"/>
      <c r="F981" s="21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W981" s="21"/>
      <c r="X981" s="21"/>
      <c r="Y981" s="21"/>
    </row>
    <row r="982" spans="2:25" s="16" customFormat="1">
      <c r="B982" s="1298" t="s">
        <v>1619</v>
      </c>
      <c r="C982" s="1298" t="s">
        <v>1632</v>
      </c>
      <c r="D982" s="18"/>
      <c r="E982" s="18"/>
      <c r="F982" s="21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W982" s="21"/>
      <c r="X982" s="21"/>
      <c r="Y982" s="21"/>
    </row>
    <row r="983" spans="2:25" s="16" customFormat="1">
      <c r="B983" s="18"/>
      <c r="C983" s="1298"/>
      <c r="D983" s="18"/>
      <c r="E983" s="18"/>
      <c r="F983" s="21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W983" s="21"/>
      <c r="X983" s="21"/>
      <c r="Y983" s="21"/>
    </row>
    <row r="984" spans="2:25" s="16" customFormat="1">
      <c r="B984" s="18"/>
      <c r="C984" s="550" t="s">
        <v>1610</v>
      </c>
      <c r="D984" s="18"/>
      <c r="F984" s="568">
        <v>2007</v>
      </c>
      <c r="G984" s="568">
        <v>2010</v>
      </c>
      <c r="H984" s="568">
        <v>2015</v>
      </c>
      <c r="I984" s="568">
        <v>2020</v>
      </c>
      <c r="J984" s="568">
        <v>2025</v>
      </c>
      <c r="K984" s="568">
        <v>2030</v>
      </c>
      <c r="L984" s="568">
        <v>2035</v>
      </c>
      <c r="M984" s="568">
        <v>2040</v>
      </c>
      <c r="N984" s="568">
        <v>2045</v>
      </c>
      <c r="O984" s="568">
        <v>2050</v>
      </c>
      <c r="P984" s="18"/>
      <c r="W984" s="21"/>
      <c r="X984" s="21"/>
      <c r="Y984" s="21"/>
    </row>
    <row r="985" spans="2:25" s="16" customFormat="1">
      <c r="B985" s="18"/>
      <c r="C985" s="18" t="s">
        <v>1616</v>
      </c>
      <c r="D985" s="18"/>
      <c r="E985" s="1005" t="str">
        <f>Preferences.PowerUnits&amp;"e"</f>
        <v>GWe</v>
      </c>
      <c r="F985" s="21">
        <f t="shared" ref="F985:O985" si="333">F886*Conversion.to.average.power</f>
        <v>0</v>
      </c>
      <c r="G985" s="21">
        <f t="shared" si="333"/>
        <v>0</v>
      </c>
      <c r="H985" s="21">
        <f t="shared" si="333"/>
        <v>0</v>
      </c>
      <c r="I985" s="21">
        <f t="shared" si="333"/>
        <v>0</v>
      </c>
      <c r="J985" s="21">
        <f t="shared" si="333"/>
        <v>0</v>
      </c>
      <c r="K985" s="21">
        <f t="shared" si="333"/>
        <v>0</v>
      </c>
      <c r="L985" s="21">
        <f t="shared" si="333"/>
        <v>0</v>
      </c>
      <c r="M985" s="21">
        <f t="shared" si="333"/>
        <v>0</v>
      </c>
      <c r="N985" s="21">
        <f t="shared" si="333"/>
        <v>0</v>
      </c>
      <c r="O985" s="21">
        <f t="shared" si="333"/>
        <v>0</v>
      </c>
      <c r="P985" s="18"/>
      <c r="W985" s="21"/>
      <c r="X985" s="21"/>
      <c r="Y985" s="21"/>
    </row>
    <row r="986" spans="2:25" s="16" customFormat="1">
      <c r="B986" s="18"/>
      <c r="D986" s="18"/>
      <c r="E986" s="18"/>
      <c r="F986" s="21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W986" s="21"/>
      <c r="X986" s="21"/>
      <c r="Y986" s="21"/>
    </row>
    <row r="987" spans="2:25" s="16" customFormat="1">
      <c r="B987" s="18"/>
      <c r="C987" s="550" t="s">
        <v>1611</v>
      </c>
      <c r="D987" s="18"/>
      <c r="E987" s="18"/>
      <c r="F987" s="568">
        <v>2007</v>
      </c>
      <c r="G987" s="568">
        <v>2010</v>
      </c>
      <c r="H987" s="568">
        <v>2015</v>
      </c>
      <c r="I987" s="568">
        <v>2020</v>
      </c>
      <c r="J987" s="568">
        <v>2025</v>
      </c>
      <c r="K987" s="568">
        <v>2030</v>
      </c>
      <c r="L987" s="568">
        <v>2035</v>
      </c>
      <c r="M987" s="568">
        <v>2040</v>
      </c>
      <c r="N987" s="568">
        <v>2045</v>
      </c>
      <c r="O987" s="568">
        <v>2050</v>
      </c>
      <c r="P987" s="18"/>
      <c r="W987" s="21"/>
      <c r="X987" s="21"/>
      <c r="Y987" s="21"/>
    </row>
    <row r="988" spans="2:25" s="16" customFormat="1">
      <c r="B988" s="18"/>
      <c r="C988" s="16" t="s">
        <v>1628</v>
      </c>
      <c r="D988" s="18"/>
      <c r="E988" s="18" t="str">
        <f>Preferences.PowerUnits&amp;"th"</f>
        <v>GWth</v>
      </c>
      <c r="F988" s="21">
        <f t="shared" ref="F988:O988" si="334">F755*Conversion.to.average.power</f>
        <v>12.002293406342686</v>
      </c>
      <c r="G988" s="21">
        <f t="shared" si="334"/>
        <v>11.819478156798947</v>
      </c>
      <c r="H988" s="21">
        <f t="shared" si="334"/>
        <v>11.53221946460061</v>
      </c>
      <c r="I988" s="21">
        <f t="shared" si="334"/>
        <v>11.212615112225945</v>
      </c>
      <c r="J988" s="21">
        <f t="shared" si="334"/>
        <v>10.836832783968701</v>
      </c>
      <c r="K988" s="21">
        <f t="shared" si="334"/>
        <v>10.413806527350349</v>
      </c>
      <c r="L988" s="21">
        <f t="shared" si="334"/>
        <v>10.096988600816559</v>
      </c>
      <c r="M988" s="21">
        <f t="shared" si="334"/>
        <v>9.7898091862245415</v>
      </c>
      <c r="N988" s="21">
        <f t="shared" si="334"/>
        <v>9.4919750523374518</v>
      </c>
      <c r="O988" s="21">
        <f t="shared" si="334"/>
        <v>9.2032018888554941</v>
      </c>
      <c r="P988" s="18"/>
      <c r="W988" s="21"/>
      <c r="X988" s="21"/>
      <c r="Y988" s="21"/>
    </row>
    <row r="989" spans="2:25" s="16" customFormat="1">
      <c r="B989" s="18"/>
      <c r="C989" s="18"/>
      <c r="D989" s="18"/>
      <c r="E989" s="18"/>
      <c r="F989" s="21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W989" s="21"/>
      <c r="X989" s="21"/>
      <c r="Y989" s="21"/>
    </row>
    <row r="990" spans="2:25" s="16" customFormat="1">
      <c r="B990" s="18"/>
      <c r="C990" s="1298" t="s">
        <v>1617</v>
      </c>
      <c r="D990" s="18"/>
      <c r="E990" s="18"/>
      <c r="F990" s="568">
        <v>2007</v>
      </c>
      <c r="G990" s="568">
        <v>2010</v>
      </c>
      <c r="H990" s="568">
        <v>2015</v>
      </c>
      <c r="I990" s="568">
        <v>2020</v>
      </c>
      <c r="J990" s="568">
        <v>2025</v>
      </c>
      <c r="K990" s="568">
        <v>2030</v>
      </c>
      <c r="L990" s="568">
        <v>2035</v>
      </c>
      <c r="M990" s="568">
        <v>2040</v>
      </c>
      <c r="N990" s="568">
        <v>2045</v>
      </c>
      <c r="O990" s="568">
        <v>2050</v>
      </c>
      <c r="P990" s="18"/>
      <c r="W990" s="21"/>
      <c r="X990" s="21"/>
      <c r="Y990" s="21"/>
    </row>
    <row r="991" spans="2:25" s="16" customFormat="1">
      <c r="B991" s="973">
        <v>1</v>
      </c>
      <c r="C991" s="18" t="str">
        <f t="shared" ref="C991:C1003" si="335">INDEX($D$76:$D$88, MATCH($B991, $C$76:$C$88, 0))</f>
        <v>Gas boiler (old)</v>
      </c>
      <c r="D991" s="18"/>
      <c r="E991" s="18"/>
      <c r="F991" s="21">
        <f t="array" ref="F991:F1003">F$988*F$624:F$636</f>
        <v>8.0415365822496003</v>
      </c>
      <c r="G991" s="21">
        <f t="array" ref="G991:G1003">G$988*G$624:G$636</f>
        <v>7.1558036572697015</v>
      </c>
      <c r="H991" s="21">
        <f t="array" ref="H991:H1003">H$988*H$624:H$636</f>
        <v>5.3334928967096138</v>
      </c>
      <c r="I991" s="21">
        <f t="array" ref="I991:I1003">I$988*I$624:I$636</f>
        <v>4.4448688108625358</v>
      </c>
      <c r="J991" s="21">
        <f t="array" ref="J991:J1003">J$988*J$624:J$636</f>
        <v>3.5799186576818012</v>
      </c>
      <c r="K991" s="21">
        <f t="array" ref="K991:K1003">K$988*K$624:K$636</f>
        <v>2.7521384543203795</v>
      </c>
      <c r="L991" s="21">
        <f t="array" ref="L991:L1003">L$988*L$624:L$636</f>
        <v>2.001307869136983</v>
      </c>
      <c r="M991" s="21">
        <f t="array" ref="M991:M1003">M$988*M$624:M$636</f>
        <v>1.2936148876544722</v>
      </c>
      <c r="N991" s="21">
        <f t="array" ref="N991:N1003">N$988*N$624:N$636</f>
        <v>0.62712970229422671</v>
      </c>
      <c r="O991" s="21">
        <f t="array" ref="O991:O1003">O$988*O$624:O$636</f>
        <v>0</v>
      </c>
      <c r="P991" s="18"/>
      <c r="W991" s="21"/>
      <c r="X991" s="21"/>
      <c r="Y991" s="21"/>
    </row>
    <row r="992" spans="2:25" s="16" customFormat="1">
      <c r="B992" s="973">
        <v>2</v>
      </c>
      <c r="C992" s="18" t="str">
        <f t="shared" si="335"/>
        <v>Gas boiler (new)</v>
      </c>
      <c r="D992" s="18"/>
      <c r="E992" s="18"/>
      <c r="F992" s="21">
        <v>1.8003440109514028</v>
      </c>
      <c r="G992" s="21">
        <v>2.8444178783572629</v>
      </c>
      <c r="H992" s="21">
        <v>4.8419492261606063</v>
      </c>
      <c r="I992" s="21">
        <v>4.0352222297734208</v>
      </c>
      <c r="J992" s="21">
        <v>3.249987336624002</v>
      </c>
      <c r="K992" s="21">
        <v>2.4984967482387432</v>
      </c>
      <c r="L992" s="21">
        <v>1.8168639718738779</v>
      </c>
      <c r="M992" s="21">
        <v>1.1743931651418558</v>
      </c>
      <c r="N992" s="21">
        <v>0.56933237477435916</v>
      </c>
      <c r="O992" s="21">
        <v>0</v>
      </c>
      <c r="P992" s="18"/>
      <c r="W992" s="21"/>
      <c r="X992" s="21"/>
      <c r="Y992" s="21"/>
    </row>
    <row r="993" spans="2:25" s="16" customFormat="1">
      <c r="B993" s="973">
        <v>3</v>
      </c>
      <c r="C993" s="18" t="str">
        <f t="shared" si="335"/>
        <v>Resistive heating</v>
      </c>
      <c r="D993" s="18"/>
      <c r="E993" s="18"/>
      <c r="F993" s="21">
        <v>1.2002293406342686</v>
      </c>
      <c r="G993" s="21">
        <v>1.0106981228733241</v>
      </c>
      <c r="H993" s="21">
        <v>0.7533117895970024</v>
      </c>
      <c r="I993" s="21">
        <v>0.62780098207320467</v>
      </c>
      <c r="J993" s="21">
        <v>0.50563392187017009</v>
      </c>
      <c r="K993" s="21">
        <v>0.38871680986429008</v>
      </c>
      <c r="L993" s="21">
        <v>0.28266819542672145</v>
      </c>
      <c r="M993" s="21">
        <v>0.18271241097358723</v>
      </c>
      <c r="N993" s="21">
        <v>8.8576887134536389E-2</v>
      </c>
      <c r="O993" s="21">
        <v>0</v>
      </c>
      <c r="P993" s="18"/>
      <c r="W993" s="21"/>
      <c r="X993" s="21"/>
      <c r="Y993" s="21"/>
    </row>
    <row r="994" spans="2:25" s="16" customFormat="1">
      <c r="B994" s="973">
        <v>4</v>
      </c>
      <c r="C994" s="18" t="str">
        <f t="shared" si="335"/>
        <v>Oil-fired boiler</v>
      </c>
      <c r="D994" s="18"/>
      <c r="E994" s="18"/>
      <c r="F994" s="21">
        <v>0.48009173625370744</v>
      </c>
      <c r="G994" s="21">
        <v>0.40427924914932956</v>
      </c>
      <c r="H994" s="21">
        <v>0.30132471583880094</v>
      </c>
      <c r="I994" s="21">
        <v>0.25112039282928184</v>
      </c>
      <c r="J994" s="21">
        <v>0.20225356874806802</v>
      </c>
      <c r="K994" s="21">
        <v>0.15548672394571603</v>
      </c>
      <c r="L994" s="21">
        <v>0.11306727817068855</v>
      </c>
      <c r="M994" s="21">
        <v>7.3084964389434875E-2</v>
      </c>
      <c r="N994" s="21">
        <v>3.5430754853814528E-2</v>
      </c>
      <c r="O994" s="21">
        <v>0</v>
      </c>
      <c r="P994" s="18"/>
      <c r="W994" s="21"/>
      <c r="X994" s="21"/>
      <c r="Y994" s="21"/>
    </row>
    <row r="995" spans="2:25" s="16" customFormat="1">
      <c r="B995" s="973">
        <v>5</v>
      </c>
      <c r="C995" s="18" t="str">
        <f t="shared" si="335"/>
        <v>Solid-fuel boiler</v>
      </c>
      <c r="D995" s="18"/>
      <c r="E995" s="18"/>
      <c r="F995" s="21">
        <v>0.48009173625370744</v>
      </c>
      <c r="G995" s="21">
        <v>0.40427924914932956</v>
      </c>
      <c r="H995" s="21">
        <v>0.30132471583880094</v>
      </c>
      <c r="I995" s="21">
        <v>0.25112039282928184</v>
      </c>
      <c r="J995" s="21">
        <v>0.20225356874806802</v>
      </c>
      <c r="K995" s="21">
        <v>0.15548672394571603</v>
      </c>
      <c r="L995" s="21">
        <v>0.11306727817068855</v>
      </c>
      <c r="M995" s="21">
        <v>7.3084964389434875E-2</v>
      </c>
      <c r="N995" s="21">
        <v>3.5430754853814528E-2</v>
      </c>
      <c r="O995" s="21">
        <v>0</v>
      </c>
      <c r="P995" s="18"/>
      <c r="W995" s="21"/>
      <c r="X995" s="21"/>
      <c r="Y995" s="21"/>
    </row>
    <row r="996" spans="2:25" s="16" customFormat="1">
      <c r="B996" s="973">
        <v>6</v>
      </c>
      <c r="C996" s="18" t="str">
        <f t="shared" si="335"/>
        <v>Stirling engine micro-CHP</v>
      </c>
      <c r="D996" s="18"/>
      <c r="E996" s="18"/>
      <c r="F996" s="21">
        <v>0</v>
      </c>
      <c r="G996" s="21">
        <v>0</v>
      </c>
      <c r="H996" s="21">
        <v>0</v>
      </c>
      <c r="I996" s="21">
        <v>0</v>
      </c>
      <c r="J996" s="21">
        <v>0</v>
      </c>
      <c r="K996" s="21">
        <v>0</v>
      </c>
      <c r="L996" s="21">
        <v>0</v>
      </c>
      <c r="M996" s="21">
        <v>0</v>
      </c>
      <c r="N996" s="21">
        <v>0</v>
      </c>
      <c r="O996" s="21">
        <v>0</v>
      </c>
      <c r="P996" s="18"/>
      <c r="W996" s="21"/>
      <c r="X996" s="21"/>
      <c r="Y996" s="21"/>
    </row>
    <row r="997" spans="2:25" s="16" customFormat="1">
      <c r="B997" s="973">
        <v>7</v>
      </c>
      <c r="C997" s="18" t="str">
        <f t="shared" si="335"/>
        <v>Fuel-cell micro-CHP</v>
      </c>
      <c r="D997" s="18"/>
      <c r="E997" s="18"/>
      <c r="F997" s="21">
        <v>0</v>
      </c>
      <c r="G997" s="21">
        <v>0</v>
      </c>
      <c r="H997" s="21">
        <v>0</v>
      </c>
      <c r="I997" s="21">
        <v>0</v>
      </c>
      <c r="J997" s="21">
        <v>0</v>
      </c>
      <c r="K997" s="21">
        <v>0</v>
      </c>
      <c r="L997" s="21">
        <v>0</v>
      </c>
      <c r="M997" s="21">
        <v>0</v>
      </c>
      <c r="N997" s="21">
        <v>0</v>
      </c>
      <c r="O997" s="21">
        <v>0</v>
      </c>
      <c r="P997" s="18"/>
      <c r="W997" s="21"/>
      <c r="X997" s="21"/>
      <c r="Y997" s="21"/>
    </row>
    <row r="998" spans="2:25" s="16" customFormat="1">
      <c r="B998" s="973">
        <v>8</v>
      </c>
      <c r="C998" s="18" t="str">
        <f t="shared" si="335"/>
        <v>Air-source heat pump</v>
      </c>
      <c r="D998" s="18"/>
      <c r="E998" s="18"/>
      <c r="F998" s="21">
        <v>0</v>
      </c>
      <c r="G998" s="21">
        <v>0</v>
      </c>
      <c r="H998" s="21">
        <v>0</v>
      </c>
      <c r="I998" s="21">
        <v>0.92904525215586398</v>
      </c>
      <c r="J998" s="21">
        <v>1.7958180042005274</v>
      </c>
      <c r="K998" s="21">
        <v>2.5885747653699438</v>
      </c>
      <c r="L998" s="21">
        <v>3.346430507699202</v>
      </c>
      <c r="M998" s="21">
        <v>4.0557780914358812</v>
      </c>
      <c r="N998" s="21">
        <v>4.718867597447761</v>
      </c>
      <c r="O998" s="21">
        <v>5.3378570955361866</v>
      </c>
      <c r="P998" s="18"/>
      <c r="W998" s="21"/>
      <c r="X998" s="21"/>
      <c r="Y998" s="21"/>
    </row>
    <row r="999" spans="2:25" s="16" customFormat="1">
      <c r="B999" s="973">
        <v>9</v>
      </c>
      <c r="C999" s="18" t="str">
        <f t="shared" si="335"/>
        <v>Ground-source heat pump</v>
      </c>
      <c r="D999" s="18"/>
      <c r="E999" s="18"/>
      <c r="F999" s="21">
        <v>0</v>
      </c>
      <c r="G999" s="21">
        <v>0</v>
      </c>
      <c r="H999" s="21">
        <v>0</v>
      </c>
      <c r="I999" s="21">
        <v>0.48054064766682625</v>
      </c>
      <c r="J999" s="21">
        <v>0.9288713814830315</v>
      </c>
      <c r="K999" s="21">
        <v>1.338917982087902</v>
      </c>
      <c r="L999" s="21">
        <v>1.7309123315685531</v>
      </c>
      <c r="M999" s="21">
        <v>2.0978162541909735</v>
      </c>
      <c r="N999" s="21">
        <v>2.4407935848867734</v>
      </c>
      <c r="O999" s="21">
        <v>2.7609605666566481</v>
      </c>
      <c r="P999" s="18"/>
      <c r="W999" s="21"/>
      <c r="X999" s="21"/>
      <c r="Y999" s="21"/>
    </row>
    <row r="1000" spans="2:25" s="16" customFormat="1">
      <c r="B1000" s="973">
        <v>10</v>
      </c>
      <c r="C1000" s="18" t="str">
        <f t="shared" si="335"/>
        <v>Geothermal electricity</v>
      </c>
      <c r="D1000" s="18"/>
      <c r="E1000" s="18"/>
      <c r="F1000" s="21">
        <v>0</v>
      </c>
      <c r="G1000" s="21">
        <v>0</v>
      </c>
      <c r="H1000" s="21">
        <v>0</v>
      </c>
      <c r="I1000" s="21">
        <v>1.6018021588894208E-2</v>
      </c>
      <c r="J1000" s="21">
        <v>3.0962379382767715E-2</v>
      </c>
      <c r="K1000" s="21">
        <v>4.4630599402930071E-2</v>
      </c>
      <c r="L1000" s="21">
        <v>5.7697077718951766E-2</v>
      </c>
      <c r="M1000" s="21">
        <v>6.9927208473032437E-2</v>
      </c>
      <c r="N1000" s="21">
        <v>8.1359786162892453E-2</v>
      </c>
      <c r="O1000" s="21">
        <v>9.2032018888554945E-2</v>
      </c>
      <c r="P1000" s="18"/>
      <c r="W1000" s="21"/>
      <c r="X1000" s="21"/>
      <c r="Y1000" s="21"/>
    </row>
    <row r="1001" spans="2:25" s="16" customFormat="1">
      <c r="B1001" s="973">
        <v>11</v>
      </c>
      <c r="C1001" s="18" t="str">
        <f t="shared" si="335"/>
        <v>Community scale gas CHP with local district heating</v>
      </c>
      <c r="D1001" s="18"/>
      <c r="E1001" s="18"/>
      <c r="F1001" s="21">
        <v>0</v>
      </c>
      <c r="G1001" s="21">
        <v>0</v>
      </c>
      <c r="H1001" s="21">
        <v>0</v>
      </c>
      <c r="I1001" s="21">
        <v>0</v>
      </c>
      <c r="J1001" s="21">
        <v>0</v>
      </c>
      <c r="K1001" s="21">
        <v>0</v>
      </c>
      <c r="L1001" s="21">
        <v>0</v>
      </c>
      <c r="M1001" s="21">
        <v>0</v>
      </c>
      <c r="N1001" s="21">
        <v>0</v>
      </c>
      <c r="O1001" s="21">
        <v>0</v>
      </c>
      <c r="P1001" s="18"/>
      <c r="W1001" s="21"/>
      <c r="X1001" s="21"/>
      <c r="Y1001" s="21"/>
    </row>
    <row r="1002" spans="2:25" s="16" customFormat="1">
      <c r="B1002" s="973">
        <v>12</v>
      </c>
      <c r="C1002" s="18" t="str">
        <f t="shared" si="335"/>
        <v>Community scale solid-fuel CHP with local district heating</v>
      </c>
      <c r="D1002" s="18"/>
      <c r="E1002" s="18"/>
      <c r="F1002" s="21">
        <v>0</v>
      </c>
      <c r="G1002" s="21">
        <v>0</v>
      </c>
      <c r="H1002" s="21">
        <v>0</v>
      </c>
      <c r="I1002" s="21">
        <v>0</v>
      </c>
      <c r="J1002" s="21">
        <v>0</v>
      </c>
      <c r="K1002" s="21">
        <v>0</v>
      </c>
      <c r="L1002" s="21">
        <v>0</v>
      </c>
      <c r="M1002" s="21">
        <v>0</v>
      </c>
      <c r="N1002" s="21">
        <v>0</v>
      </c>
      <c r="O1002" s="21">
        <v>0</v>
      </c>
      <c r="P1002" s="18"/>
      <c r="W1002" s="21"/>
      <c r="X1002" s="21"/>
      <c r="Y1002" s="21"/>
    </row>
    <row r="1003" spans="2:25" s="16" customFormat="1">
      <c r="B1003" s="973">
        <v>13</v>
      </c>
      <c r="C1003" s="18" t="str">
        <f t="shared" si="335"/>
        <v>Long distance district heating from large power stations</v>
      </c>
      <c r="D1003" s="18"/>
      <c r="E1003" s="18"/>
      <c r="F1003" s="21">
        <v>0</v>
      </c>
      <c r="G1003" s="21">
        <v>0</v>
      </c>
      <c r="H1003" s="21">
        <v>0</v>
      </c>
      <c r="I1003" s="21">
        <v>0.17619823747783631</v>
      </c>
      <c r="J1003" s="21">
        <v>0.34058617321044493</v>
      </c>
      <c r="K1003" s="21">
        <v>0.49093659343223078</v>
      </c>
      <c r="L1003" s="21">
        <v>0.63466785490846944</v>
      </c>
      <c r="M1003" s="21">
        <v>0.76919929320335678</v>
      </c>
      <c r="N1003" s="21">
        <v>0.89495764779181686</v>
      </c>
      <c r="O1003" s="21">
        <v>1.0123522077741043</v>
      </c>
      <c r="P1003" s="18"/>
      <c r="W1003" s="21"/>
      <c r="X1003" s="21"/>
      <c r="Y1003" s="21"/>
    </row>
    <row r="1004" spans="2:25" s="16" customFormat="1">
      <c r="B1004" s="973"/>
      <c r="C1004" s="18"/>
      <c r="D1004" s="18"/>
      <c r="E1004" s="18" t="str">
        <f>Preferences.PowerUnits&amp;"th"</f>
        <v>GWth</v>
      </c>
      <c r="F1004" s="1452">
        <f t="shared" ref="F1004:O1004" si="336">SUM(F991:F1003)</f>
        <v>12.002293406342684</v>
      </c>
      <c r="G1004" s="1452">
        <f t="shared" si="336"/>
        <v>11.819478156798947</v>
      </c>
      <c r="H1004" s="1452">
        <f t="shared" si="336"/>
        <v>11.531403344144824</v>
      </c>
      <c r="I1004" s="1452">
        <f t="shared" si="336"/>
        <v>11.211934967257148</v>
      </c>
      <c r="J1004" s="1452">
        <f t="shared" si="336"/>
        <v>10.83628499194888</v>
      </c>
      <c r="K1004" s="1452">
        <f t="shared" si="336"/>
        <v>10.413385400607853</v>
      </c>
      <c r="L1004" s="1452">
        <f t="shared" si="336"/>
        <v>10.096682364674136</v>
      </c>
      <c r="M1004" s="1452">
        <f t="shared" si="336"/>
        <v>9.7896112398520287</v>
      </c>
      <c r="N1004" s="1452">
        <f t="shared" si="336"/>
        <v>9.4918790901999941</v>
      </c>
      <c r="O1004" s="1452">
        <f t="shared" si="336"/>
        <v>9.2032018888554923</v>
      </c>
      <c r="P1004" s="18"/>
      <c r="W1004" s="21"/>
      <c r="X1004" s="21"/>
      <c r="Y1004" s="21"/>
    </row>
    <row r="1005" spans="2:25" s="16" customFormat="1"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W1005" s="21"/>
      <c r="X1005" s="21"/>
      <c r="Y1005" s="21"/>
    </row>
    <row r="1006" spans="2:25" s="16" customFormat="1">
      <c r="B1006" s="1298"/>
      <c r="C1006" s="1298" t="s">
        <v>1618</v>
      </c>
      <c r="D1006" s="18"/>
      <c r="E1006" s="568"/>
      <c r="F1006" s="568">
        <v>2007</v>
      </c>
      <c r="G1006" s="568">
        <v>2010</v>
      </c>
      <c r="H1006" s="568">
        <v>2015</v>
      </c>
      <c r="I1006" s="568">
        <v>2020</v>
      </c>
      <c r="J1006" s="568">
        <v>2025</v>
      </c>
      <c r="K1006" s="568">
        <v>2030</v>
      </c>
      <c r="L1006" s="568">
        <v>2035</v>
      </c>
      <c r="M1006" s="568">
        <v>2040</v>
      </c>
      <c r="N1006" s="568">
        <v>2045</v>
      </c>
      <c r="O1006" s="568">
        <v>2050</v>
      </c>
      <c r="P1006" s="18"/>
      <c r="W1006" s="21"/>
      <c r="X1006" s="21"/>
      <c r="Y1006" s="21"/>
    </row>
    <row r="1007" spans="2:25" s="16" customFormat="1">
      <c r="B1007" s="973" t="s">
        <v>40</v>
      </c>
      <c r="C1007" s="16" t="str">
        <f>INDEX(Vectors[Description], MATCH($B1007, Vectors[Code], 0))</f>
        <v>Electricity (delivered to end user)</v>
      </c>
      <c r="D1007" s="18"/>
      <c r="E1007" s="18"/>
      <c r="F1007" s="21">
        <f t="array" ref="F1007">SUM(F$991:F$1003/$M$183:$M$195*($B1007=$F$182:$N$182)*($F$183:$N$195))</f>
        <v>-1.2002293406342686</v>
      </c>
      <c r="G1007" s="21">
        <f t="array" ref="G1007">SUM(G$991:G$1003/$M$183:$M$195*($B1007=$F$182:$N$182)*($F$183:$N$195))</f>
        <v>-1.0106981228733241</v>
      </c>
      <c r="H1007" s="21">
        <f t="array" ref="H1007">SUM(H$991:H$1003/$M$183:$M$195*($B1007=$F$182:$N$182)*($F$183:$N$195))</f>
        <v>-0.7533117895970024</v>
      </c>
      <c r="I1007" s="21">
        <f t="array" ref="I1007">SUM(I$991:I$1003/$M$183:$M$195*($B1007=$F$182:$N$182)*($F$183:$N$195))</f>
        <v>-1.3057354311385252</v>
      </c>
      <c r="J1007" s="21">
        <f t="array" ref="J1007">SUM(J$991:J$1003/$M$183:$M$195*($B1007=$F$182:$N$182)*($F$183:$N$195))</f>
        <v>-1.8160618977671068</v>
      </c>
      <c r="K1007" s="21">
        <f t="array" ref="K1007">SUM(K$991:K$1003/$M$183:$M$195*($B1007=$F$182:$N$182)*($F$183:$N$195))</f>
        <v>-2.2776280371196131</v>
      </c>
      <c r="L1007" s="21">
        <f t="array" ref="L1007">SUM(L$991:L$1003/$M$183:$M$195*($B1007=$F$182:$N$182)*($F$183:$N$195))</f>
        <v>-2.7245950200975084</v>
      </c>
      <c r="M1007" s="21">
        <f t="array" ref="M1007">SUM(M$991:M$1003/$M$183:$M$195*($B1007=$F$182:$N$182)*($F$183:$N$195))</f>
        <v>-3.1422579008928384</v>
      </c>
      <c r="N1007" s="21">
        <f t="array" ref="N1007">SUM(N$991:N$1003/$M$183:$M$195*($B1007=$F$182:$N$182)*($F$183:$N$195))</f>
        <v>-3.5319860186751355</v>
      </c>
      <c r="O1007" s="21">
        <f t="array" ref="O1007">SUM(O$991:O$1003/$M$183:$M$195*($B1007=$F$182:$N$182)*($F$183:$N$195))</f>
        <v>-3.8950925165964163</v>
      </c>
      <c r="P1007" s="18"/>
      <c r="W1007" s="21"/>
      <c r="X1007" s="21"/>
      <c r="Y1007" s="21"/>
    </row>
    <row r="1008" spans="2:25" s="16" customFormat="1">
      <c r="B1008" s="973" t="s">
        <v>41</v>
      </c>
      <c r="C1008" s="16" t="str">
        <f>INDEX(Vectors[Description], MATCH($B1008, Vectors[Code], 0))</f>
        <v>Electricity (supplied to grid)</v>
      </c>
      <c r="D1008" s="18"/>
      <c r="E1008" s="18"/>
      <c r="F1008" s="21">
        <f t="array" ref="F1008">SUM(F$991:F$1003/$M$183:$M$195*($B1008=$F$182:$N$182)*($F$183:$N$195))</f>
        <v>0</v>
      </c>
      <c r="G1008" s="21">
        <f t="array" ref="G1008">SUM(G$991:G$1003/$M$183:$M$195*($B1008=$F$182:$N$182)*($F$183:$N$195))</f>
        <v>0</v>
      </c>
      <c r="H1008" s="21">
        <f t="array" ref="H1008">SUM(H$991:H$1003/$M$183:$M$195*($B1008=$F$182:$N$182)*($F$183:$N$195))</f>
        <v>0</v>
      </c>
      <c r="I1008" s="21">
        <f t="array" ref="I1008">SUM(I$991:I$1003/$M$183:$M$195*($B1008=$F$182:$N$182)*($F$183:$N$195))</f>
        <v>0</v>
      </c>
      <c r="J1008" s="21">
        <f t="array" ref="J1008">SUM(J$991:J$1003/$M$183:$M$195*($B1008=$F$182:$N$182)*($F$183:$N$195))</f>
        <v>0</v>
      </c>
      <c r="K1008" s="21">
        <f t="array" ref="K1008">SUM(K$991:K$1003/$M$183:$M$195*($B1008=$F$182:$N$182)*($F$183:$N$195))</f>
        <v>0</v>
      </c>
      <c r="L1008" s="21">
        <f t="array" ref="L1008">SUM(L$991:L$1003/$M$183:$M$195*($B1008=$F$182:$N$182)*($F$183:$N$195))</f>
        <v>0</v>
      </c>
      <c r="M1008" s="21">
        <f t="array" ref="M1008">SUM(M$991:M$1003/$M$183:$M$195*($B1008=$F$182:$N$182)*($F$183:$N$195))</f>
        <v>0</v>
      </c>
      <c r="N1008" s="21">
        <f t="array" ref="N1008">SUM(N$991:N$1003/$M$183:$M$195*($B1008=$F$182:$N$182)*($F$183:$N$195))</f>
        <v>0</v>
      </c>
      <c r="O1008" s="21">
        <f t="array" ref="O1008">SUM(O$991:O$1003/$M$183:$M$195*($B1008=$F$182:$N$182)*($F$183:$N$195))</f>
        <v>0</v>
      </c>
      <c r="P1008" s="18"/>
      <c r="W1008" s="21"/>
      <c r="X1008" s="21"/>
      <c r="Y1008" s="21"/>
    </row>
    <row r="1009" spans="2:25" s="16" customFormat="1">
      <c r="B1009" s="973" t="s">
        <v>42</v>
      </c>
      <c r="C1009" s="16" t="str">
        <f>INDEX(Vectors[Description], MATCH($B1009, Vectors[Code], 0))</f>
        <v>Solid hydrocarbons</v>
      </c>
      <c r="D1009" s="18"/>
      <c r="E1009" s="18"/>
      <c r="F1009" s="21">
        <f t="array" ref="F1009">SUM(F$991:F$1003/$M$183:$M$195*($B1009=$F$182:$N$182)*($F$183:$N$195))</f>
        <v>-0.5518295819008131</v>
      </c>
      <c r="G1009" s="21">
        <f t="array" ref="G1009">SUM(G$991:G$1003/$M$183:$M$195*($B1009=$F$182:$N$182)*($F$183:$N$195))</f>
        <v>-0.46468879212566616</v>
      </c>
      <c r="H1009" s="21">
        <f t="array" ref="H1009">SUM(H$991:H$1003/$M$183:$M$195*($B1009=$F$182:$N$182)*($F$183:$N$195))</f>
        <v>-0.3463502480905758</v>
      </c>
      <c r="I1009" s="21">
        <f t="array" ref="I1009">SUM(I$991:I$1003/$M$183:$M$195*($B1009=$F$182:$N$182)*($F$183:$N$195))</f>
        <v>-0.28864412968882969</v>
      </c>
      <c r="J1009" s="21">
        <f t="array" ref="J1009">SUM(J$991:J$1003/$M$183:$M$195*($B1009=$F$182:$N$182)*($F$183:$N$195))</f>
        <v>-0.23247536637708968</v>
      </c>
      <c r="K1009" s="21">
        <f t="array" ref="K1009">SUM(K$991:K$1003/$M$183:$M$195*($B1009=$F$182:$N$182)*($F$183:$N$195))</f>
        <v>-0.17872037235139773</v>
      </c>
      <c r="L1009" s="21">
        <f t="array" ref="L1009">SUM(L$991:L$1003/$M$183:$M$195*($B1009=$F$182:$N$182)*($F$183:$N$195))</f>
        <v>-0.12996238870194088</v>
      </c>
      <c r="M1009" s="21">
        <f t="array" ref="M1009">SUM(M$991:M$1003/$M$183:$M$195*($B1009=$F$182:$N$182)*($F$183:$N$195))</f>
        <v>-8.4005706194752727E-2</v>
      </c>
      <c r="N1009" s="21">
        <f t="array" ref="N1009">SUM(N$991:N$1003/$M$183:$M$195*($B1009=$F$182:$N$182)*($F$183:$N$195))</f>
        <v>-4.0725005579097161E-2</v>
      </c>
      <c r="O1009" s="21">
        <f t="array" ref="O1009">SUM(O$991:O$1003/$M$183:$M$195*($B1009=$F$182:$N$182)*($F$183:$N$195))</f>
        <v>0</v>
      </c>
      <c r="P1009" s="18"/>
      <c r="W1009" s="21"/>
      <c r="X1009" s="21"/>
      <c r="Y1009" s="21"/>
    </row>
    <row r="1010" spans="2:25" s="16" customFormat="1">
      <c r="B1010" s="973" t="s">
        <v>44</v>
      </c>
      <c r="C1010" s="16" t="str">
        <f>INDEX(Vectors[Description], MATCH($B1010, Vectors[Code], 0))</f>
        <v>Liquid hydrocarbons</v>
      </c>
      <c r="D1010" s="18"/>
      <c r="E1010" s="18"/>
      <c r="F1010" s="21">
        <f t="array" ref="F1010">SUM(F$991:F$1003/$M$183:$M$195*($B1010=$F$182:$N$182)*($F$183:$N$195))</f>
        <v>-0.49493993428217264</v>
      </c>
      <c r="G1010" s="21">
        <f t="array" ref="G1010">SUM(G$991:G$1003/$M$183:$M$195*($B1010=$F$182:$N$182)*($F$183:$N$195))</f>
        <v>-0.41678273108178304</v>
      </c>
      <c r="H1010" s="21">
        <f t="array" ref="H1010">SUM(H$991:H$1003/$M$183:$M$195*($B1010=$F$182:$N$182)*($F$183:$N$195))</f>
        <v>-0.31064403694721748</v>
      </c>
      <c r="I1010" s="21">
        <f t="array" ref="I1010">SUM(I$991:I$1003/$M$183:$M$195*($B1010=$F$182:$N$182)*($F$183:$N$195))</f>
        <v>-0.2588870029167854</v>
      </c>
      <c r="J1010" s="21">
        <f t="array" ref="J1010">SUM(J$991:J$1003/$M$183:$M$195*($B1010=$F$182:$N$182)*($F$183:$N$195))</f>
        <v>-0.20850883376089488</v>
      </c>
      <c r="K1010" s="21">
        <f t="array" ref="K1010">SUM(K$991:K$1003/$M$183:$M$195*($B1010=$F$182:$N$182)*($F$183:$N$195))</f>
        <v>-0.16029559169661448</v>
      </c>
      <c r="L1010" s="21">
        <f t="array" ref="L1010">SUM(L$991:L$1003/$M$183:$M$195*($B1010=$F$182:$N$182)*($F$183:$N$195))</f>
        <v>-0.11656420429967893</v>
      </c>
      <c r="M1010" s="21">
        <f t="array" ref="M1010">SUM(M$991:M$1003/$M$183:$M$195*($B1010=$F$182:$N$182)*($F$183:$N$195))</f>
        <v>-7.5345324112819467E-2</v>
      </c>
      <c r="N1010" s="21">
        <f t="array" ref="N1010">SUM(N$991:N$1003/$M$183:$M$195*($B1010=$F$182:$N$182)*($F$183:$N$195))</f>
        <v>-3.6526551395685079E-2</v>
      </c>
      <c r="O1010" s="21">
        <f t="array" ref="O1010">SUM(O$991:O$1003/$M$183:$M$195*($B1010=$F$182:$N$182)*($F$183:$N$195))</f>
        <v>0</v>
      </c>
      <c r="P1010" s="18"/>
      <c r="W1010" s="21"/>
      <c r="X1010" s="21"/>
      <c r="Y1010" s="21"/>
    </row>
    <row r="1011" spans="2:25" s="16" customFormat="1">
      <c r="B1011" s="973" t="s">
        <v>45</v>
      </c>
      <c r="C1011" s="16" t="str">
        <f>INDEX(Vectors[Description], MATCH($B1011, Vectors[Code], 0))</f>
        <v>Gaseous hydrocarbons</v>
      </c>
      <c r="D1011" s="18"/>
      <c r="E1011" s="18"/>
      <c r="F1011" s="21">
        <f t="array" ref="F1011">SUM(F$991:F$1003/$M$183:$M$195*($B1011=$F$182:$N$182)*($F$183:$N$195))</f>
        <v>-12.559369199205035</v>
      </c>
      <c r="G1011" s="21">
        <f t="array" ref="G1011">SUM(G$991:G$1003/$M$183:$M$195*($B1011=$F$182:$N$182)*($F$183:$N$195))</f>
        <v>-12.541265060247177</v>
      </c>
      <c r="H1011" s="21">
        <f t="array" ref="H1011">SUM(H$991:H$1003/$M$183:$M$195*($B1011=$F$182:$N$182)*($F$183:$N$195))</f>
        <v>-12.338577136911233</v>
      </c>
      <c r="I1011" s="21">
        <f t="array" ref="I1011">SUM(I$991:I$1003/$M$183:$M$195*($B1011=$F$182:$N$182)*($F$183:$N$195))</f>
        <v>-10.282821735848334</v>
      </c>
      <c r="J1011" s="21">
        <f t="array" ref="J1011">SUM(J$991:J$1003/$M$183:$M$195*($B1011=$F$182:$N$182)*($F$183:$N$195))</f>
        <v>-8.2818339420541935</v>
      </c>
      <c r="K1011" s="21">
        <f t="array" ref="K1011">SUM(K$991:K$1003/$M$183:$M$195*($B1011=$F$182:$N$182)*($F$183:$N$195))</f>
        <v>-6.3668356305566665</v>
      </c>
      <c r="L1011" s="21">
        <f t="array" ref="L1011">SUM(L$991:L$1003/$M$183:$M$195*($B1011=$F$182:$N$182)*($F$183:$N$195))</f>
        <v>-4.6298536430578388</v>
      </c>
      <c r="M1011" s="21">
        <f t="array" ref="M1011">SUM(M$991:M$1003/$M$183:$M$195*($B1011=$F$182:$N$182)*($F$183:$N$195))</f>
        <v>-2.9926667918932619</v>
      </c>
      <c r="N1011" s="21">
        <f t="array" ref="N1011">SUM(N$991:N$1003/$M$183:$M$195*($B1011=$F$182:$N$182)*($F$183:$N$195))</f>
        <v>-1.4508106331929715</v>
      </c>
      <c r="O1011" s="21">
        <f t="array" ref="O1011">SUM(O$991:O$1003/$M$183:$M$195*($B1011=$F$182:$N$182)*($F$183:$N$195))</f>
        <v>0</v>
      </c>
      <c r="P1011" s="18"/>
      <c r="W1011" s="21"/>
      <c r="X1011" s="21"/>
      <c r="Y1011" s="21"/>
    </row>
    <row r="1012" spans="2:25" s="16" customFormat="1">
      <c r="B1012" s="973" t="s">
        <v>625</v>
      </c>
      <c r="C1012" s="16" t="str">
        <f>INDEX(Vectors[Description], MATCH($B1012, Vectors[Code], 0))</f>
        <v>Heat transport</v>
      </c>
      <c r="D1012" s="18"/>
      <c r="E1012" s="18"/>
      <c r="F1012" s="21">
        <f t="array" ref="F1012">SUM(F$991:F$1003/$M$183:$M$195*($B1012=$F$182:$N$182)*($F$183:$N$195))</f>
        <v>0</v>
      </c>
      <c r="G1012" s="21">
        <f t="array" ref="G1012">SUM(G$991:G$1003/$M$183:$M$195*($B1012=$F$182:$N$182)*($F$183:$N$195))</f>
        <v>0</v>
      </c>
      <c r="H1012" s="21">
        <f t="array" ref="H1012">SUM(H$991:H$1003/$M$183:$M$195*($B1012=$F$182:$N$182)*($F$183:$N$195))</f>
        <v>0</v>
      </c>
      <c r="I1012" s="21">
        <f t="array" ref="I1012">SUM(I$991:I$1003/$M$183:$M$195*($B1012=$F$182:$N$182)*($F$183:$N$195))</f>
        <v>-0.19577581941981811</v>
      </c>
      <c r="J1012" s="21">
        <f t="array" ref="J1012">SUM(J$991:J$1003/$M$183:$M$195*($B1012=$F$182:$N$182)*($F$183:$N$195))</f>
        <v>-0.3784290813449388</v>
      </c>
      <c r="K1012" s="21">
        <f t="array" ref="K1012">SUM(K$991:K$1003/$M$183:$M$195*($B1012=$F$182:$N$182)*($F$183:$N$195))</f>
        <v>-0.54548510381358972</v>
      </c>
      <c r="L1012" s="21">
        <f t="array" ref="L1012">SUM(L$991:L$1003/$M$183:$M$195*($B1012=$F$182:$N$182)*($F$183:$N$195))</f>
        <v>-0.70518650545385497</v>
      </c>
      <c r="M1012" s="21">
        <f t="array" ref="M1012">SUM(M$991:M$1003/$M$183:$M$195*($B1012=$F$182:$N$182)*($F$183:$N$195))</f>
        <v>-0.85466588133706312</v>
      </c>
      <c r="N1012" s="21">
        <f t="array" ref="N1012">SUM(N$991:N$1003/$M$183:$M$195*($B1012=$F$182:$N$182)*($F$183:$N$195))</f>
        <v>-0.99439738643535203</v>
      </c>
      <c r="O1012" s="21">
        <f t="array" ref="O1012">SUM(O$991:O$1003/$M$183:$M$195*($B1012=$F$182:$N$182)*($F$183:$N$195))</f>
        <v>-1.1248357864156715</v>
      </c>
      <c r="P1012" s="18"/>
      <c r="W1012" s="21"/>
      <c r="X1012" s="21"/>
      <c r="Y1012" s="21"/>
    </row>
    <row r="1013" spans="2:25" s="16" customFormat="1">
      <c r="B1013" s="973" t="s">
        <v>98</v>
      </c>
      <c r="C1013" s="16" t="str">
        <f>INDEX(Vectors[Description], MATCH($B1013, Vectors[Code], 0))</f>
        <v>Environmental heat</v>
      </c>
      <c r="D1013" s="18"/>
      <c r="E1013" s="18"/>
      <c r="F1013" s="21">
        <f t="array" ref="F1013">SUM(F$991:F$1003/$M$183:$M$195*($B1013=$F$182:$N$182)*($F$183:$N$195))</f>
        <v>0</v>
      </c>
      <c r="G1013" s="21">
        <f t="array" ref="G1013">SUM(G$991:G$1003/$M$183:$M$195*($B1013=$F$182:$N$182)*($F$183:$N$195))</f>
        <v>0</v>
      </c>
      <c r="H1013" s="21">
        <f t="array" ref="H1013">SUM(H$991:H$1003/$M$183:$M$195*($B1013=$F$182:$N$182)*($F$183:$N$195))</f>
        <v>0</v>
      </c>
      <c r="I1013" s="21">
        <f t="array" ref="I1013">SUM(I$991:I$1003/$M$183:$M$195*($B1013=$F$182:$N$182)*($F$183:$N$195))</f>
        <v>-0.75049618203842172</v>
      </c>
      <c r="J1013" s="21">
        <f t="array" ref="J1013">SUM(J$991:J$1003/$M$183:$M$195*($B1013=$F$182:$N$182)*($F$183:$N$195))</f>
        <v>-1.4506877384722314</v>
      </c>
      <c r="K1013" s="21">
        <f t="array" ref="K1013">SUM(K$991:K$1003/$M$183:$M$195*($B1013=$F$182:$N$182)*($F$183:$N$195))</f>
        <v>-2.0910881077353816</v>
      </c>
      <c r="L1013" s="21">
        <f t="array" ref="L1013">SUM(L$991:L$1003/$M$183:$M$195*($B1013=$F$182:$N$182)*($F$183:$N$195))</f>
        <v>-2.7032949295604412</v>
      </c>
      <c r="M1013" s="21">
        <f t="array" ref="M1013">SUM(M$991:M$1003/$M$183:$M$195*($B1013=$F$182:$N$182)*($F$183:$N$195))</f>
        <v>-3.2763161597935233</v>
      </c>
      <c r="N1013" s="21">
        <f t="array" ref="N1013">SUM(N$991:N$1003/$M$183:$M$195*($B1013=$F$182:$N$182)*($F$183:$N$195))</f>
        <v>-3.8119694462796909</v>
      </c>
      <c r="O1013" s="21">
        <f t="array" ref="O1013">SUM(O$991:O$1003/$M$183:$M$195*($B1013=$F$182:$N$182)*($F$183:$N$195))</f>
        <v>-4.311998108994719</v>
      </c>
      <c r="P1013" s="18"/>
      <c r="W1013" s="21"/>
      <c r="X1013" s="21"/>
      <c r="Y1013" s="21"/>
    </row>
    <row r="1014" spans="2:25" s="16" customFormat="1">
      <c r="B1014" s="973" t="s">
        <v>6</v>
      </c>
      <c r="C1014" s="16" t="str">
        <f>INDEX(Vectors[Description], MATCH($B1014, Vectors[Code], 0))</f>
        <v>Heating &amp; cooling</v>
      </c>
      <c r="D1014" s="18"/>
      <c r="E1014" s="18"/>
      <c r="F1014" s="21">
        <f t="array" ref="F1014">SUM(F$991:F$1003/$M$183:$M$195*($B1014=$F$182:$N$182)*($F$183:$N$195))</f>
        <v>12.002293406342684</v>
      </c>
      <c r="G1014" s="21">
        <f t="array" ref="G1014">SUM(G$991:G$1003/$M$183:$M$195*($B1014=$F$182:$N$182)*($F$183:$N$195))</f>
        <v>11.819478156798947</v>
      </c>
      <c r="H1014" s="21">
        <f t="array" ref="H1014">SUM(H$991:H$1003/$M$183:$M$195*($B1014=$F$182:$N$182)*($F$183:$N$195))</f>
        <v>11.531403344144824</v>
      </c>
      <c r="I1014" s="21">
        <f t="array" ref="I1014">SUM(I$991:I$1003/$M$183:$M$195*($B1014=$F$182:$N$182)*($F$183:$N$195))</f>
        <v>11.211934967257148</v>
      </c>
      <c r="J1014" s="21">
        <f t="array" ref="J1014">SUM(J$991:J$1003/$M$183:$M$195*($B1014=$F$182:$N$182)*($F$183:$N$195))</f>
        <v>10.83628499194888</v>
      </c>
      <c r="K1014" s="21">
        <f t="array" ref="K1014">SUM(K$991:K$1003/$M$183:$M$195*($B1014=$F$182:$N$182)*($F$183:$N$195))</f>
        <v>10.413385400607853</v>
      </c>
      <c r="L1014" s="21">
        <f t="array" ref="L1014">SUM(L$991:L$1003/$M$183:$M$195*($B1014=$F$182:$N$182)*($F$183:$N$195))</f>
        <v>10.096682364674136</v>
      </c>
      <c r="M1014" s="21">
        <f t="array" ref="M1014">SUM(M$991:M$1003/$M$183:$M$195*($B1014=$F$182:$N$182)*($F$183:$N$195))</f>
        <v>9.7896112398520287</v>
      </c>
      <c r="N1014" s="21">
        <f t="array" ref="N1014">SUM(N$991:N$1003/$M$183:$M$195*($B1014=$F$182:$N$182)*($F$183:$N$195))</f>
        <v>9.4918790901999941</v>
      </c>
      <c r="O1014" s="21">
        <f t="array" ref="O1014">SUM(O$991:O$1003/$M$183:$M$195*($B1014=$F$182:$N$182)*($F$183:$N$195))</f>
        <v>9.2032018888554923</v>
      </c>
      <c r="P1014" s="18"/>
      <c r="W1014" s="21"/>
      <c r="X1014" s="21"/>
      <c r="Y1014" s="21"/>
    </row>
    <row r="1015" spans="2:25" s="16" customFormat="1">
      <c r="B1015" s="973" t="s">
        <v>31</v>
      </c>
      <c r="C1015" s="16" t="str">
        <f>INDEX(Vectors[Description], MATCH($B1015, Vectors[Code], 0))</f>
        <v>Conversion losses</v>
      </c>
      <c r="D1015" s="18"/>
      <c r="E1015" s="18"/>
      <c r="F1015" s="21">
        <f t="array" ref="F1015">SUM(F$991:F$1003/$M$183:$M$195*($B1015=$F$182:$N$182)*($F$183:$N$195))</f>
        <v>2.804074649679603</v>
      </c>
      <c r="G1015" s="21">
        <f t="array" ref="G1015">SUM(G$991:G$1003/$M$183:$M$195*($B1015=$F$182:$N$182)*($F$183:$N$195))</f>
        <v>2.6139565495290036</v>
      </c>
      <c r="H1015" s="21">
        <f t="array" ref="H1015">SUM(H$991:H$1003/$M$183:$M$195*($B1015=$F$182:$N$182)*($F$183:$N$195))</f>
        <v>2.2174798674012051</v>
      </c>
      <c r="I1015" s="21">
        <f t="array" ref="I1015">SUM(I$991:I$1003/$M$183:$M$195*($B1015=$F$182:$N$182)*($F$183:$N$195))</f>
        <v>1.8704253337935679</v>
      </c>
      <c r="J1015" s="21">
        <f t="array" ref="J1015">SUM(J$991:J$1003/$M$183:$M$195*($B1015=$F$182:$N$182)*($F$183:$N$195))</f>
        <v>1.5317118678275747</v>
      </c>
      <c r="K1015" s="21">
        <f t="array" ref="K1015">SUM(K$991:K$1003/$M$183:$M$195*($B1015=$F$182:$N$182)*($F$183:$N$195))</f>
        <v>1.2066674426654111</v>
      </c>
      <c r="L1015" s="21">
        <f t="array" ref="L1015">SUM(L$991:L$1003/$M$183:$M$195*($B1015=$F$182:$N$182)*($F$183:$N$195))</f>
        <v>0.91277432649712764</v>
      </c>
      <c r="M1015" s="21">
        <f t="array" ref="M1015">SUM(M$991:M$1003/$M$183:$M$195*($B1015=$F$182:$N$182)*($F$183:$N$195))</f>
        <v>0.6356465243722309</v>
      </c>
      <c r="N1015" s="21">
        <f t="array" ref="N1015">SUM(N$991:N$1003/$M$183:$M$195*($B1015=$F$182:$N$182)*($F$183:$N$195))</f>
        <v>0.3745359513579376</v>
      </c>
      <c r="O1015" s="21">
        <f t="array" ref="O1015">SUM(O$991:O$1003/$M$183:$M$195*($B1015=$F$182:$N$182)*($F$183:$N$195))</f>
        <v>0.12872452315131216</v>
      </c>
      <c r="P1015" s="18"/>
      <c r="W1015" s="21"/>
      <c r="X1015" s="21"/>
      <c r="Y1015" s="21"/>
    </row>
    <row r="1016" spans="2:25" s="16" customFormat="1">
      <c r="B1016" s="973"/>
      <c r="D1016" s="18"/>
      <c r="E1016" s="18" t="str">
        <f>Preferences.PowerUnits</f>
        <v>GW</v>
      </c>
      <c r="F1016" s="1452">
        <f t="shared" ref="F1016:O1016" si="337">SUM(F1007:F1015)</f>
        <v>0</v>
      </c>
      <c r="G1016" s="1452">
        <f t="shared" si="337"/>
        <v>0</v>
      </c>
      <c r="H1016" s="1452">
        <f t="shared" si="337"/>
        <v>0</v>
      </c>
      <c r="I1016" s="1452">
        <f t="shared" si="337"/>
        <v>1.7763568394002505E-15</v>
      </c>
      <c r="J1016" s="1452">
        <f t="shared" si="337"/>
        <v>0</v>
      </c>
      <c r="K1016" s="1452">
        <f t="shared" si="337"/>
        <v>0</v>
      </c>
      <c r="L1016" s="1452">
        <f t="shared" si="337"/>
        <v>0</v>
      </c>
      <c r="M1016" s="1452">
        <f t="shared" si="337"/>
        <v>0</v>
      </c>
      <c r="N1016" s="1452">
        <f t="shared" si="337"/>
        <v>-4.4408920985006262E-16</v>
      </c>
      <c r="O1016" s="1452">
        <f t="shared" si="337"/>
        <v>-2.1649348980190553E-15</v>
      </c>
      <c r="P1016" s="18"/>
      <c r="W1016" s="21"/>
      <c r="X1016" s="21"/>
      <c r="Y1016" s="21"/>
    </row>
    <row r="1017" spans="2:25" s="16" customFormat="1"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W1017" s="21"/>
      <c r="X1017" s="21"/>
      <c r="Y1017" s="21"/>
    </row>
    <row r="1018" spans="2:25" s="16" customFormat="1">
      <c r="B1018" s="1298"/>
      <c r="C1018" s="1298" t="s">
        <v>1629</v>
      </c>
      <c r="D1018" s="18"/>
      <c r="E1018" s="568"/>
      <c r="F1018" s="568">
        <v>2007</v>
      </c>
      <c r="G1018" s="568">
        <v>2010</v>
      </c>
      <c r="H1018" s="568">
        <v>2015</v>
      </c>
      <c r="I1018" s="568">
        <v>2020</v>
      </c>
      <c r="J1018" s="568">
        <v>2025</v>
      </c>
      <c r="K1018" s="568">
        <v>2030</v>
      </c>
      <c r="L1018" s="568">
        <v>2035</v>
      </c>
      <c r="M1018" s="568">
        <v>2040</v>
      </c>
      <c r="N1018" s="568">
        <v>2045</v>
      </c>
      <c r="O1018" s="568">
        <v>2050</v>
      </c>
      <c r="P1018" s="18"/>
      <c r="W1018" s="21"/>
      <c r="X1018" s="21"/>
      <c r="Y1018" s="21"/>
    </row>
    <row r="1019" spans="2:25" s="16" customFormat="1">
      <c r="B1019" s="973" t="s">
        <v>40</v>
      </c>
      <c r="C1019" s="16" t="str">
        <f>INDEX(Vectors[Description], MATCH($B1019, Vectors[Code], 0))</f>
        <v>Electricity (delivered to end user)</v>
      </c>
      <c r="D1019" s="18"/>
      <c r="E1019" s="18"/>
      <c r="F1019" s="21">
        <f t="shared" ref="F1019:O1019" ca="1" si="338">F1007-(F780*Conversion.to.average.power)</f>
        <v>0</v>
      </c>
      <c r="G1019" s="21" t="e">
        <f t="shared" ca="1" si="338"/>
        <v>#REF!</v>
      </c>
      <c r="H1019" s="21" t="e">
        <f t="shared" ca="1" si="338"/>
        <v>#REF!</v>
      </c>
      <c r="I1019" s="21" t="e">
        <f t="shared" ca="1" si="338"/>
        <v>#REF!</v>
      </c>
      <c r="J1019" s="21" t="e">
        <f t="shared" ca="1" si="338"/>
        <v>#REF!</v>
      </c>
      <c r="K1019" s="21" t="e">
        <f t="shared" ca="1" si="338"/>
        <v>#REF!</v>
      </c>
      <c r="L1019" s="21" t="e">
        <f t="shared" ca="1" si="338"/>
        <v>#REF!</v>
      </c>
      <c r="M1019" s="21" t="e">
        <f t="shared" ca="1" si="338"/>
        <v>#REF!</v>
      </c>
      <c r="N1019" s="21" t="e">
        <f t="shared" ca="1" si="338"/>
        <v>#REF!</v>
      </c>
      <c r="O1019" s="21" t="e">
        <f t="shared" ca="1" si="338"/>
        <v>#REF!</v>
      </c>
      <c r="P1019" s="18"/>
      <c r="W1019" s="21"/>
      <c r="X1019" s="21"/>
      <c r="Y1019" s="21"/>
    </row>
    <row r="1020" spans="2:25" s="16" customFormat="1">
      <c r="B1020" s="973" t="s">
        <v>41</v>
      </c>
      <c r="C1020" s="16" t="str">
        <f>INDEX(Vectors[Description], MATCH($B1020, Vectors[Code], 0))</f>
        <v>Electricity (supplied to grid)</v>
      </c>
      <c r="D1020" s="18"/>
      <c r="E1020" s="18"/>
      <c r="F1020" s="21">
        <f t="shared" ref="F1020:O1020" ca="1" si="339">F1008-(F781*Conversion.to.average.power)</f>
        <v>0</v>
      </c>
      <c r="G1020" s="21" t="e">
        <f t="shared" ca="1" si="339"/>
        <v>#REF!</v>
      </c>
      <c r="H1020" s="21" t="e">
        <f t="shared" ca="1" si="339"/>
        <v>#REF!</v>
      </c>
      <c r="I1020" s="21" t="e">
        <f t="shared" ca="1" si="339"/>
        <v>#REF!</v>
      </c>
      <c r="J1020" s="21" t="e">
        <f t="shared" ca="1" si="339"/>
        <v>#REF!</v>
      </c>
      <c r="K1020" s="21" t="e">
        <f t="shared" ca="1" si="339"/>
        <v>#REF!</v>
      </c>
      <c r="L1020" s="21" t="e">
        <f t="shared" ca="1" si="339"/>
        <v>#REF!</v>
      </c>
      <c r="M1020" s="21" t="e">
        <f t="shared" ca="1" si="339"/>
        <v>#REF!</v>
      </c>
      <c r="N1020" s="21" t="e">
        <f t="shared" ca="1" si="339"/>
        <v>#REF!</v>
      </c>
      <c r="O1020" s="21" t="e">
        <f t="shared" ca="1" si="339"/>
        <v>#REF!</v>
      </c>
      <c r="P1020" s="18"/>
      <c r="W1020" s="21"/>
      <c r="X1020" s="21"/>
      <c r="Y1020" s="21"/>
    </row>
    <row r="1021" spans="2:25" s="16" customFormat="1">
      <c r="B1021" s="973" t="s">
        <v>42</v>
      </c>
      <c r="C1021" s="16" t="str">
        <f>INDEX(Vectors[Description], MATCH($B1021, Vectors[Code], 0))</f>
        <v>Solid hydrocarbons</v>
      </c>
      <c r="D1021" s="18"/>
      <c r="E1021" s="18"/>
      <c r="F1021" s="21">
        <f t="shared" ref="F1021:O1021" ca="1" si="340">F1009-(F782*Conversion.to.average.power)</f>
        <v>0</v>
      </c>
      <c r="G1021" s="21" t="e">
        <f t="shared" ca="1" si="340"/>
        <v>#REF!</v>
      </c>
      <c r="H1021" s="21" t="e">
        <f t="shared" ca="1" si="340"/>
        <v>#REF!</v>
      </c>
      <c r="I1021" s="21" t="e">
        <f t="shared" ca="1" si="340"/>
        <v>#REF!</v>
      </c>
      <c r="J1021" s="21" t="e">
        <f t="shared" ca="1" si="340"/>
        <v>#REF!</v>
      </c>
      <c r="K1021" s="21" t="e">
        <f t="shared" ca="1" si="340"/>
        <v>#REF!</v>
      </c>
      <c r="L1021" s="21" t="e">
        <f t="shared" ca="1" si="340"/>
        <v>#REF!</v>
      </c>
      <c r="M1021" s="21" t="e">
        <f t="shared" ca="1" si="340"/>
        <v>#REF!</v>
      </c>
      <c r="N1021" s="21" t="e">
        <f t="shared" ca="1" si="340"/>
        <v>#REF!</v>
      </c>
      <c r="O1021" s="21" t="e">
        <f t="shared" ca="1" si="340"/>
        <v>#REF!</v>
      </c>
      <c r="P1021" s="18"/>
      <c r="W1021" s="21"/>
      <c r="X1021" s="21"/>
      <c r="Y1021" s="21"/>
    </row>
    <row r="1022" spans="2:25" s="16" customFormat="1">
      <c r="B1022" s="973" t="s">
        <v>44</v>
      </c>
      <c r="C1022" s="16" t="str">
        <f>INDEX(Vectors[Description], MATCH($B1022, Vectors[Code], 0))</f>
        <v>Liquid hydrocarbons</v>
      </c>
      <c r="D1022" s="18"/>
      <c r="E1022" s="18"/>
      <c r="F1022" s="21">
        <f t="shared" ref="F1022:O1022" ca="1" si="341">F1010-(F783*Conversion.to.average.power)</f>
        <v>0</v>
      </c>
      <c r="G1022" s="21" t="e">
        <f t="shared" ca="1" si="341"/>
        <v>#REF!</v>
      </c>
      <c r="H1022" s="21" t="e">
        <f t="shared" ca="1" si="341"/>
        <v>#REF!</v>
      </c>
      <c r="I1022" s="21" t="e">
        <f t="shared" ca="1" si="341"/>
        <v>#REF!</v>
      </c>
      <c r="J1022" s="21" t="e">
        <f t="shared" ca="1" si="341"/>
        <v>#REF!</v>
      </c>
      <c r="K1022" s="21" t="e">
        <f t="shared" ca="1" si="341"/>
        <v>#REF!</v>
      </c>
      <c r="L1022" s="21" t="e">
        <f t="shared" ca="1" si="341"/>
        <v>#REF!</v>
      </c>
      <c r="M1022" s="21" t="e">
        <f t="shared" ca="1" si="341"/>
        <v>#REF!</v>
      </c>
      <c r="N1022" s="21" t="e">
        <f t="shared" ca="1" si="341"/>
        <v>#REF!</v>
      </c>
      <c r="O1022" s="21" t="e">
        <f t="shared" ca="1" si="341"/>
        <v>#REF!</v>
      </c>
      <c r="P1022" s="18"/>
      <c r="W1022" s="21"/>
      <c r="X1022" s="21"/>
      <c r="Y1022" s="21"/>
    </row>
    <row r="1023" spans="2:25" s="16" customFormat="1">
      <c r="B1023" s="973" t="s">
        <v>45</v>
      </c>
      <c r="C1023" s="16" t="str">
        <f>INDEX(Vectors[Description], MATCH($B1023, Vectors[Code], 0))</f>
        <v>Gaseous hydrocarbons</v>
      </c>
      <c r="D1023" s="18"/>
      <c r="E1023" s="18"/>
      <c r="F1023" s="21">
        <f t="shared" ref="F1023:O1023" ca="1" si="342">F1011-(F784*Conversion.to.average.power)</f>
        <v>0</v>
      </c>
      <c r="G1023" s="21" t="e">
        <f t="shared" ca="1" si="342"/>
        <v>#REF!</v>
      </c>
      <c r="H1023" s="21" t="e">
        <f t="shared" ca="1" si="342"/>
        <v>#REF!</v>
      </c>
      <c r="I1023" s="21" t="e">
        <f t="shared" ca="1" si="342"/>
        <v>#REF!</v>
      </c>
      <c r="J1023" s="21" t="e">
        <f t="shared" ca="1" si="342"/>
        <v>#REF!</v>
      </c>
      <c r="K1023" s="21" t="e">
        <f t="shared" ca="1" si="342"/>
        <v>#REF!</v>
      </c>
      <c r="L1023" s="21" t="e">
        <f t="shared" ca="1" si="342"/>
        <v>#REF!</v>
      </c>
      <c r="M1023" s="21" t="e">
        <f t="shared" ca="1" si="342"/>
        <v>#REF!</v>
      </c>
      <c r="N1023" s="21" t="e">
        <f t="shared" ca="1" si="342"/>
        <v>#REF!</v>
      </c>
      <c r="O1023" s="21" t="e">
        <f t="shared" ca="1" si="342"/>
        <v>#REF!</v>
      </c>
      <c r="P1023" s="18"/>
      <c r="W1023" s="21"/>
      <c r="X1023" s="21"/>
      <c r="Y1023" s="21"/>
    </row>
    <row r="1024" spans="2:25" s="16" customFormat="1">
      <c r="B1024" s="973" t="s">
        <v>625</v>
      </c>
      <c r="C1024" s="16" t="str">
        <f>INDEX(Vectors[Description], MATCH($B1024, Vectors[Code], 0))</f>
        <v>Heat transport</v>
      </c>
      <c r="D1024" s="18"/>
      <c r="E1024" s="18"/>
      <c r="F1024" s="21">
        <f t="shared" ref="F1024:O1024" ca="1" si="343">F1012-(F785*Conversion.to.average.power)</f>
        <v>0</v>
      </c>
      <c r="G1024" s="21" t="e">
        <f t="shared" ca="1" si="343"/>
        <v>#REF!</v>
      </c>
      <c r="H1024" s="21" t="e">
        <f t="shared" ca="1" si="343"/>
        <v>#REF!</v>
      </c>
      <c r="I1024" s="21" t="e">
        <f t="shared" ca="1" si="343"/>
        <v>#REF!</v>
      </c>
      <c r="J1024" s="21" t="e">
        <f t="shared" ca="1" si="343"/>
        <v>#REF!</v>
      </c>
      <c r="K1024" s="21" t="e">
        <f t="shared" ca="1" si="343"/>
        <v>#REF!</v>
      </c>
      <c r="L1024" s="21" t="e">
        <f t="shared" ca="1" si="343"/>
        <v>#REF!</v>
      </c>
      <c r="M1024" s="21" t="e">
        <f t="shared" ca="1" si="343"/>
        <v>#REF!</v>
      </c>
      <c r="N1024" s="21" t="e">
        <f t="shared" ca="1" si="343"/>
        <v>#REF!</v>
      </c>
      <c r="O1024" s="21" t="e">
        <f t="shared" ca="1" si="343"/>
        <v>#REF!</v>
      </c>
      <c r="P1024" s="18"/>
      <c r="W1024" s="21"/>
      <c r="X1024" s="21"/>
      <c r="Y1024" s="21"/>
    </row>
    <row r="1025" spans="2:25" s="16" customFormat="1">
      <c r="B1025" s="973" t="s">
        <v>98</v>
      </c>
      <c r="C1025" s="16" t="str">
        <f>INDEX(Vectors[Description], MATCH($B1025, Vectors[Code], 0))</f>
        <v>Environmental heat</v>
      </c>
      <c r="D1025" s="18"/>
      <c r="E1025" s="18"/>
      <c r="F1025" s="21">
        <f t="shared" ref="F1025:O1025" ca="1" si="344">F1013-(F786*Conversion.to.average.power)</f>
        <v>0</v>
      </c>
      <c r="G1025" s="21" t="e">
        <f t="shared" ca="1" si="344"/>
        <v>#REF!</v>
      </c>
      <c r="H1025" s="21" t="e">
        <f t="shared" ca="1" si="344"/>
        <v>#REF!</v>
      </c>
      <c r="I1025" s="21" t="e">
        <f t="shared" ca="1" si="344"/>
        <v>#REF!</v>
      </c>
      <c r="J1025" s="21" t="e">
        <f t="shared" ca="1" si="344"/>
        <v>#REF!</v>
      </c>
      <c r="K1025" s="21" t="e">
        <f t="shared" ca="1" si="344"/>
        <v>#REF!</v>
      </c>
      <c r="L1025" s="21" t="e">
        <f t="shared" ca="1" si="344"/>
        <v>#REF!</v>
      </c>
      <c r="M1025" s="21" t="e">
        <f t="shared" ca="1" si="344"/>
        <v>#REF!</v>
      </c>
      <c r="N1025" s="21" t="e">
        <f t="shared" ca="1" si="344"/>
        <v>#REF!</v>
      </c>
      <c r="O1025" s="21" t="e">
        <f t="shared" ca="1" si="344"/>
        <v>#REF!</v>
      </c>
      <c r="P1025" s="18"/>
      <c r="W1025" s="21"/>
      <c r="X1025" s="21"/>
      <c r="Y1025" s="21"/>
    </row>
    <row r="1026" spans="2:25" s="16" customFormat="1">
      <c r="B1026" s="973" t="s">
        <v>6</v>
      </c>
      <c r="C1026" s="16" t="str">
        <f>INDEX(Vectors[Description], MATCH($B1026, Vectors[Code], 0))</f>
        <v>Heating &amp; cooling</v>
      </c>
      <c r="D1026" s="18"/>
      <c r="E1026" s="18"/>
      <c r="F1026" s="21">
        <f t="shared" ref="F1026:O1026" ca="1" si="345">F1014-(F787*Conversion.to.average.power)</f>
        <v>0</v>
      </c>
      <c r="G1026" s="21" t="e">
        <f t="shared" ca="1" si="345"/>
        <v>#REF!</v>
      </c>
      <c r="H1026" s="21" t="e">
        <f t="shared" ca="1" si="345"/>
        <v>#REF!</v>
      </c>
      <c r="I1026" s="21" t="e">
        <f t="shared" ca="1" si="345"/>
        <v>#REF!</v>
      </c>
      <c r="J1026" s="21" t="e">
        <f t="shared" ca="1" si="345"/>
        <v>#REF!</v>
      </c>
      <c r="K1026" s="21" t="e">
        <f t="shared" ca="1" si="345"/>
        <v>#REF!</v>
      </c>
      <c r="L1026" s="21" t="e">
        <f t="shared" ca="1" si="345"/>
        <v>#REF!</v>
      </c>
      <c r="M1026" s="21" t="e">
        <f t="shared" ca="1" si="345"/>
        <v>#REF!</v>
      </c>
      <c r="N1026" s="21" t="e">
        <f t="shared" ca="1" si="345"/>
        <v>#REF!</v>
      </c>
      <c r="O1026" s="21" t="e">
        <f t="shared" ca="1" si="345"/>
        <v>#REF!</v>
      </c>
      <c r="P1026" s="18"/>
      <c r="W1026" s="21"/>
      <c r="X1026" s="21"/>
      <c r="Y1026" s="21"/>
    </row>
    <row r="1027" spans="2:25" s="16" customFormat="1">
      <c r="B1027" s="973" t="s">
        <v>31</v>
      </c>
      <c r="C1027" s="16" t="str">
        <f>INDEX(Vectors[Description], MATCH($B1027, Vectors[Code], 0))</f>
        <v>Conversion losses</v>
      </c>
      <c r="D1027" s="18"/>
      <c r="E1027" s="18"/>
      <c r="F1027" s="21">
        <f t="shared" ref="F1027:O1027" ca="1" si="346">F1015-(F788*Conversion.to.average.power)</f>
        <v>0</v>
      </c>
      <c r="G1027" s="21" t="e">
        <f t="shared" ca="1" si="346"/>
        <v>#REF!</v>
      </c>
      <c r="H1027" s="21" t="e">
        <f t="shared" ca="1" si="346"/>
        <v>#REF!</v>
      </c>
      <c r="I1027" s="21" t="e">
        <f t="shared" ca="1" si="346"/>
        <v>#REF!</v>
      </c>
      <c r="J1027" s="21" t="e">
        <f t="shared" ca="1" si="346"/>
        <v>#REF!</v>
      </c>
      <c r="K1027" s="21" t="e">
        <f t="shared" ca="1" si="346"/>
        <v>#REF!</v>
      </c>
      <c r="L1027" s="21" t="e">
        <f t="shared" ca="1" si="346"/>
        <v>#REF!</v>
      </c>
      <c r="M1027" s="21" t="e">
        <f t="shared" ca="1" si="346"/>
        <v>#REF!</v>
      </c>
      <c r="N1027" s="21" t="e">
        <f t="shared" ca="1" si="346"/>
        <v>#REF!</v>
      </c>
      <c r="O1027" s="21" t="e">
        <f t="shared" ca="1" si="346"/>
        <v>#REF!</v>
      </c>
      <c r="P1027" s="18"/>
      <c r="W1027" s="21"/>
      <c r="X1027" s="21"/>
      <c r="Y1027" s="21"/>
    </row>
    <row r="1028" spans="2:25" s="16" customFormat="1">
      <c r="B1028" s="973"/>
      <c r="D1028" s="18"/>
      <c r="E1028" s="18" t="str">
        <f>Preferences.PowerUnits</f>
        <v>GW</v>
      </c>
      <c r="F1028" s="1452">
        <f t="shared" ref="F1028:O1028" ca="1" si="347">SUM(F1019:F1027)</f>
        <v>0</v>
      </c>
      <c r="G1028" s="1452" t="e">
        <f t="shared" ca="1" si="347"/>
        <v>#REF!</v>
      </c>
      <c r="H1028" s="1452" t="e">
        <f t="shared" ca="1" si="347"/>
        <v>#REF!</v>
      </c>
      <c r="I1028" s="1452" t="e">
        <f t="shared" ca="1" si="347"/>
        <v>#REF!</v>
      </c>
      <c r="J1028" s="1452" t="e">
        <f t="shared" ca="1" si="347"/>
        <v>#REF!</v>
      </c>
      <c r="K1028" s="1452" t="e">
        <f t="shared" ca="1" si="347"/>
        <v>#REF!</v>
      </c>
      <c r="L1028" s="1452" t="e">
        <f t="shared" ca="1" si="347"/>
        <v>#REF!</v>
      </c>
      <c r="M1028" s="1452" t="e">
        <f t="shared" ca="1" si="347"/>
        <v>#REF!</v>
      </c>
      <c r="N1028" s="1452" t="e">
        <f t="shared" ca="1" si="347"/>
        <v>#REF!</v>
      </c>
      <c r="O1028" s="1452" t="e">
        <f t="shared" ca="1" si="347"/>
        <v>#REF!</v>
      </c>
      <c r="P1028" s="18"/>
      <c r="W1028" s="21"/>
      <c r="X1028" s="21"/>
      <c r="Y1028" s="21"/>
    </row>
    <row r="1029" spans="2:25" s="16" customFormat="1">
      <c r="B1029" s="18"/>
      <c r="C1029" s="18"/>
      <c r="D1029" s="18"/>
      <c r="E1029" s="18"/>
      <c r="F1029" s="21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W1029" s="21"/>
      <c r="X1029" s="21"/>
      <c r="Y1029" s="21"/>
    </row>
    <row r="1030" spans="2:25" s="16" customFormat="1">
      <c r="B1030" s="18"/>
      <c r="C1030" s="1298" t="s">
        <v>1630</v>
      </c>
      <c r="D1030" s="18"/>
      <c r="F1030" s="568">
        <v>2007</v>
      </c>
      <c r="G1030" s="568">
        <v>2010</v>
      </c>
      <c r="H1030" s="568">
        <v>2015</v>
      </c>
      <c r="I1030" s="568">
        <v>2020</v>
      </c>
      <c r="J1030" s="568">
        <v>2025</v>
      </c>
      <c r="K1030" s="568">
        <v>2030</v>
      </c>
      <c r="L1030" s="568">
        <v>2035</v>
      </c>
      <c r="M1030" s="568">
        <v>2040</v>
      </c>
      <c r="N1030" s="568">
        <v>2045</v>
      </c>
      <c r="O1030" s="568">
        <v>2050</v>
      </c>
      <c r="P1030" s="18"/>
      <c r="W1030" s="21"/>
      <c r="X1030" s="21"/>
      <c r="Y1030" s="21"/>
    </row>
    <row r="1031" spans="2:25" s="16" customFormat="1">
      <c r="B1031" s="973" t="s">
        <v>40</v>
      </c>
      <c r="C1031" s="16" t="str">
        <f>INDEX(Vectors[Description], MATCH($B1031, Vectors[Code], 0))</f>
        <v>Electricity (delivered to end user)</v>
      </c>
      <c r="D1031" s="18"/>
      <c r="E1031" s="18"/>
      <c r="F1031" s="21">
        <f t="array" ref="F1031">SUM(F$833:F$845/$M$165:$M$177*($B1031=$F$164:$N$164)*($F$165:$N$177))</f>
        <v>-20.487336129888465</v>
      </c>
      <c r="G1031" s="21">
        <f t="array" ref="G1031">SUM(G$833:G$845/$M$165:$M$177*($B1031=$F$164:$N$164)*($F$165:$N$177))</f>
        <v>-17.759195435255339</v>
      </c>
      <c r="H1031" s="21">
        <f t="array" ref="H1031">SUM(H$833:H$845/$M$165:$M$177*($B1031=$F$164:$N$164)*($F$165:$N$177))</f>
        <v>-12.195856568939522</v>
      </c>
      <c r="I1031" s="21">
        <f t="array" ref="I1031">SUM(I$833:I$845/$M$165:$M$177*($B1031=$F$164:$N$164)*($F$165:$N$177))</f>
        <v>-16.856504578811826</v>
      </c>
      <c r="J1031" s="21">
        <f t="array" ref="J1031">SUM(J$833:J$845/$M$165:$M$177*($B1031=$F$164:$N$164)*($F$165:$N$177))</f>
        <v>-21.136143149300832</v>
      </c>
      <c r="K1031" s="21">
        <f t="array" ref="K1031">SUM(K$833:K$845/$M$165:$M$177*($B1031=$F$164:$N$164)*($F$165:$N$177))</f>
        <v>-24.682132812891847</v>
      </c>
      <c r="L1031" s="21">
        <f t="array" ref="L1031">SUM(L$833:L$845/$M$165:$M$177*($B1031=$F$164:$N$164)*($F$165:$N$177))</f>
        <v>-27.878936666792363</v>
      </c>
      <c r="M1031" s="21">
        <f t="array" ref="M1031">SUM(M$833:M$845/$M$165:$M$177*($B1031=$F$164:$N$164)*($F$165:$N$177))</f>
        <v>-30.563335914054605</v>
      </c>
      <c r="N1031" s="21">
        <f t="array" ref="N1031">SUM(N$833:N$845/$M$165:$M$177*($B1031=$F$164:$N$164)*($F$165:$N$177))</f>
        <v>-33.251556073066091</v>
      </c>
      <c r="O1031" s="21">
        <f t="array" ref="O1031">SUM(O$833:O$845/$M$165:$M$177*($B1031=$F$164:$N$164)*($F$165:$N$177))</f>
        <v>-35.69398413380997</v>
      </c>
      <c r="P1031" s="18"/>
      <c r="W1031" s="21"/>
      <c r="X1031" s="21"/>
      <c r="Y1031" s="21"/>
    </row>
    <row r="1032" spans="2:25" s="16" customFormat="1">
      <c r="B1032" s="973" t="s">
        <v>41</v>
      </c>
      <c r="C1032" s="16" t="str">
        <f>INDEX(Vectors[Description], MATCH($B1032, Vectors[Code], 0))</f>
        <v>Electricity (supplied to grid)</v>
      </c>
      <c r="D1032" s="18"/>
      <c r="E1032" s="18"/>
      <c r="F1032" s="21">
        <f t="array" ref="F1032">SUM(F$833:F$845/$M$165:$M$177*($B1032=$F$164:$N$164)*($F$165:$N$177))</f>
        <v>0</v>
      </c>
      <c r="G1032" s="21">
        <f t="array" ref="G1032">SUM(G$833:G$845/$M$165:$M$177*($B1032=$F$164:$N$164)*($F$165:$N$177))</f>
        <v>0</v>
      </c>
      <c r="H1032" s="21">
        <f t="array" ref="H1032">SUM(H$833:H$845/$M$165:$M$177*($B1032=$F$164:$N$164)*($F$165:$N$177))</f>
        <v>0</v>
      </c>
      <c r="I1032" s="21">
        <f t="array" ref="I1032">SUM(I$833:I$845/$M$165:$M$177*($B1032=$F$164:$N$164)*($F$165:$N$177))</f>
        <v>0</v>
      </c>
      <c r="J1032" s="21">
        <f t="array" ref="J1032">SUM(J$833:J$845/$M$165:$M$177*($B1032=$F$164:$N$164)*($F$165:$N$177))</f>
        <v>0</v>
      </c>
      <c r="K1032" s="21">
        <f t="array" ref="K1032">SUM(K$833:K$845/$M$165:$M$177*($B1032=$F$164:$N$164)*($F$165:$N$177))</f>
        <v>0</v>
      </c>
      <c r="L1032" s="21">
        <f t="array" ref="L1032">SUM(L$833:L$845/$M$165:$M$177*($B1032=$F$164:$N$164)*($F$165:$N$177))</f>
        <v>0</v>
      </c>
      <c r="M1032" s="21">
        <f t="array" ref="M1032">SUM(M$833:M$845/$M$165:$M$177*($B1032=$F$164:$N$164)*($F$165:$N$177))</f>
        <v>0</v>
      </c>
      <c r="N1032" s="21">
        <f t="array" ref="N1032">SUM(N$833:N$845/$M$165:$M$177*($B1032=$F$164:$N$164)*($F$165:$N$177))</f>
        <v>0</v>
      </c>
      <c r="O1032" s="21">
        <f t="array" ref="O1032">SUM(O$833:O$845/$M$165:$M$177*($B1032=$F$164:$N$164)*($F$165:$N$177))</f>
        <v>0</v>
      </c>
      <c r="P1032" s="18"/>
      <c r="W1032" s="21"/>
      <c r="X1032" s="21"/>
      <c r="Y1032" s="21"/>
    </row>
    <row r="1033" spans="2:25" s="16" customFormat="1">
      <c r="B1033" s="973" t="s">
        <v>42</v>
      </c>
      <c r="C1033" s="16" t="str">
        <f>INDEX(Vectors[Description], MATCH($B1033, Vectors[Code], 0))</f>
        <v>Solid hydrocarbons</v>
      </c>
      <c r="D1033" s="18"/>
      <c r="E1033" s="18"/>
      <c r="F1033" s="21">
        <f t="array" ref="F1033">SUM(F$833:F$845/$M$165:$M$177*($B1033=$F$164:$N$164)*($F$165:$N$177))</f>
        <v>-9.4194648873050415</v>
      </c>
      <c r="G1033" s="21">
        <f t="array" ref="G1033">SUM(G$833:G$845/$M$165:$M$177*($B1033=$F$164:$N$164)*($F$165:$N$177))</f>
        <v>-8.1651473265541785</v>
      </c>
      <c r="H1033" s="21">
        <f t="array" ref="H1033">SUM(H$833:H$845/$M$165:$M$177*($B1033=$F$164:$N$164)*($F$165:$N$177))</f>
        <v>-5.6072903765239186</v>
      </c>
      <c r="I1033" s="21">
        <f t="array" ref="I1033">SUM(I$833:I$845/$M$165:$M$177*($B1033=$F$164:$N$164)*($F$165:$N$177))</f>
        <v>-4.4505589129484706</v>
      </c>
      <c r="J1033" s="21">
        <f t="array" ref="J1033">SUM(J$833:J$845/$M$165:$M$177*($B1033=$F$164:$N$164)*($F$165:$N$177))</f>
        <v>-3.4964630622011486</v>
      </c>
      <c r="K1033" s="21">
        <f t="array" ref="K1033">SUM(K$833:K$845/$M$165:$M$177*($B1033=$F$164:$N$164)*($F$165:$N$177))</f>
        <v>-2.6170549203555415</v>
      </c>
      <c r="L1033" s="21">
        <f t="array" ref="L1033">SUM(L$833:L$845/$M$165:$M$177*($B1033=$F$164:$N$164)*($F$165:$N$177))</f>
        <v>-1.8493462329718915</v>
      </c>
      <c r="M1033" s="21">
        <f t="array" ref="M1033">SUM(M$833:M$845/$M$165:$M$177*($B1033=$F$164:$N$164)*($F$165:$N$177))</f>
        <v>-1.1593470386103926</v>
      </c>
      <c r="N1033" s="21">
        <f t="array" ref="N1033">SUM(N$833:N$845/$M$165:$M$177*($B1033=$F$164:$N$164)*($F$165:$N$177))</f>
        <v>-0.55212120169640755</v>
      </c>
      <c r="O1033" s="21">
        <f t="array" ref="O1033">SUM(O$833:O$845/$M$165:$M$177*($B1033=$F$164:$N$164)*($F$165:$N$177))</f>
        <v>0</v>
      </c>
      <c r="P1033" s="18"/>
      <c r="W1033" s="21"/>
      <c r="X1033" s="21"/>
      <c r="Y1033" s="21"/>
    </row>
    <row r="1034" spans="2:25" s="16" customFormat="1">
      <c r="B1034" s="973" t="s">
        <v>44</v>
      </c>
      <c r="C1034" s="16" t="str">
        <f>INDEX(Vectors[Description], MATCH($B1034, Vectors[Code], 0))</f>
        <v>Liquid hydrocarbons</v>
      </c>
      <c r="D1034" s="18"/>
      <c r="E1034" s="18"/>
      <c r="F1034" s="21">
        <f t="array" ref="F1034">SUM(F$833:F$845/$M$165:$M$177*($B1034=$F$164:$N$164)*($F$165:$N$177))</f>
        <v>-8.4483860329436986</v>
      </c>
      <c r="G1034" s="21">
        <f t="array" ref="G1034">SUM(G$833:G$845/$M$165:$M$177*($B1034=$F$164:$N$164)*($F$165:$N$177))</f>
        <v>-7.3233795609300367</v>
      </c>
      <c r="H1034" s="21">
        <f t="array" ref="H1034">SUM(H$833:H$845/$M$165:$M$177*($B1034=$F$164:$N$164)*($F$165:$N$177))</f>
        <v>-5.0292192036864014</v>
      </c>
      <c r="I1034" s="21">
        <f t="array" ref="I1034">SUM(I$833:I$845/$M$165:$M$177*($B1034=$F$164:$N$164)*($F$165:$N$177))</f>
        <v>-3.9917384064589374</v>
      </c>
      <c r="J1034" s="21">
        <f t="array" ref="J1034">SUM(J$833:J$845/$M$165:$M$177*($B1034=$F$164:$N$164)*($F$165:$N$177))</f>
        <v>-3.1360029526958755</v>
      </c>
      <c r="K1034" s="21">
        <f t="array" ref="K1034">SUM(K$833:K$845/$M$165:$M$177*($B1034=$F$164:$N$164)*($F$165:$N$177))</f>
        <v>-2.3472554440302282</v>
      </c>
      <c r="L1034" s="21">
        <f t="array" ref="L1034">SUM(L$833:L$845/$M$165:$M$177*($B1034=$F$164:$N$164)*($F$165:$N$177))</f>
        <v>-1.6586919821500472</v>
      </c>
      <c r="M1034" s="21">
        <f t="array" ref="M1034">SUM(M$833:M$845/$M$165:$M$177*($B1034=$F$164:$N$164)*($F$165:$N$177))</f>
        <v>-1.0398267253515892</v>
      </c>
      <c r="N1034" s="21">
        <f t="array" ref="N1034">SUM(N$833:N$845/$M$165:$M$177*($B1034=$F$164:$N$164)*($F$165:$N$177))</f>
        <v>-0.49520149018131399</v>
      </c>
      <c r="O1034" s="21">
        <f t="array" ref="O1034">SUM(O$833:O$845/$M$165:$M$177*($B1034=$F$164:$N$164)*($F$165:$N$177))</f>
        <v>0</v>
      </c>
      <c r="P1034" s="18"/>
      <c r="W1034" s="21"/>
      <c r="X1034" s="21"/>
      <c r="Y1034" s="21"/>
    </row>
    <row r="1035" spans="2:25" s="16" customFormat="1">
      <c r="B1035" s="973" t="s">
        <v>45</v>
      </c>
      <c r="C1035" s="16" t="str">
        <f>INDEX(Vectors[Description], MATCH($B1035, Vectors[Code], 0))</f>
        <v>Gaseous hydrocarbons</v>
      </c>
      <c r="D1035" s="18"/>
      <c r="E1035" s="18"/>
      <c r="F1035" s="21">
        <f t="array" ref="F1035">SUM(F$833:F$845/$M$165:$M$177*($B1035=$F$164:$N$164)*($F$165:$N$177))</f>
        <v>-214.3823764777369</v>
      </c>
      <c r="G1035" s="21">
        <f t="array" ref="G1035">SUM(G$833:G$845/$M$165:$M$177*($B1035=$F$164:$N$164)*($F$165:$N$177))</f>
        <v>-220.36528234275147</v>
      </c>
      <c r="H1035" s="21">
        <f t="array" ref="H1035">SUM(H$833:H$845/$M$165:$M$177*($B1035=$F$164:$N$164)*($F$165:$N$177))</f>
        <v>-199.75728390905391</v>
      </c>
      <c r="I1035" s="21">
        <f t="array" ref="I1035">SUM(I$833:I$845/$M$165:$M$177*($B1035=$F$164:$N$164)*($F$165:$N$177))</f>
        <v>-158.54922799253137</v>
      </c>
      <c r="J1035" s="21">
        <f t="array" ref="J1035">SUM(J$833:J$845/$M$165:$M$177*($B1035=$F$164:$N$164)*($F$165:$N$177))</f>
        <v>-124.5599777599917</v>
      </c>
      <c r="K1035" s="21">
        <f t="array" ref="K1035">SUM(K$833:K$845/$M$165:$M$177*($B1035=$F$164:$N$164)*($F$165:$N$177))</f>
        <v>-93.231444713431898</v>
      </c>
      <c r="L1035" s="21">
        <f t="array" ref="L1035">SUM(L$833:L$845/$M$165:$M$177*($B1035=$F$164:$N$164)*($F$165:$N$177))</f>
        <v>-65.882156210878676</v>
      </c>
      <c r="M1035" s="21">
        <f t="array" ref="M1035">SUM(M$833:M$845/$M$165:$M$177*($B1035=$F$164:$N$164)*($F$165:$N$177))</f>
        <v>-41.301234640961034</v>
      </c>
      <c r="N1035" s="21">
        <f t="array" ref="N1035">SUM(N$833:N$845/$M$165:$M$177*($B1035=$F$164:$N$164)*($F$165:$N$177))</f>
        <v>-19.669077974137075</v>
      </c>
      <c r="O1035" s="21">
        <f t="array" ref="O1035">SUM(O$833:O$845/$M$165:$M$177*($B1035=$F$164:$N$164)*($F$165:$N$177))</f>
        <v>0</v>
      </c>
      <c r="P1035" s="18"/>
      <c r="W1035" s="21"/>
      <c r="X1035" s="21"/>
      <c r="Y1035" s="21"/>
    </row>
    <row r="1036" spans="2:25" s="16" customFormat="1">
      <c r="B1036" s="973" t="s">
        <v>625</v>
      </c>
      <c r="C1036" s="16" t="str">
        <f>INDEX(Vectors[Description], MATCH($B1036, Vectors[Code], 0))</f>
        <v>Heat transport</v>
      </c>
      <c r="D1036" s="18"/>
      <c r="E1036" s="18"/>
      <c r="F1036" s="21">
        <f t="array" ref="F1036">SUM(F$833:F$845/$M$165:$M$177*($B1036=$F$164:$N$164)*($F$165:$N$177))</f>
        <v>0</v>
      </c>
      <c r="G1036" s="21">
        <f t="array" ref="G1036">SUM(G$833:G$845/$M$165:$M$177*($B1036=$F$164:$N$164)*($F$165:$N$177))</f>
        <v>0</v>
      </c>
      <c r="H1036" s="21">
        <f t="array" ref="H1036">SUM(H$833:H$845/$M$165:$M$177*($B1036=$F$164:$N$164)*($F$165:$N$177))</f>
        <v>0</v>
      </c>
      <c r="I1036" s="21">
        <f t="array" ref="I1036">SUM(I$833:I$845/$M$165:$M$177*($B1036=$F$164:$N$164)*($F$165:$N$177))</f>
        <v>-3.0186368903395739</v>
      </c>
      <c r="J1036" s="21">
        <f t="array" ref="J1036">SUM(J$833:J$845/$M$165:$M$177*($B1036=$F$164:$N$164)*($F$165:$N$177))</f>
        <v>-5.6916280000137212</v>
      </c>
      <c r="K1036" s="21">
        <f t="array" ref="K1036">SUM(K$833:K$845/$M$165:$M$177*($B1036=$F$164:$N$164)*($F$165:$N$177))</f>
        <v>-7.9876986385701434</v>
      </c>
      <c r="L1036" s="21">
        <f t="array" ref="L1036">SUM(L$833:L$845/$M$165:$M$177*($B1036=$F$164:$N$164)*($F$165:$N$177))</f>
        <v>-10.034703273995939</v>
      </c>
      <c r="M1036" s="21">
        <f t="array" ref="M1036">SUM(M$833:M$845/$M$165:$M$177*($B1036=$F$164:$N$164)*($F$165:$N$177))</f>
        <v>-11.795083970038183</v>
      </c>
      <c r="N1036" s="21">
        <f t="array" ref="N1036">SUM(N$833:N$845/$M$165:$M$177*($B1036=$F$164:$N$164)*($F$165:$N$177))</f>
        <v>-13.481345727408613</v>
      </c>
      <c r="O1036" s="21">
        <f t="array" ref="O1036">SUM(O$833:O$845/$M$165:$M$177*($B1036=$F$164:$N$164)*($F$165:$N$177))</f>
        <v>-15.013807926504079</v>
      </c>
      <c r="P1036" s="18"/>
      <c r="W1036" s="21"/>
      <c r="X1036" s="21"/>
      <c r="Y1036" s="21"/>
    </row>
    <row r="1037" spans="2:25" s="16" customFormat="1">
      <c r="B1037" s="973" t="s">
        <v>98</v>
      </c>
      <c r="C1037" s="16" t="str">
        <f>INDEX(Vectors[Description], MATCH($B1037, Vectors[Code], 0))</f>
        <v>Environmental heat</v>
      </c>
      <c r="D1037" s="18"/>
      <c r="E1037" s="18"/>
      <c r="F1037" s="21">
        <f t="array" ref="F1037">SUM(F$833:F$845/$M$165:$M$177*($B1037=$F$164:$N$164)*($F$165:$N$177))</f>
        <v>0</v>
      </c>
      <c r="G1037" s="21">
        <f t="array" ref="G1037">SUM(G$833:G$845/$M$165:$M$177*($B1037=$F$164:$N$164)*($F$165:$N$177))</f>
        <v>0</v>
      </c>
      <c r="H1037" s="21">
        <f t="array" ref="H1037">SUM(H$833:H$845/$M$165:$M$177*($B1037=$F$164:$N$164)*($F$165:$N$177))</f>
        <v>0</v>
      </c>
      <c r="I1037" s="21">
        <f t="array" ref="I1037">SUM(I$833:I$845/$M$165:$M$177*($B1037=$F$164:$N$164)*($F$165:$N$177))</f>
        <v>-14.84821064604529</v>
      </c>
      <c r="J1037" s="21">
        <f t="array" ref="J1037">SUM(J$833:J$845/$M$165:$M$177*($B1037=$F$164:$N$164)*($F$165:$N$177))</f>
        <v>-27.996242851728486</v>
      </c>
      <c r="K1037" s="21">
        <f t="array" ref="K1037">SUM(K$833:K$845/$M$165:$M$177*($B1037=$F$164:$N$164)*($F$165:$N$177))</f>
        <v>-39.290261224256326</v>
      </c>
      <c r="L1037" s="21">
        <f t="array" ref="L1037">SUM(L$833:L$845/$M$165:$M$177*($B1037=$F$164:$N$164)*($F$165:$N$177))</f>
        <v>-49.359162229707913</v>
      </c>
      <c r="M1037" s="21">
        <f t="array" ref="M1037">SUM(M$833:M$845/$M$165:$M$177*($B1037=$F$164:$N$164)*($F$165:$N$177))</f>
        <v>-58.018204155458278</v>
      </c>
      <c r="N1037" s="21">
        <f t="array" ref="N1037">SUM(N$833:N$845/$M$165:$M$177*($B1037=$F$164:$N$164)*($F$165:$N$177))</f>
        <v>-66.312666420176072</v>
      </c>
      <c r="O1037" s="21">
        <f t="array" ref="O1037">SUM(O$833:O$845/$M$165:$M$177*($B1037=$F$164:$N$164)*($F$165:$N$177))</f>
        <v>-73.850612309624069</v>
      </c>
      <c r="P1037" s="18"/>
      <c r="W1037" s="21"/>
      <c r="X1037" s="21"/>
      <c r="Y1037" s="21"/>
    </row>
    <row r="1038" spans="2:25" s="16" customFormat="1">
      <c r="B1038" s="973" t="s">
        <v>6</v>
      </c>
      <c r="C1038" s="16" t="str">
        <f>INDEX(Vectors[Description], MATCH($B1038, Vectors[Code], 0))</f>
        <v>Heating &amp; cooling</v>
      </c>
      <c r="D1038" s="18"/>
      <c r="E1038" s="18"/>
      <c r="F1038" s="21">
        <f t="array" ref="F1038">SUM(F$833:F$845/$M$165:$M$177*($B1038=$F$164:$N$164)*($F$165:$N$177))</f>
        <v>204.87336129888465</v>
      </c>
      <c r="G1038" s="21">
        <f t="array" ref="G1038">SUM(G$833:G$845/$M$165:$M$177*($B1038=$F$164:$N$164)*($F$165:$N$177))</f>
        <v>207.68260846530973</v>
      </c>
      <c r="H1038" s="21">
        <f t="array" ref="H1038">SUM(H$833:H$845/$M$165:$M$177*($B1038=$F$164:$N$164)*($F$165:$N$177))</f>
        <v>186.68942019215609</v>
      </c>
      <c r="I1038" s="21">
        <f t="array" ref="I1038">SUM(I$833:I$845/$M$165:$M$177*($B1038=$F$164:$N$164)*($F$165:$N$177))</f>
        <v>172.87508030639148</v>
      </c>
      <c r="J1038" s="21">
        <f t="array" ref="J1038">SUM(J$833:J$845/$M$165:$M$177*($B1038=$F$164:$N$164)*($F$165:$N$177))</f>
        <v>162.97929022026409</v>
      </c>
      <c r="K1038" s="21">
        <f t="array" ref="K1038">SUM(K$833:K$845/$M$165:$M$177*($B1038=$F$164:$N$164)*($F$165:$N$177))</f>
        <v>152.48626187190354</v>
      </c>
      <c r="L1038" s="21">
        <f t="array" ref="L1038">SUM(L$833:L$845/$M$165:$M$177*($B1038=$F$164:$N$164)*($F$165:$N$177))</f>
        <v>143.67434827200117</v>
      </c>
      <c r="M1038" s="21">
        <f t="array" ref="M1038">SUM(M$833:M$845/$M$165:$M$177*($B1038=$F$164:$N$164)*($F$165:$N$177))</f>
        <v>135.10459365412004</v>
      </c>
      <c r="N1038" s="21">
        <f t="array" ref="N1038">SUM(N$833:N$845/$M$165:$M$177*($B1038=$F$164:$N$164)*($F$165:$N$177))</f>
        <v>128.68427186485374</v>
      </c>
      <c r="O1038" s="21">
        <f t="array" ref="O1038">SUM(O$833:O$845/$M$165:$M$177*($B1038=$F$164:$N$164)*($F$165:$N$177))</f>
        <v>122.84024667139701</v>
      </c>
      <c r="P1038" s="18"/>
      <c r="W1038" s="21"/>
      <c r="X1038" s="21"/>
      <c r="Y1038" s="21"/>
    </row>
    <row r="1039" spans="2:25" s="16" customFormat="1">
      <c r="B1039" s="973" t="s">
        <v>31</v>
      </c>
      <c r="C1039" s="16" t="str">
        <f>INDEX(Vectors[Description], MATCH($B1039, Vectors[Code], 0))</f>
        <v>Conversion losses</v>
      </c>
      <c r="D1039" s="18"/>
      <c r="E1039" s="18"/>
      <c r="F1039" s="21">
        <f t="array" ref="F1039">SUM(F$833:F$845/$M$165:$M$177*($B1039=$F$164:$N$164)*($F$165:$N$177))</f>
        <v>47.864202228989427</v>
      </c>
      <c r="G1039" s="21">
        <f t="array" ref="G1039">SUM(G$833:G$845/$M$165:$M$177*($B1039=$F$164:$N$164)*($F$165:$N$177))</f>
        <v>45.930396200181278</v>
      </c>
      <c r="H1039" s="21">
        <f t="array" ref="H1039">SUM(H$833:H$845/$M$165:$M$177*($B1039=$F$164:$N$164)*($F$165:$N$177))</f>
        <v>35.900229866047674</v>
      </c>
      <c r="I1039" s="21">
        <f t="array" ref="I1039">SUM(I$833:I$845/$M$165:$M$177*($B1039=$F$164:$N$164)*($F$165:$N$177))</f>
        <v>28.839797120744045</v>
      </c>
      <c r="J1039" s="21">
        <f t="array" ref="J1039">SUM(J$833:J$845/$M$165:$M$177*($B1039=$F$164:$N$164)*($F$165:$N$177))</f>
        <v>23.037167555667654</v>
      </c>
      <c r="K1039" s="21">
        <f t="array" ref="K1039">SUM(K$833:K$845/$M$165:$M$177*($B1039=$F$164:$N$164)*($F$165:$N$177))</f>
        <v>17.669585881632454</v>
      </c>
      <c r="L1039" s="21">
        <f t="array" ref="L1039">SUM(L$833:L$845/$M$165:$M$177*($B1039=$F$164:$N$164)*($F$165:$N$177))</f>
        <v>12.98864832449566</v>
      </c>
      <c r="M1039" s="21">
        <f t="array" ref="M1039">SUM(M$833:M$845/$M$165:$M$177*($B1039=$F$164:$N$164)*($F$165:$N$177))</f>
        <v>8.7724387903540517</v>
      </c>
      <c r="N1039" s="21">
        <f t="array" ref="N1039">SUM(N$833:N$845/$M$165:$M$177*($B1039=$F$164:$N$164)*($F$165:$N$177))</f>
        <v>5.0776970218118285</v>
      </c>
      <c r="O1039" s="1178">
        <f t="array" ref="O1039">SUM(O$833:O$845/$M$165:$M$177*($B1039=$F$164:$N$164)*($F$165:$N$177))</f>
        <v>1.7181576985411084</v>
      </c>
      <c r="P1039" s="18"/>
      <c r="W1039" s="21"/>
      <c r="X1039" s="21"/>
      <c r="Y1039" s="21"/>
    </row>
    <row r="1040" spans="2:25" s="16" customFormat="1">
      <c r="B1040" s="973"/>
      <c r="D1040" s="18"/>
      <c r="E1040" s="18" t="str">
        <f>Preferences.EnergyUnits</f>
        <v>TWh</v>
      </c>
      <c r="F1040" s="1452">
        <f t="shared" ref="F1040:O1040" si="348">SUM(F1031:F1039)</f>
        <v>0</v>
      </c>
      <c r="G1040" s="1452">
        <f t="shared" si="348"/>
        <v>0</v>
      </c>
      <c r="H1040" s="1452">
        <f t="shared" si="348"/>
        <v>0</v>
      </c>
      <c r="I1040" s="1452">
        <f t="shared" si="348"/>
        <v>6.3948846218409017E-14</v>
      </c>
      <c r="J1040" s="1452">
        <f t="shared" si="348"/>
        <v>0</v>
      </c>
      <c r="K1040" s="1452">
        <f t="shared" si="348"/>
        <v>0</v>
      </c>
      <c r="L1040" s="1452">
        <f t="shared" si="348"/>
        <v>0</v>
      </c>
      <c r="M1040" s="1452">
        <f t="shared" si="348"/>
        <v>0</v>
      </c>
      <c r="N1040" s="1452">
        <f t="shared" si="348"/>
        <v>1.3322676295501878E-14</v>
      </c>
      <c r="O1040" s="1452">
        <f t="shared" si="348"/>
        <v>2.886579864025407E-15</v>
      </c>
      <c r="P1040" s="18"/>
      <c r="W1040" s="21"/>
      <c r="X1040" s="21"/>
      <c r="Y1040" s="21"/>
    </row>
    <row r="1041" spans="2:25" s="16" customFormat="1">
      <c r="B1041" s="18"/>
      <c r="C1041" s="18"/>
      <c r="D1041" s="18"/>
      <c r="E1041" s="18"/>
      <c r="F1041" s="21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W1041" s="21"/>
      <c r="X1041" s="21"/>
      <c r="Y1041" s="21"/>
    </row>
    <row r="1042" spans="2:25" s="16" customFormat="1">
      <c r="B1042" s="18"/>
      <c r="C1042" s="1298" t="s">
        <v>1631</v>
      </c>
      <c r="D1042" s="18"/>
      <c r="F1042" s="568">
        <v>2007</v>
      </c>
      <c r="G1042" s="568">
        <v>2010</v>
      </c>
      <c r="H1042" s="568">
        <v>2015</v>
      </c>
      <c r="I1042" s="568">
        <v>2020</v>
      </c>
      <c r="J1042" s="568">
        <v>2025</v>
      </c>
      <c r="K1042" s="568">
        <v>2030</v>
      </c>
      <c r="L1042" s="568">
        <v>2035</v>
      </c>
      <c r="M1042" s="568">
        <v>2040</v>
      </c>
      <c r="N1042" s="568">
        <v>2045</v>
      </c>
      <c r="O1042" s="568">
        <v>2050</v>
      </c>
      <c r="P1042" s="18"/>
      <c r="W1042" s="21"/>
      <c r="X1042" s="21"/>
      <c r="Y1042" s="21"/>
    </row>
    <row r="1043" spans="2:25" s="16" customFormat="1">
      <c r="B1043" s="973" t="s">
        <v>40</v>
      </c>
      <c r="C1043" s="16" t="str">
        <f>INDEX(Vectors[Description], MATCH($B1043, Vectors[Code], 0))</f>
        <v>Electricity (delivered to end user)</v>
      </c>
      <c r="D1043" s="18"/>
      <c r="E1043" s="18"/>
      <c r="F1043" s="21">
        <f t="shared" ref="F1043:O1043" si="349">(F1031-F850)*Conversion.to.average.power</f>
        <v>0</v>
      </c>
      <c r="G1043" s="21">
        <f t="shared" si="349"/>
        <v>0</v>
      </c>
      <c r="H1043" s="21">
        <f t="shared" si="349"/>
        <v>0</v>
      </c>
      <c r="I1043" s="21">
        <f t="shared" si="349"/>
        <v>-6.2657866892095987E-2</v>
      </c>
      <c r="J1043" s="21">
        <f t="shared" si="349"/>
        <v>-0.11814116191499507</v>
      </c>
      <c r="K1043" s="21">
        <f t="shared" si="349"/>
        <v>-0.16580071610182998</v>
      </c>
      <c r="L1043" s="21">
        <f t="shared" si="349"/>
        <v>-0.20829040553234174</v>
      </c>
      <c r="M1043" s="21">
        <f t="shared" si="349"/>
        <v>-0.24483063986295131</v>
      </c>
      <c r="N1043" s="21">
        <f t="shared" si="349"/>
        <v>-0.2798323868689192</v>
      </c>
      <c r="O1043" s="21">
        <f t="shared" si="349"/>
        <v>-0.31164171537589591</v>
      </c>
      <c r="P1043" s="18"/>
      <c r="W1043" s="21"/>
      <c r="X1043" s="21"/>
      <c r="Y1043" s="21"/>
    </row>
    <row r="1044" spans="2:25" s="16" customFormat="1">
      <c r="B1044" s="973" t="s">
        <v>41</v>
      </c>
      <c r="C1044" s="16" t="str">
        <f>INDEX(Vectors[Description], MATCH($B1044, Vectors[Code], 0))</f>
        <v>Electricity (supplied to grid)</v>
      </c>
      <c r="D1044" s="18"/>
      <c r="E1044" s="18"/>
      <c r="F1044" s="21">
        <f t="shared" ref="F1044:O1044" si="350">(F1032-F851)*Conversion.to.average.power</f>
        <v>0</v>
      </c>
      <c r="G1044" s="21">
        <f t="shared" si="350"/>
        <v>0</v>
      </c>
      <c r="H1044" s="21">
        <f t="shared" si="350"/>
        <v>0</v>
      </c>
      <c r="I1044" s="21">
        <f t="shared" si="350"/>
        <v>0</v>
      </c>
      <c r="J1044" s="21">
        <f t="shared" si="350"/>
        <v>0</v>
      </c>
      <c r="K1044" s="21">
        <f t="shared" si="350"/>
        <v>0</v>
      </c>
      <c r="L1044" s="21">
        <f t="shared" si="350"/>
        <v>0</v>
      </c>
      <c r="M1044" s="21">
        <f t="shared" si="350"/>
        <v>0</v>
      </c>
      <c r="N1044" s="21">
        <f t="shared" si="350"/>
        <v>0</v>
      </c>
      <c r="O1044" s="21">
        <f t="shared" si="350"/>
        <v>0</v>
      </c>
      <c r="P1044" s="18"/>
      <c r="W1044" s="21"/>
      <c r="X1044" s="21"/>
      <c r="Y1044" s="21"/>
    </row>
    <row r="1045" spans="2:25" s="16" customFormat="1">
      <c r="B1045" s="973" t="s">
        <v>42</v>
      </c>
      <c r="C1045" s="16" t="str">
        <f>INDEX(Vectors[Description], MATCH($B1045, Vectors[Code], 0))</f>
        <v>Solid hydrocarbons</v>
      </c>
      <c r="D1045" s="18"/>
      <c r="E1045" s="18"/>
      <c r="F1045" s="21">
        <f t="shared" ref="F1045:O1045" si="351">(F1033-F852)*Conversion.to.average.power</f>
        <v>0</v>
      </c>
      <c r="G1045" s="21">
        <f t="shared" si="351"/>
        <v>0</v>
      </c>
      <c r="H1045" s="21">
        <f t="shared" si="351"/>
        <v>0</v>
      </c>
      <c r="I1045" s="21">
        <f t="shared" si="351"/>
        <v>0</v>
      </c>
      <c r="J1045" s="21">
        <f t="shared" si="351"/>
        <v>0</v>
      </c>
      <c r="K1045" s="21">
        <f t="shared" si="351"/>
        <v>0</v>
      </c>
      <c r="L1045" s="21">
        <f t="shared" si="351"/>
        <v>0</v>
      </c>
      <c r="M1045" s="21">
        <f t="shared" si="351"/>
        <v>0</v>
      </c>
      <c r="N1045" s="21">
        <f t="shared" si="351"/>
        <v>0</v>
      </c>
      <c r="O1045" s="21">
        <f t="shared" si="351"/>
        <v>0</v>
      </c>
      <c r="P1045" s="18"/>
      <c r="W1045" s="21"/>
      <c r="X1045" s="21"/>
      <c r="Y1045" s="21"/>
    </row>
    <row r="1046" spans="2:25" s="16" customFormat="1">
      <c r="B1046" s="973" t="s">
        <v>44</v>
      </c>
      <c r="C1046" s="16" t="str">
        <f>INDEX(Vectors[Description], MATCH($B1046, Vectors[Code], 0))</f>
        <v>Liquid hydrocarbons</v>
      </c>
      <c r="D1046" s="18"/>
      <c r="E1046" s="18"/>
      <c r="F1046" s="21">
        <f t="shared" ref="F1046:O1046" si="352">(F1034-F853)*Conversion.to.average.power</f>
        <v>0</v>
      </c>
      <c r="G1046" s="21">
        <f t="shared" si="352"/>
        <v>0</v>
      </c>
      <c r="H1046" s="21">
        <f t="shared" si="352"/>
        <v>0</v>
      </c>
      <c r="I1046" s="21">
        <f t="shared" si="352"/>
        <v>0</v>
      </c>
      <c r="J1046" s="21">
        <f t="shared" si="352"/>
        <v>0</v>
      </c>
      <c r="K1046" s="21">
        <f t="shared" si="352"/>
        <v>0</v>
      </c>
      <c r="L1046" s="21">
        <f t="shared" si="352"/>
        <v>0</v>
      </c>
      <c r="M1046" s="21">
        <f t="shared" si="352"/>
        <v>0</v>
      </c>
      <c r="N1046" s="21">
        <f t="shared" si="352"/>
        <v>0</v>
      </c>
      <c r="O1046" s="21">
        <f t="shared" si="352"/>
        <v>0</v>
      </c>
      <c r="P1046" s="18"/>
      <c r="W1046" s="21"/>
      <c r="X1046" s="21"/>
      <c r="Y1046" s="21"/>
    </row>
    <row r="1047" spans="2:25" s="16" customFormat="1">
      <c r="B1047" s="973" t="s">
        <v>45</v>
      </c>
      <c r="C1047" s="16" t="str">
        <f>INDEX(Vectors[Description], MATCH($B1047, Vectors[Code], 0))</f>
        <v>Gaseous hydrocarbons</v>
      </c>
      <c r="D1047" s="18"/>
      <c r="E1047" s="18"/>
      <c r="F1047" s="21">
        <f t="shared" ref="F1047:O1047" si="353">(F1035-F854)*Conversion.to.average.power</f>
        <v>0</v>
      </c>
      <c r="G1047" s="21">
        <f t="shared" si="353"/>
        <v>0</v>
      </c>
      <c r="H1047" s="21">
        <f t="shared" si="353"/>
        <v>0</v>
      </c>
      <c r="I1047" s="21">
        <f t="shared" si="353"/>
        <v>0</v>
      </c>
      <c r="J1047" s="21">
        <f t="shared" si="353"/>
        <v>0</v>
      </c>
      <c r="K1047" s="21">
        <f t="shared" si="353"/>
        <v>0</v>
      </c>
      <c r="L1047" s="21">
        <f t="shared" si="353"/>
        <v>0</v>
      </c>
      <c r="M1047" s="21">
        <f t="shared" si="353"/>
        <v>0</v>
      </c>
      <c r="N1047" s="21">
        <f t="shared" si="353"/>
        <v>0</v>
      </c>
      <c r="O1047" s="21">
        <f t="shared" si="353"/>
        <v>0</v>
      </c>
      <c r="P1047" s="18"/>
      <c r="W1047" s="21"/>
      <c r="X1047" s="21"/>
      <c r="Y1047" s="21"/>
    </row>
    <row r="1048" spans="2:25" s="16" customFormat="1">
      <c r="B1048" s="973" t="s">
        <v>625</v>
      </c>
      <c r="C1048" s="16" t="str">
        <f>INDEX(Vectors[Description], MATCH($B1048, Vectors[Code], 0))</f>
        <v>Heat transport</v>
      </c>
      <c r="D1048" s="18"/>
      <c r="E1048" s="18"/>
      <c r="F1048" s="21">
        <f t="shared" ref="F1048:O1048" si="354">(F1036-F855)*Conversion.to.average.power</f>
        <v>0</v>
      </c>
      <c r="G1048" s="21">
        <f t="shared" si="354"/>
        <v>0</v>
      </c>
      <c r="H1048" s="21">
        <f t="shared" si="354"/>
        <v>0</v>
      </c>
      <c r="I1048" s="21">
        <f t="shared" si="354"/>
        <v>0</v>
      </c>
      <c r="J1048" s="21">
        <f t="shared" si="354"/>
        <v>0</v>
      </c>
      <c r="K1048" s="21">
        <f t="shared" si="354"/>
        <v>0</v>
      </c>
      <c r="L1048" s="21">
        <f t="shared" si="354"/>
        <v>0</v>
      </c>
      <c r="M1048" s="21">
        <f t="shared" si="354"/>
        <v>0</v>
      </c>
      <c r="N1048" s="21">
        <f t="shared" si="354"/>
        <v>0</v>
      </c>
      <c r="O1048" s="21">
        <f t="shared" si="354"/>
        <v>0</v>
      </c>
      <c r="P1048" s="18"/>
      <c r="W1048" s="21"/>
      <c r="X1048" s="21"/>
      <c r="Y1048" s="21"/>
    </row>
    <row r="1049" spans="2:25" s="16" customFormat="1">
      <c r="B1049" s="973" t="s">
        <v>98</v>
      </c>
      <c r="C1049" s="16" t="str">
        <f>INDEX(Vectors[Description], MATCH($B1049, Vectors[Code], 0))</f>
        <v>Environmental heat</v>
      </c>
      <c r="D1049" s="18"/>
      <c r="E1049" s="18"/>
      <c r="F1049" s="21">
        <f t="shared" ref="F1049:O1049" si="355">(F1037-F856)*Conversion.to.average.power</f>
        <v>0</v>
      </c>
      <c r="G1049" s="21">
        <f t="shared" si="355"/>
        <v>0</v>
      </c>
      <c r="H1049" s="21">
        <f t="shared" si="355"/>
        <v>0</v>
      </c>
      <c r="I1049" s="21">
        <f t="shared" si="355"/>
        <v>6.2657866892095987E-2</v>
      </c>
      <c r="J1049" s="21">
        <f t="shared" si="355"/>
        <v>0.11814116191499507</v>
      </c>
      <c r="K1049" s="21">
        <f t="shared" si="355"/>
        <v>0.16580071610183039</v>
      </c>
      <c r="L1049" s="21">
        <f t="shared" si="355"/>
        <v>0.20829040553234174</v>
      </c>
      <c r="M1049" s="21">
        <f t="shared" si="355"/>
        <v>0.24483063986295009</v>
      </c>
      <c r="N1049" s="21">
        <f t="shared" si="355"/>
        <v>0.2798323868689192</v>
      </c>
      <c r="O1049" s="21">
        <f t="shared" si="355"/>
        <v>0.31164171537589508</v>
      </c>
      <c r="P1049" s="18"/>
      <c r="W1049" s="21"/>
      <c r="X1049" s="21"/>
      <c r="Y1049" s="21"/>
    </row>
    <row r="1050" spans="2:25" s="16" customFormat="1">
      <c r="B1050" s="973" t="s">
        <v>6</v>
      </c>
      <c r="C1050" s="16" t="str">
        <f>INDEX(Vectors[Description], MATCH($B1050, Vectors[Code], 0))</f>
        <v>Heating &amp; cooling</v>
      </c>
      <c r="D1050" s="18"/>
      <c r="E1050" s="18"/>
      <c r="F1050" s="21">
        <f t="shared" ref="F1050:O1050" si="356">(F1038-F857)*Conversion.to.average.power</f>
        <v>0</v>
      </c>
      <c r="G1050" s="21">
        <f t="shared" si="356"/>
        <v>0</v>
      </c>
      <c r="H1050" s="21">
        <f t="shared" si="356"/>
        <v>0</v>
      </c>
      <c r="I1050" s="21">
        <f t="shared" si="356"/>
        <v>0</v>
      </c>
      <c r="J1050" s="21">
        <f t="shared" si="356"/>
        <v>0</v>
      </c>
      <c r="K1050" s="21">
        <f t="shared" si="356"/>
        <v>0</v>
      </c>
      <c r="L1050" s="21">
        <f t="shared" si="356"/>
        <v>0</v>
      </c>
      <c r="M1050" s="21">
        <f t="shared" si="356"/>
        <v>3.2422666473196442E-15</v>
      </c>
      <c r="N1050" s="21">
        <f t="shared" si="356"/>
        <v>0</v>
      </c>
      <c r="O1050" s="21">
        <f t="shared" si="356"/>
        <v>0</v>
      </c>
      <c r="P1050" s="18"/>
      <c r="Q1050" s="552"/>
      <c r="W1050" s="21"/>
      <c r="X1050" s="21"/>
      <c r="Y1050" s="21"/>
    </row>
    <row r="1051" spans="2:25" s="16" customFormat="1">
      <c r="B1051" s="973" t="s">
        <v>31</v>
      </c>
      <c r="C1051" s="16" t="str">
        <f>INDEX(Vectors[Description], MATCH($B1051, Vectors[Code], 0))</f>
        <v>Conversion losses</v>
      </c>
      <c r="D1051" s="18"/>
      <c r="E1051" s="18"/>
      <c r="F1051" s="21">
        <f t="shared" ref="F1051:O1051" si="357">(F1039-F858)*Conversion.to.average.power</f>
        <v>0</v>
      </c>
      <c r="G1051" s="21">
        <f t="shared" si="357"/>
        <v>0</v>
      </c>
      <c r="H1051" s="21">
        <f t="shared" si="357"/>
        <v>0</v>
      </c>
      <c r="I1051" s="21">
        <f t="shared" si="357"/>
        <v>0</v>
      </c>
      <c r="J1051" s="21">
        <f t="shared" si="357"/>
        <v>0</v>
      </c>
      <c r="K1051" s="21">
        <f t="shared" si="357"/>
        <v>0</v>
      </c>
      <c r="L1051" s="21">
        <f t="shared" si="357"/>
        <v>0</v>
      </c>
      <c r="M1051" s="21">
        <f t="shared" si="357"/>
        <v>0</v>
      </c>
      <c r="N1051" s="21">
        <f t="shared" si="357"/>
        <v>0</v>
      </c>
      <c r="O1051" s="21">
        <f t="shared" si="357"/>
        <v>0</v>
      </c>
      <c r="P1051" s="18"/>
      <c r="W1051" s="21"/>
      <c r="X1051" s="21"/>
      <c r="Y1051" s="21"/>
    </row>
    <row r="1052" spans="2:25" s="16" customFormat="1">
      <c r="B1052" s="973"/>
      <c r="D1052" s="18"/>
      <c r="E1052" s="18" t="str">
        <f>Preferences.PowerUnits</f>
        <v>GW</v>
      </c>
      <c r="F1052" s="1452">
        <f t="shared" ref="F1052:O1052" si="358">SUM(F1043:F1051)</f>
        <v>0</v>
      </c>
      <c r="G1052" s="1452">
        <f t="shared" si="358"/>
        <v>0</v>
      </c>
      <c r="H1052" s="1452">
        <f t="shared" si="358"/>
        <v>0</v>
      </c>
      <c r="I1052" s="1452">
        <f t="shared" si="358"/>
        <v>0</v>
      </c>
      <c r="J1052" s="1452">
        <f t="shared" si="358"/>
        <v>0</v>
      </c>
      <c r="K1052" s="1452">
        <f t="shared" si="358"/>
        <v>4.163336342344337E-16</v>
      </c>
      <c r="L1052" s="1452">
        <f t="shared" si="358"/>
        <v>0</v>
      </c>
      <c r="M1052" s="1452">
        <f t="shared" si="358"/>
        <v>2.0210213202319721E-15</v>
      </c>
      <c r="N1052" s="1452">
        <f t="shared" si="358"/>
        <v>0</v>
      </c>
      <c r="O1052" s="1452">
        <f t="shared" si="358"/>
        <v>-8.3266726846886741E-16</v>
      </c>
      <c r="P1052" s="18"/>
      <c r="W1052" s="21"/>
      <c r="X1052" s="21"/>
      <c r="Y1052" s="21"/>
    </row>
    <row r="1053" spans="2:25" s="16" customFormat="1">
      <c r="B1053" s="18"/>
      <c r="C1053" s="18"/>
      <c r="D1053" s="18"/>
      <c r="E1053" s="18"/>
      <c r="F1053" s="21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W1053" s="21"/>
      <c r="X1053" s="21"/>
      <c r="Y1053" s="21"/>
    </row>
    <row r="1054" spans="2:25" s="16" customFormat="1">
      <c r="B1054" s="18"/>
      <c r="C1054" s="18" t="s">
        <v>1620</v>
      </c>
      <c r="D1054" s="18"/>
      <c r="E1054" s="1005" t="str">
        <f>Preferences.PowerUnits&amp;"e"</f>
        <v>GWe</v>
      </c>
      <c r="F1054" s="21">
        <f t="shared" ref="F1054:O1054" ca="1" si="359">-SUM(F1019:F1020)-SUM(F1043:F1044)+F985</f>
        <v>0</v>
      </c>
      <c r="G1054" s="21" t="e">
        <f t="shared" ca="1" si="359"/>
        <v>#REF!</v>
      </c>
      <c r="H1054" s="21" t="e">
        <f t="shared" ca="1" si="359"/>
        <v>#REF!</v>
      </c>
      <c r="I1054" s="21" t="e">
        <f t="shared" ca="1" si="359"/>
        <v>#REF!</v>
      </c>
      <c r="J1054" s="21" t="e">
        <f t="shared" ca="1" si="359"/>
        <v>#REF!</v>
      </c>
      <c r="K1054" s="21" t="e">
        <f t="shared" ca="1" si="359"/>
        <v>#REF!</v>
      </c>
      <c r="L1054" s="21" t="e">
        <f t="shared" ca="1" si="359"/>
        <v>#REF!</v>
      </c>
      <c r="M1054" s="21" t="e">
        <f t="shared" ca="1" si="359"/>
        <v>#REF!</v>
      </c>
      <c r="N1054" s="21" t="e">
        <f t="shared" ca="1" si="359"/>
        <v>#REF!</v>
      </c>
      <c r="O1054" s="21" t="e">
        <f t="shared" ca="1" si="359"/>
        <v>#REF!</v>
      </c>
      <c r="P1054" s="18"/>
      <c r="W1054" s="21"/>
      <c r="X1054" s="21"/>
      <c r="Y1054" s="21"/>
    </row>
    <row r="1055" spans="2:25" s="16" customFormat="1">
      <c r="B1055" s="18"/>
      <c r="C1055" s="18"/>
      <c r="D1055" s="18"/>
      <c r="E1055" s="18"/>
      <c r="F1055" s="21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W1055" s="21"/>
      <c r="X1055" s="21"/>
      <c r="Y1055" s="21"/>
    </row>
    <row r="1056" spans="2:25" s="16" customFormat="1">
      <c r="B1056" s="1298" t="s">
        <v>1619</v>
      </c>
      <c r="C1056" s="1298" t="s">
        <v>1634</v>
      </c>
      <c r="D1056" s="18"/>
      <c r="E1056" s="18"/>
      <c r="F1056" s="21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W1056" s="21"/>
      <c r="X1056" s="21"/>
      <c r="Y1056" s="21"/>
    </row>
    <row r="1057" spans="2:25" s="16" customFormat="1">
      <c r="B1057" s="18"/>
      <c r="C1057" s="18"/>
      <c r="D1057" s="18"/>
      <c r="E1057" s="18"/>
      <c r="F1057" s="568">
        <v>2007</v>
      </c>
      <c r="G1057" s="568">
        <v>2010</v>
      </c>
      <c r="H1057" s="568">
        <v>2015</v>
      </c>
      <c r="I1057" s="568">
        <v>2020</v>
      </c>
      <c r="J1057" s="568">
        <v>2025</v>
      </c>
      <c r="K1057" s="568">
        <v>2030</v>
      </c>
      <c r="L1057" s="568">
        <v>2035</v>
      </c>
      <c r="M1057" s="568">
        <v>2040</v>
      </c>
      <c r="N1057" s="568">
        <v>2045</v>
      </c>
      <c r="O1057" s="568">
        <v>2050</v>
      </c>
      <c r="P1057" s="18"/>
      <c r="W1057" s="21"/>
      <c r="X1057" s="21"/>
      <c r="Y1057" s="21"/>
    </row>
    <row r="1058" spans="2:25" s="16" customFormat="1">
      <c r="B1058" s="18"/>
      <c r="C1058" s="18" t="s">
        <v>1621</v>
      </c>
      <c r="D1058" s="18"/>
      <c r="E1058" s="18" t="str">
        <f>Preferences.PowerUnits&amp;"th/degree"</f>
        <v>GWth/degree</v>
      </c>
      <c r="F1058" s="21">
        <f t="shared" ref="F1058:O1058" si="360">F795*F825*Unit.W</f>
        <v>6.4273136800000001</v>
      </c>
      <c r="G1058" s="21">
        <f t="shared" si="360"/>
        <v>6.1453188167486372</v>
      </c>
      <c r="H1058" s="21">
        <f t="shared" si="360"/>
        <v>5.7925927519760592</v>
      </c>
      <c r="I1058" s="21">
        <f t="shared" si="360"/>
        <v>5.6360558213534739</v>
      </c>
      <c r="J1058" s="21">
        <f t="shared" si="360"/>
        <v>5.5959228430735699</v>
      </c>
      <c r="K1058" s="21">
        <f t="shared" si="360"/>
        <v>5.528133397238892</v>
      </c>
      <c r="L1058" s="21">
        <f t="shared" si="360"/>
        <v>5.5153142216250446</v>
      </c>
      <c r="M1058" s="21">
        <f t="shared" si="360"/>
        <v>5.5091309740870313</v>
      </c>
      <c r="N1058" s="21">
        <f t="shared" si="360"/>
        <v>5.5938366709286678</v>
      </c>
      <c r="O1058" s="21">
        <f t="shared" si="360"/>
        <v>5.7154442199117597</v>
      </c>
      <c r="P1058" s="21"/>
      <c r="W1058" s="21"/>
      <c r="X1058" s="21"/>
      <c r="Y1058" s="21"/>
    </row>
    <row r="1059" spans="2:25" s="16" customFormat="1">
      <c r="B1059" s="18"/>
      <c r="C1059" s="18"/>
      <c r="D1059" s="18"/>
      <c r="E1059" s="18"/>
      <c r="F1059" s="21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W1059" s="21"/>
      <c r="X1059" s="21"/>
      <c r="Y1059" s="21"/>
    </row>
    <row r="1060" spans="2:25" s="16" customFormat="1">
      <c r="B1060" s="18"/>
      <c r="C1060" s="1298" t="s">
        <v>1635</v>
      </c>
      <c r="D1060" s="18"/>
      <c r="E1060" s="18"/>
      <c r="F1060" s="568">
        <v>2007</v>
      </c>
      <c r="G1060" s="568">
        <v>2010</v>
      </c>
      <c r="H1060" s="568">
        <v>2015</v>
      </c>
      <c r="I1060" s="568">
        <v>2020</v>
      </c>
      <c r="J1060" s="568">
        <v>2025</v>
      </c>
      <c r="K1060" s="568">
        <v>2030</v>
      </c>
      <c r="L1060" s="568">
        <v>2035</v>
      </c>
      <c r="M1060" s="568">
        <v>2040</v>
      </c>
      <c r="N1060" s="568">
        <v>2045</v>
      </c>
      <c r="O1060" s="568">
        <v>2050</v>
      </c>
      <c r="P1060" s="18"/>
      <c r="W1060" s="21"/>
      <c r="X1060" s="21"/>
      <c r="Y1060" s="21"/>
    </row>
    <row r="1061" spans="2:25" s="16" customFormat="1">
      <c r="B1061" s="973">
        <v>1</v>
      </c>
      <c r="C1061" s="18" t="str">
        <f t="shared" ref="C1061:C1073" si="361">INDEX($D$76:$D$88, MATCH($B1061, $C$76:$C$88, 0))</f>
        <v>Gas boiler (old)</v>
      </c>
      <c r="D1061" s="18"/>
      <c r="E1061" s="18"/>
      <c r="F1061" s="21">
        <f t="array" ref="F1061:F1073">F$1058*F$624:F$636</f>
        <v>4.3063001656000006</v>
      </c>
      <c r="G1061" s="21">
        <f t="array" ref="G1061:G1073">G$1058*G$624:G$636</f>
        <v>3.7205276138762979</v>
      </c>
      <c r="H1061" s="21">
        <f t="array" ref="H1061:H1073">H$1058*H$624:H$636</f>
        <v>2.6789944807268609</v>
      </c>
      <c r="I1061" s="21">
        <f t="array" ref="I1061:I1073">I$1058*I$624:I$636</f>
        <v>2.2342271170352355</v>
      </c>
      <c r="J1061" s="21">
        <f t="array" ref="J1061:J1073">J$1058*J$624:J$636</f>
        <v>1.8485981090805694</v>
      </c>
      <c r="K1061" s="21">
        <f t="array" ref="K1061:K1073">K$1058*K$624:K$636</f>
        <v>1.4609632379088335</v>
      </c>
      <c r="L1061" s="21">
        <f t="array" ref="L1061:L1073">L$1058*L$624:L$636</f>
        <v>1.0931815602533876</v>
      </c>
      <c r="M1061" s="21">
        <f t="array" ref="M1061:M1073">M$1058*M$624:M$636</f>
        <v>0.72797065913659453</v>
      </c>
      <c r="N1061" s="21">
        <f t="array" ref="N1061:N1073">N$1058*N$624:N$636</f>
        <v>0.36958178954106541</v>
      </c>
      <c r="O1061" s="21">
        <f t="array" ref="O1061:O1073">O$1058*O$624:O$636</f>
        <v>0</v>
      </c>
      <c r="P1061" s="18"/>
      <c r="W1061" s="21"/>
      <c r="X1061" s="21"/>
      <c r="Y1061" s="21"/>
    </row>
    <row r="1062" spans="2:25" s="16" customFormat="1">
      <c r="B1062" s="973">
        <v>2</v>
      </c>
      <c r="C1062" s="18" t="str">
        <f t="shared" si="361"/>
        <v>Gas boiler (new)</v>
      </c>
      <c r="D1062" s="18"/>
      <c r="E1062" s="18"/>
      <c r="F1062" s="21">
        <v>0.96409705199999995</v>
      </c>
      <c r="G1062" s="21">
        <v>1.4789024082683502</v>
      </c>
      <c r="H1062" s="21">
        <v>2.4320938462009551</v>
      </c>
      <c r="I1062" s="21">
        <v>2.0283169903666218</v>
      </c>
      <c r="J1062" s="21">
        <v>1.6782281999975364</v>
      </c>
      <c r="K1062" s="21">
        <v>1.326318410137167</v>
      </c>
      <c r="L1062" s="21">
        <v>0.99243211010694665</v>
      </c>
      <c r="M1062" s="21">
        <v>0.66087965952830052</v>
      </c>
      <c r="N1062" s="21">
        <v>0.33552051057861249</v>
      </c>
      <c r="O1062" s="21">
        <v>0</v>
      </c>
      <c r="P1062" s="18"/>
      <c r="W1062" s="21"/>
      <c r="X1062" s="21"/>
      <c r="Y1062" s="21"/>
    </row>
    <row r="1063" spans="2:25" s="16" customFormat="1">
      <c r="B1063" s="973">
        <v>3</v>
      </c>
      <c r="C1063" s="18" t="str">
        <f t="shared" si="361"/>
        <v>Resistive heating</v>
      </c>
      <c r="D1063" s="18"/>
      <c r="E1063" s="18"/>
      <c r="F1063" s="21">
        <v>0.64273136800000008</v>
      </c>
      <c r="G1063" s="21">
        <v>0.52549377477999393</v>
      </c>
      <c r="H1063" s="21">
        <v>0.37838582813935667</v>
      </c>
      <c r="I1063" s="21">
        <v>0.31556611408225532</v>
      </c>
      <c r="J1063" s="21">
        <v>0.26109920398623487</v>
      </c>
      <c r="K1063" s="21">
        <v>0.20634898228954279</v>
      </c>
      <c r="L1063" s="21">
        <v>0.15440286008761117</v>
      </c>
      <c r="M1063" s="21">
        <v>0.10281983882393736</v>
      </c>
      <c r="N1063" s="21">
        <v>5.2200373127599349E-2</v>
      </c>
      <c r="O1063" s="21">
        <v>0</v>
      </c>
      <c r="P1063" s="18"/>
      <c r="W1063" s="21"/>
      <c r="X1063" s="21"/>
      <c r="Y1063" s="21"/>
    </row>
    <row r="1064" spans="2:25" s="16" customFormat="1">
      <c r="B1064" s="973">
        <v>4</v>
      </c>
      <c r="C1064" s="18" t="str">
        <f t="shared" si="361"/>
        <v>Oil-fired boiler</v>
      </c>
      <c r="D1064" s="18"/>
      <c r="E1064" s="18"/>
      <c r="F1064" s="21">
        <v>0.25709254720000002</v>
      </c>
      <c r="G1064" s="21">
        <v>0.21019750991199757</v>
      </c>
      <c r="H1064" s="21">
        <v>0.15135433125574266</v>
      </c>
      <c r="I1064" s="21">
        <v>0.12622644563290214</v>
      </c>
      <c r="J1064" s="21">
        <v>0.10443968159449395</v>
      </c>
      <c r="K1064" s="21">
        <v>8.2539592915817112E-2</v>
      </c>
      <c r="L1064" s="21">
        <v>6.1761144035044457E-2</v>
      </c>
      <c r="M1064" s="21">
        <v>4.112793552957493E-2</v>
      </c>
      <c r="N1064" s="21">
        <v>2.0880149251039728E-2</v>
      </c>
      <c r="O1064" s="21">
        <v>0</v>
      </c>
      <c r="P1064" s="18"/>
      <c r="W1064" s="21"/>
      <c r="X1064" s="21"/>
      <c r="Y1064" s="21"/>
    </row>
    <row r="1065" spans="2:25" s="16" customFormat="1">
      <c r="B1065" s="973">
        <v>5</v>
      </c>
      <c r="C1065" s="18" t="str">
        <f t="shared" si="361"/>
        <v>Solid-fuel boiler</v>
      </c>
      <c r="D1065" s="18"/>
      <c r="E1065" s="18"/>
      <c r="F1065" s="21">
        <v>0.25709254720000002</v>
      </c>
      <c r="G1065" s="21">
        <v>0.21019750991199757</v>
      </c>
      <c r="H1065" s="21">
        <v>0.15135433125574266</v>
      </c>
      <c r="I1065" s="21">
        <v>0.12622644563290214</v>
      </c>
      <c r="J1065" s="21">
        <v>0.10443968159449395</v>
      </c>
      <c r="K1065" s="21">
        <v>8.2539592915817112E-2</v>
      </c>
      <c r="L1065" s="21">
        <v>6.1761144035044457E-2</v>
      </c>
      <c r="M1065" s="21">
        <v>4.112793552957493E-2</v>
      </c>
      <c r="N1065" s="21">
        <v>2.0880149251039728E-2</v>
      </c>
      <c r="O1065" s="21">
        <v>0</v>
      </c>
      <c r="P1065" s="18"/>
      <c r="W1065" s="21"/>
      <c r="X1065" s="21"/>
      <c r="Y1065" s="21"/>
    </row>
    <row r="1066" spans="2:25" s="16" customFormat="1">
      <c r="B1066" s="973">
        <v>6</v>
      </c>
      <c r="C1066" s="18" t="str">
        <f t="shared" si="361"/>
        <v>Stirling engine micro-CHP</v>
      </c>
      <c r="D1066" s="18"/>
      <c r="E1066" s="18"/>
      <c r="F1066" s="21">
        <v>0</v>
      </c>
      <c r="G1066" s="21">
        <v>0</v>
      </c>
      <c r="H1066" s="21">
        <v>0</v>
      </c>
      <c r="I1066" s="21">
        <v>0</v>
      </c>
      <c r="J1066" s="21">
        <v>0</v>
      </c>
      <c r="K1066" s="21">
        <v>0</v>
      </c>
      <c r="L1066" s="21">
        <v>0</v>
      </c>
      <c r="M1066" s="21">
        <v>0</v>
      </c>
      <c r="N1066" s="21">
        <v>0</v>
      </c>
      <c r="O1066" s="21">
        <v>0</v>
      </c>
      <c r="P1066" s="18"/>
      <c r="W1066" s="21"/>
      <c r="X1066" s="21"/>
      <c r="Y1066" s="21"/>
    </row>
    <row r="1067" spans="2:25" s="16" customFormat="1">
      <c r="B1067" s="973">
        <v>7</v>
      </c>
      <c r="C1067" s="18" t="str">
        <f t="shared" si="361"/>
        <v>Fuel-cell micro-CHP</v>
      </c>
      <c r="D1067" s="18"/>
      <c r="E1067" s="18"/>
      <c r="F1067" s="21">
        <v>0</v>
      </c>
      <c r="G1067" s="21">
        <v>0</v>
      </c>
      <c r="H1067" s="21">
        <v>0</v>
      </c>
      <c r="I1067" s="21">
        <v>0</v>
      </c>
      <c r="J1067" s="21">
        <v>0</v>
      </c>
      <c r="K1067" s="21">
        <v>0</v>
      </c>
      <c r="L1067" s="21">
        <v>0</v>
      </c>
      <c r="M1067" s="21">
        <v>0</v>
      </c>
      <c r="N1067" s="21">
        <v>0</v>
      </c>
      <c r="O1067" s="21">
        <v>0</v>
      </c>
      <c r="P1067" s="18"/>
      <c r="W1067" s="21"/>
      <c r="X1067" s="21"/>
      <c r="Y1067" s="21"/>
    </row>
    <row r="1068" spans="2:25" s="16" customFormat="1">
      <c r="B1068" s="973">
        <v>8</v>
      </c>
      <c r="C1068" s="18" t="str">
        <f t="shared" si="361"/>
        <v>Air-source heat pump</v>
      </c>
      <c r="D1068" s="18"/>
      <c r="E1068" s="18"/>
      <c r="F1068" s="21">
        <v>0</v>
      </c>
      <c r="G1068" s="21">
        <v>0</v>
      </c>
      <c r="H1068" s="21">
        <v>0</v>
      </c>
      <c r="I1068" s="21">
        <v>0.46698748234071635</v>
      </c>
      <c r="J1068" s="21">
        <v>0.9273243568521915</v>
      </c>
      <c r="K1068" s="21">
        <v>1.3741360158850959</v>
      </c>
      <c r="L1068" s="21">
        <v>1.8279327134528718</v>
      </c>
      <c r="M1068" s="21">
        <v>2.2823542606931984</v>
      </c>
      <c r="N1068" s="21">
        <v>2.7809359449759659</v>
      </c>
      <c r="O1068" s="21">
        <v>3.3149576475488205</v>
      </c>
      <c r="P1068" s="18"/>
      <c r="W1068" s="21"/>
      <c r="X1068" s="21"/>
      <c r="Y1068" s="21"/>
    </row>
    <row r="1069" spans="2:25" s="16" customFormat="1">
      <c r="B1069" s="973">
        <v>9</v>
      </c>
      <c r="C1069" s="18" t="str">
        <f t="shared" si="361"/>
        <v>Ground-source heat pump</v>
      </c>
      <c r="D1069" s="18"/>
      <c r="E1069" s="18"/>
      <c r="F1069" s="21">
        <v>0</v>
      </c>
      <c r="G1069" s="21">
        <v>0</v>
      </c>
      <c r="H1069" s="21">
        <v>0</v>
      </c>
      <c r="I1069" s="21">
        <v>0.24154524948657746</v>
      </c>
      <c r="J1069" s="21">
        <v>0.47965052940630598</v>
      </c>
      <c r="K1069" s="21">
        <v>0.71076000821642893</v>
      </c>
      <c r="L1069" s="21">
        <v>0.9454824379928648</v>
      </c>
      <c r="M1069" s="21">
        <v>1.1805280658757926</v>
      </c>
      <c r="N1069" s="21">
        <v>1.4384151439530861</v>
      </c>
      <c r="O1069" s="21">
        <v>1.7146332659735279</v>
      </c>
      <c r="P1069" s="18"/>
      <c r="W1069" s="21"/>
      <c r="X1069" s="21"/>
      <c r="Y1069" s="21"/>
    </row>
    <row r="1070" spans="2:25" s="16" customFormat="1">
      <c r="B1070" s="973">
        <v>10</v>
      </c>
      <c r="C1070" s="18" t="str">
        <f t="shared" si="361"/>
        <v>Geothermal electricity</v>
      </c>
      <c r="D1070" s="18"/>
      <c r="E1070" s="18"/>
      <c r="F1070" s="21">
        <v>0</v>
      </c>
      <c r="G1070" s="21">
        <v>0</v>
      </c>
      <c r="H1070" s="21">
        <v>0</v>
      </c>
      <c r="I1070" s="21">
        <v>8.0515083162192493E-3</v>
      </c>
      <c r="J1070" s="21">
        <v>1.59883509802102E-2</v>
      </c>
      <c r="K1070" s="21">
        <v>2.3692000273880968E-2</v>
      </c>
      <c r="L1070" s="21">
        <v>3.1516081266428825E-2</v>
      </c>
      <c r="M1070" s="21">
        <v>3.9350935529193082E-2</v>
      </c>
      <c r="N1070" s="21">
        <v>4.794717146510287E-2</v>
      </c>
      <c r="O1070" s="21">
        <v>5.7154442199117597E-2</v>
      </c>
      <c r="P1070" s="18"/>
      <c r="W1070" s="21"/>
      <c r="X1070" s="21"/>
      <c r="Y1070" s="21"/>
    </row>
    <row r="1071" spans="2:25" s="16" customFormat="1">
      <c r="B1071" s="973">
        <v>11</v>
      </c>
      <c r="C1071" s="18" t="str">
        <f t="shared" si="361"/>
        <v>Community scale gas CHP with local district heating</v>
      </c>
      <c r="D1071" s="18"/>
      <c r="E1071" s="18"/>
      <c r="F1071" s="21">
        <v>0</v>
      </c>
      <c r="G1071" s="21">
        <v>0</v>
      </c>
      <c r="H1071" s="21">
        <v>0</v>
      </c>
      <c r="I1071" s="21">
        <v>0</v>
      </c>
      <c r="J1071" s="21">
        <v>0</v>
      </c>
      <c r="K1071" s="21">
        <v>0</v>
      </c>
      <c r="L1071" s="21">
        <v>0</v>
      </c>
      <c r="M1071" s="21">
        <v>0</v>
      </c>
      <c r="N1071" s="21">
        <v>0</v>
      </c>
      <c r="O1071" s="21">
        <v>0</v>
      </c>
      <c r="P1071" s="18"/>
      <c r="W1071" s="21"/>
      <c r="X1071" s="21"/>
      <c r="Y1071" s="21"/>
    </row>
    <row r="1072" spans="2:25" s="16" customFormat="1">
      <c r="B1072" s="973">
        <v>12</v>
      </c>
      <c r="C1072" s="18" t="str">
        <f t="shared" si="361"/>
        <v>Community scale solid-fuel CHP with local district heating</v>
      </c>
      <c r="D1072" s="18"/>
      <c r="E1072" s="18"/>
      <c r="F1072" s="21">
        <v>0</v>
      </c>
      <c r="G1072" s="21">
        <v>0</v>
      </c>
      <c r="H1072" s="21">
        <v>0</v>
      </c>
      <c r="I1072" s="21">
        <v>0</v>
      </c>
      <c r="J1072" s="21">
        <v>0</v>
      </c>
      <c r="K1072" s="21">
        <v>0</v>
      </c>
      <c r="L1072" s="21">
        <v>0</v>
      </c>
      <c r="M1072" s="21">
        <v>0</v>
      </c>
      <c r="N1072" s="21">
        <v>0</v>
      </c>
      <c r="O1072" s="21">
        <v>0</v>
      </c>
      <c r="P1072" s="18"/>
      <c r="W1072" s="21"/>
      <c r="X1072" s="21"/>
      <c r="Y1072" s="21"/>
    </row>
    <row r="1073" spans="2:25" s="16" customFormat="1">
      <c r="B1073" s="973">
        <v>13</v>
      </c>
      <c r="C1073" s="18" t="str">
        <f t="shared" si="361"/>
        <v>Long distance district heating from large power stations</v>
      </c>
      <c r="D1073" s="18"/>
      <c r="E1073" s="18"/>
      <c r="F1073" s="21">
        <v>0</v>
      </c>
      <c r="G1073" s="21">
        <v>0</v>
      </c>
      <c r="H1073" s="21">
        <v>0</v>
      </c>
      <c r="I1073" s="21">
        <v>8.8566591478411741E-2</v>
      </c>
      <c r="J1073" s="21">
        <v>0.17587186078231221</v>
      </c>
      <c r="K1073" s="21">
        <v>0.26061200301269066</v>
      </c>
      <c r="L1073" s="21">
        <v>0.3466768939307171</v>
      </c>
      <c r="M1073" s="21">
        <v>0.43286029082112387</v>
      </c>
      <c r="N1073" s="21">
        <v>0.52741888611613152</v>
      </c>
      <c r="O1073" s="21">
        <v>0.62869886419029353</v>
      </c>
      <c r="P1073" s="18"/>
      <c r="W1073" s="21"/>
      <c r="X1073" s="21"/>
      <c r="Y1073" s="21"/>
    </row>
    <row r="1074" spans="2:25" s="16" customFormat="1">
      <c r="B1074" s="973"/>
      <c r="C1074" s="18"/>
      <c r="D1074" s="18"/>
      <c r="E1074" s="18" t="str">
        <f>Preferences.PowerUnits&amp;"th/degree"</f>
        <v>GWth/degree</v>
      </c>
      <c r="F1074" s="1452">
        <f t="shared" ref="F1074:O1074" si="362">SUM(F1061:F1073)</f>
        <v>6.4273136800000001</v>
      </c>
      <c r="G1074" s="1452">
        <f t="shared" si="362"/>
        <v>6.1453188167486381</v>
      </c>
      <c r="H1074" s="1452">
        <f t="shared" si="362"/>
        <v>5.7921828175786576</v>
      </c>
      <c r="I1074" s="1452">
        <f t="shared" si="362"/>
        <v>5.635713944371842</v>
      </c>
      <c r="J1074" s="1452">
        <f t="shared" si="362"/>
        <v>5.5956399742743486</v>
      </c>
      <c r="K1074" s="1452">
        <f t="shared" si="362"/>
        <v>5.5279098435552738</v>
      </c>
      <c r="L1074" s="1452">
        <f t="shared" si="362"/>
        <v>5.5151469451609181</v>
      </c>
      <c r="M1074" s="1452">
        <f t="shared" si="362"/>
        <v>5.5090195814672906</v>
      </c>
      <c r="N1074" s="1452">
        <f t="shared" si="362"/>
        <v>5.5937801182596436</v>
      </c>
      <c r="O1074" s="1452">
        <f t="shared" si="362"/>
        <v>5.7154442199117597</v>
      </c>
      <c r="P1074" s="18"/>
      <c r="W1074" s="21"/>
      <c r="X1074" s="21"/>
      <c r="Y1074" s="21"/>
    </row>
    <row r="1075" spans="2:25" s="16" customFormat="1"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W1075" s="21"/>
      <c r="X1075" s="21"/>
      <c r="Y1075" s="21"/>
    </row>
    <row r="1076" spans="2:25" s="16" customFormat="1">
      <c r="B1076" s="1298"/>
      <c r="C1076" s="1298" t="s">
        <v>1618</v>
      </c>
      <c r="D1076" s="18"/>
      <c r="E1076" s="568"/>
      <c r="F1076" s="568">
        <v>2007</v>
      </c>
      <c r="G1076" s="568">
        <v>2010</v>
      </c>
      <c r="H1076" s="568">
        <v>2015</v>
      </c>
      <c r="I1076" s="568">
        <v>2020</v>
      </c>
      <c r="J1076" s="568">
        <v>2025</v>
      </c>
      <c r="K1076" s="568">
        <v>2030</v>
      </c>
      <c r="L1076" s="568">
        <v>2035</v>
      </c>
      <c r="M1076" s="568">
        <v>2040</v>
      </c>
      <c r="N1076" s="568">
        <v>2045</v>
      </c>
      <c r="O1076" s="568">
        <v>2050</v>
      </c>
      <c r="P1076" s="18"/>
      <c r="W1076" s="21"/>
      <c r="X1076" s="21"/>
      <c r="Y1076" s="21"/>
    </row>
    <row r="1077" spans="2:25" s="16" customFormat="1">
      <c r="B1077" s="973" t="s">
        <v>40</v>
      </c>
      <c r="C1077" s="16" t="str">
        <f>INDEX(Vectors[Description], MATCH($B1077, Vectors[Code], 0))</f>
        <v>Electricity (delivered to end user)</v>
      </c>
      <c r="D1077" s="18"/>
      <c r="E1077" s="18"/>
      <c r="F1077" s="21">
        <f t="array" ref="F1077">SUM(F$1061:F$1073/$M$165:$M$177*($B1077=$F$164:$N$164)*($F$165:$N$177))</f>
        <v>-0.64273136800000008</v>
      </c>
      <c r="G1077" s="21">
        <f t="array" ref="G1077">SUM(G$1061:G$1073/$M$165:$M$177*($B1077=$F$164:$N$164)*($F$165:$N$177))</f>
        <v>-0.52549377477999393</v>
      </c>
      <c r="H1077" s="21">
        <f t="array" ref="H1077">SUM(H$1061:H$1073/$M$165:$M$177*($B1077=$F$164:$N$164)*($F$165:$N$177))</f>
        <v>-0.37838582813935667</v>
      </c>
      <c r="I1077" s="21">
        <f t="array" ref="I1077">SUM(I$1061:I$1073/$M$165:$M$177*($B1077=$F$164:$N$164)*($F$165:$N$177))</f>
        <v>-0.54952071599798635</v>
      </c>
      <c r="J1077" s="21">
        <f t="array" ref="J1077">SUM(J$1061:J$1073/$M$165:$M$177*($B1077=$F$164:$N$164)*($F$165:$N$177))</f>
        <v>-0.72567654054924491</v>
      </c>
      <c r="K1077" s="21">
        <f t="array" ref="K1077">SUM(K$1061:K$1073/$M$165:$M$177*($B1077=$F$164:$N$164)*($F$165:$N$177))</f>
        <v>-0.89477309799187521</v>
      </c>
      <c r="L1077" s="21">
        <f t="array" ref="L1077">SUM(L$1061:L$1073/$M$165:$M$177*($B1077=$F$164:$N$164)*($F$165:$N$177))</f>
        <v>-1.070173167593607</v>
      </c>
      <c r="M1077" s="21">
        <f t="array" ref="M1077">SUM(M$1061:M$1073/$M$165:$M$177*($B1077=$F$164:$N$164)*($F$165:$N$177))</f>
        <v>-1.2462493796217025</v>
      </c>
      <c r="N1077" s="21">
        <f t="array" ref="N1077">SUM(N$1061:N$1073/$M$165:$M$177*($B1077=$F$164:$N$164)*($F$165:$N$177))</f>
        <v>-1.4454127965075241</v>
      </c>
      <c r="O1077" s="21">
        <f t="array" ref="O1077">SUM(O$1061:O$1073/$M$165:$M$177*($B1077=$F$164:$N$164)*($F$165:$N$177))</f>
        <v>-1.6607502901629119</v>
      </c>
      <c r="P1077" s="18"/>
      <c r="W1077" s="21"/>
      <c r="X1077" s="21"/>
      <c r="Y1077" s="21"/>
    </row>
    <row r="1078" spans="2:25" s="16" customFormat="1">
      <c r="B1078" s="973" t="s">
        <v>41</v>
      </c>
      <c r="C1078" s="16" t="str">
        <f>INDEX(Vectors[Description], MATCH($B1078, Vectors[Code], 0))</f>
        <v>Electricity (supplied to grid)</v>
      </c>
      <c r="D1078" s="18"/>
      <c r="E1078" s="18"/>
      <c r="F1078" s="21">
        <f t="array" ref="F1078">SUM(F$1061:F$1073/$M$165:$M$177*($B1078=$F$164:$N$164)*($F$165:$N$177))</f>
        <v>0</v>
      </c>
      <c r="G1078" s="21">
        <f t="array" ref="G1078">SUM(G$1061:G$1073/$M$165:$M$177*($B1078=$F$164:$N$164)*($F$165:$N$177))</f>
        <v>0</v>
      </c>
      <c r="H1078" s="21">
        <f t="array" ref="H1078">SUM(H$1061:H$1073/$M$165:$M$177*($B1078=$F$164:$N$164)*($F$165:$N$177))</f>
        <v>0</v>
      </c>
      <c r="I1078" s="21">
        <f t="array" ref="I1078">SUM(I$1061:I$1073/$M$165:$M$177*($B1078=$F$164:$N$164)*($F$165:$N$177))</f>
        <v>0</v>
      </c>
      <c r="J1078" s="21">
        <f t="array" ref="J1078">SUM(J$1061:J$1073/$M$165:$M$177*($B1078=$F$164:$N$164)*($F$165:$N$177))</f>
        <v>0</v>
      </c>
      <c r="K1078" s="21">
        <f t="array" ref="K1078">SUM(K$1061:K$1073/$M$165:$M$177*($B1078=$F$164:$N$164)*($F$165:$N$177))</f>
        <v>0</v>
      </c>
      <c r="L1078" s="21">
        <f t="array" ref="L1078">SUM(L$1061:L$1073/$M$165:$M$177*($B1078=$F$164:$N$164)*($F$165:$N$177))</f>
        <v>0</v>
      </c>
      <c r="M1078" s="21">
        <f t="array" ref="M1078">SUM(M$1061:M$1073/$M$165:$M$177*($B1078=$F$164:$N$164)*($F$165:$N$177))</f>
        <v>0</v>
      </c>
      <c r="N1078" s="21">
        <f t="array" ref="N1078">SUM(N$1061:N$1073/$M$165:$M$177*($B1078=$F$164:$N$164)*($F$165:$N$177))</f>
        <v>0</v>
      </c>
      <c r="O1078" s="21">
        <f t="array" ref="O1078">SUM(O$1061:O$1073/$M$165:$M$177*($B1078=$F$164:$N$164)*($F$165:$N$177))</f>
        <v>0</v>
      </c>
      <c r="P1078" s="18"/>
      <c r="W1078" s="21"/>
      <c r="X1078" s="21"/>
      <c r="Y1078" s="21"/>
    </row>
    <row r="1079" spans="2:25" s="16" customFormat="1">
      <c r="B1079" s="973" t="s">
        <v>42</v>
      </c>
      <c r="C1079" s="16" t="str">
        <f>INDEX(Vectors[Description], MATCH($B1079, Vectors[Code], 0))</f>
        <v>Solid hydrocarbons</v>
      </c>
      <c r="D1079" s="18"/>
      <c r="E1079" s="18"/>
      <c r="F1079" s="21">
        <f t="array" ref="F1079">SUM(F$1061:F$1073/$M$165:$M$177*($B1079=$F$164:$N$164)*($F$165:$N$177))</f>
        <v>-0.29550867494252875</v>
      </c>
      <c r="G1079" s="21">
        <f t="array" ref="G1079">SUM(G$1061:G$1073/$M$165:$M$177*($B1079=$F$164:$N$164)*($F$165:$N$177))</f>
        <v>-0.24160633323218111</v>
      </c>
      <c r="H1079" s="21">
        <f t="array" ref="H1079">SUM(H$1061:H$1073/$M$165:$M$177*($B1079=$F$164:$N$164)*($F$165:$N$177))</f>
        <v>-0.17397049569625592</v>
      </c>
      <c r="I1079" s="21">
        <f t="array" ref="I1079">SUM(I$1061:I$1073/$M$165:$M$177*($B1079=$F$164:$N$164)*($F$165:$N$177))</f>
        <v>-0.14508786854356567</v>
      </c>
      <c r="J1079" s="21">
        <f t="array" ref="J1079">SUM(J$1061:J$1073/$M$165:$M$177*($B1079=$F$164:$N$164)*($F$165:$N$177))</f>
        <v>-0.12004561102815396</v>
      </c>
      <c r="K1079" s="21">
        <f t="array" ref="K1079">SUM(K$1061:K$1073/$M$165:$M$177*($B1079=$F$164:$N$164)*($F$165:$N$177))</f>
        <v>-9.4873095305536906E-2</v>
      </c>
      <c r="L1079" s="21">
        <f t="array" ref="L1079">SUM(L$1061:L$1073/$M$165:$M$177*($B1079=$F$164:$N$164)*($F$165:$N$177))</f>
        <v>-7.0989820729936162E-2</v>
      </c>
      <c r="M1079" s="21">
        <f t="array" ref="M1079">SUM(M$1061:M$1073/$M$165:$M$177*($B1079=$F$164:$N$164)*($F$165:$N$177))</f>
        <v>-4.7273489114453941E-2</v>
      </c>
      <c r="N1079" s="21">
        <f t="array" ref="N1079">SUM(N$1061:N$1073/$M$165:$M$177*($B1079=$F$164:$N$164)*($F$165:$N$177))</f>
        <v>-2.4000171552919228E-2</v>
      </c>
      <c r="O1079" s="21">
        <f t="array" ref="O1079">SUM(O$1061:O$1073/$M$165:$M$177*($B1079=$F$164:$N$164)*($F$165:$N$177))</f>
        <v>0</v>
      </c>
      <c r="P1079" s="18"/>
      <c r="W1079" s="21"/>
      <c r="X1079" s="21"/>
      <c r="Y1079" s="21"/>
    </row>
    <row r="1080" spans="2:25" s="16" customFormat="1">
      <c r="B1080" s="973" t="s">
        <v>44</v>
      </c>
      <c r="C1080" s="16" t="str">
        <f>INDEX(Vectors[Description], MATCH($B1080, Vectors[Code], 0))</f>
        <v>Liquid hydrocarbons</v>
      </c>
      <c r="D1080" s="18"/>
      <c r="E1080" s="18"/>
      <c r="F1080" s="21">
        <f t="array" ref="F1080">SUM(F$1061:F$1073/$M$165:$M$177*($B1080=$F$164:$N$164)*($F$165:$N$177))</f>
        <v>-0.26504386309278355</v>
      </c>
      <c r="G1080" s="21">
        <f t="array" ref="G1080">SUM(G$1061:G$1073/$M$165:$M$177*($B1080=$F$164:$N$164)*($F$165:$N$177))</f>
        <v>-0.21669846382680161</v>
      </c>
      <c r="H1080" s="21">
        <f t="array" ref="H1080">SUM(H$1061:H$1073/$M$165:$M$177*($B1080=$F$164:$N$164)*($F$165:$N$177))</f>
        <v>-0.15603539304715738</v>
      </c>
      <c r="I1080" s="21">
        <f t="array" ref="I1080">SUM(I$1061:I$1073/$M$165:$M$177*($B1080=$F$164:$N$164)*($F$165:$N$177))</f>
        <v>-0.13013035632257952</v>
      </c>
      <c r="J1080" s="21">
        <f t="array" ref="J1080">SUM(J$1061:J$1073/$M$165:$M$177*($B1080=$F$164:$N$164)*($F$165:$N$177))</f>
        <v>-0.10766977483968448</v>
      </c>
      <c r="K1080" s="21">
        <f t="array" ref="K1080">SUM(K$1061:K$1073/$M$165:$M$177*($B1080=$F$164:$N$164)*($F$165:$N$177))</f>
        <v>-8.5092363830739287E-2</v>
      </c>
      <c r="L1080" s="21">
        <f t="array" ref="L1080">SUM(L$1061:L$1073/$M$165:$M$177*($B1080=$F$164:$N$164)*($F$165:$N$177))</f>
        <v>-6.3671282510355115E-2</v>
      </c>
      <c r="M1080" s="21">
        <f t="array" ref="M1080">SUM(M$1061:M$1073/$M$165:$M$177*($B1080=$F$164:$N$164)*($F$165:$N$177))</f>
        <v>-4.2399933535644259E-2</v>
      </c>
      <c r="N1080" s="21">
        <f t="array" ref="N1080">SUM(N$1061:N$1073/$M$165:$M$177*($B1080=$F$164:$N$164)*($F$165:$N$177))</f>
        <v>-2.1525927062927556E-2</v>
      </c>
      <c r="O1080" s="21">
        <f t="array" ref="O1080">SUM(O$1061:O$1073/$M$165:$M$177*($B1080=$F$164:$N$164)*($F$165:$N$177))</f>
        <v>0</v>
      </c>
      <c r="P1080" s="18"/>
      <c r="W1080" s="21"/>
      <c r="X1080" s="21"/>
      <c r="Y1080" s="21"/>
    </row>
    <row r="1081" spans="2:25" s="16" customFormat="1">
      <c r="B1081" s="973" t="s">
        <v>45</v>
      </c>
      <c r="C1081" s="16" t="str">
        <f>INDEX(Vectors[Description], MATCH($B1081, Vectors[Code], 0))</f>
        <v>Gaseous hydrocarbons</v>
      </c>
      <c r="D1081" s="18"/>
      <c r="E1081" s="18"/>
      <c r="F1081" s="21">
        <f t="array" ref="F1081">SUM(F$1061:F$1073/$M$165:$M$177*($B1081=$F$164:$N$164)*($F$165:$N$177))</f>
        <v>-6.7256317383111632</v>
      </c>
      <c r="G1081" s="21">
        <f t="array" ref="G1081">SUM(G$1061:G$1073/$M$165:$M$177*($B1081=$F$164:$N$164)*($F$165:$N$177))</f>
        <v>-6.5205985525034373</v>
      </c>
      <c r="H1081" s="21">
        <f t="array" ref="H1081">SUM(H$1061:H$1073/$M$165:$M$177*($B1081=$F$164:$N$164)*($F$165:$N$177))</f>
        <v>-6.1976233380193309</v>
      </c>
      <c r="I1081" s="21">
        <f t="array" ref="I1081">SUM(I$1061:I$1073/$M$165:$M$177*($B1081=$F$164:$N$164)*($F$165:$N$177))</f>
        <v>-5.1686922920484335</v>
      </c>
      <c r="J1081" s="21">
        <f t="array" ref="J1081">SUM(J$1061:J$1073/$M$165:$M$177*($B1081=$F$164:$N$164)*($F$165:$N$177))</f>
        <v>-4.2765727461848551</v>
      </c>
      <c r="K1081" s="21">
        <f t="array" ref="K1081">SUM(K$1061:K$1073/$M$165:$M$177*($B1081=$F$164:$N$164)*($F$165:$N$177))</f>
        <v>-3.3798128082725354</v>
      </c>
      <c r="L1081" s="21">
        <f t="array" ref="L1081">SUM(L$1061:L$1073/$M$165:$M$177*($B1081=$F$164:$N$164)*($F$165:$N$177))</f>
        <v>-2.5289815261883488</v>
      </c>
      <c r="M1081" s="21">
        <f t="array" ref="M1081">SUM(M$1061:M$1073/$M$165:$M$177*($B1081=$F$164:$N$164)*($F$165:$N$177))</f>
        <v>-1.6840975145399211</v>
      </c>
      <c r="N1081" s="21">
        <f t="array" ref="N1081">SUM(N$1061:N$1073/$M$165:$M$177*($B1081=$F$164:$N$164)*($F$165:$N$177))</f>
        <v>-0.85499568612220211</v>
      </c>
      <c r="O1081" s="21">
        <f t="array" ref="O1081">SUM(O$1061:O$1073/$M$165:$M$177*($B1081=$F$164:$N$164)*($F$165:$N$177))</f>
        <v>0</v>
      </c>
      <c r="P1081" s="18"/>
      <c r="W1081" s="21"/>
      <c r="X1081" s="21"/>
      <c r="Y1081" s="21"/>
    </row>
    <row r="1082" spans="2:25" s="16" customFormat="1">
      <c r="B1082" s="973" t="s">
        <v>625</v>
      </c>
      <c r="C1082" s="16" t="str">
        <f>INDEX(Vectors[Description], MATCH($B1082, Vectors[Code], 0))</f>
        <v>Heat transport</v>
      </c>
      <c r="D1082" s="18"/>
      <c r="E1082" s="18"/>
      <c r="F1082" s="21">
        <f t="array" ref="F1082">SUM(F$1061:F$1073/$M$165:$M$177*($B1082=$F$164:$N$164)*($F$165:$N$177))</f>
        <v>0</v>
      </c>
      <c r="G1082" s="21">
        <f t="array" ref="G1082">SUM(G$1061:G$1073/$M$165:$M$177*($B1082=$F$164:$N$164)*($F$165:$N$177))</f>
        <v>0</v>
      </c>
      <c r="H1082" s="21">
        <f t="array" ref="H1082">SUM(H$1061:H$1073/$M$165:$M$177*($B1082=$F$164:$N$164)*($F$165:$N$177))</f>
        <v>0</v>
      </c>
      <c r="I1082" s="21">
        <f t="array" ref="I1082">SUM(I$1061:I$1073/$M$165:$M$177*($B1082=$F$164:$N$164)*($F$165:$N$177))</f>
        <v>-9.8407323864901933E-2</v>
      </c>
      <c r="J1082" s="21">
        <f t="array" ref="J1082">SUM(J$1061:J$1073/$M$165:$M$177*($B1082=$F$164:$N$164)*($F$165:$N$177))</f>
        <v>-0.19541317864701355</v>
      </c>
      <c r="K1082" s="21">
        <f t="array" ref="K1082">SUM(K$1061:K$1073/$M$165:$M$177*($B1082=$F$164:$N$164)*($F$165:$N$177))</f>
        <v>-0.28956889223632293</v>
      </c>
      <c r="L1082" s="21">
        <f t="array" ref="L1082">SUM(L$1061:L$1073/$M$165:$M$177*($B1082=$F$164:$N$164)*($F$165:$N$177))</f>
        <v>-0.3851965488119079</v>
      </c>
      <c r="M1082" s="21">
        <f t="array" ref="M1082">SUM(M$1061:M$1073/$M$165:$M$177*($B1082=$F$164:$N$164)*($F$165:$N$177))</f>
        <v>-0.48095587869013762</v>
      </c>
      <c r="N1082" s="21">
        <f t="array" ref="N1082">SUM(N$1061:N$1073/$M$165:$M$177*($B1082=$F$164:$N$164)*($F$165:$N$177))</f>
        <v>-0.58602098457347951</v>
      </c>
      <c r="O1082" s="21">
        <f t="array" ref="O1082">SUM(O$1061:O$1073/$M$165:$M$177*($B1082=$F$164:$N$164)*($F$165:$N$177))</f>
        <v>-0.69855429354477061</v>
      </c>
      <c r="P1082" s="18"/>
      <c r="W1082" s="21"/>
      <c r="X1082" s="21"/>
      <c r="Y1082" s="21"/>
    </row>
    <row r="1083" spans="2:25" s="16" customFormat="1">
      <c r="B1083" s="973" t="s">
        <v>98</v>
      </c>
      <c r="C1083" s="16" t="str">
        <f>INDEX(Vectors[Description], MATCH($B1083, Vectors[Code], 0))</f>
        <v>Environmental heat</v>
      </c>
      <c r="D1083" s="18"/>
      <c r="E1083" s="18"/>
      <c r="F1083" s="21">
        <f t="array" ref="F1083">SUM(F$1061:F$1073/$M$165:$M$177*($B1083=$F$164:$N$164)*($F$165:$N$177))</f>
        <v>0</v>
      </c>
      <c r="G1083" s="21">
        <f t="array" ref="G1083">SUM(G$1061:G$1073/$M$165:$M$177*($B1083=$F$164:$N$164)*($F$165:$N$177))</f>
        <v>0</v>
      </c>
      <c r="H1083" s="21">
        <f t="array" ref="H1083">SUM(H$1061:H$1073/$M$165:$M$177*($B1083=$F$164:$N$164)*($F$165:$N$177))</f>
        <v>0</v>
      </c>
      <c r="I1083" s="21">
        <f t="array" ref="I1083">SUM(I$1061:I$1073/$M$165:$M$177*($B1083=$F$164:$N$164)*($F$165:$N$177))</f>
        <v>-0.48405049263652661</v>
      </c>
      <c r="J1083" s="21">
        <f t="array" ref="J1083">SUM(J$1061:J$1073/$M$165:$M$177*($B1083=$F$164:$N$164)*($F$165:$N$177))</f>
        <v>-0.96120737437808756</v>
      </c>
      <c r="K1083" s="21">
        <f t="array" ref="K1083">SUM(K$1061:K$1073/$M$165:$M$177*($B1083=$F$164:$N$164)*($F$165:$N$177))</f>
        <v>-1.4243448498978761</v>
      </c>
      <c r="L1083" s="21">
        <f t="array" ref="L1083">SUM(L$1061:L$1073/$M$165:$M$177*($B1083=$F$164:$N$164)*($F$165:$N$177))</f>
        <v>-1.8947225866061277</v>
      </c>
      <c r="M1083" s="21">
        <f t="array" ref="M1083">SUM(M$1061:M$1073/$M$165:$M$177*($B1083=$F$164:$N$164)*($F$165:$N$177))</f>
        <v>-2.3657480040408649</v>
      </c>
      <c r="N1083" s="21">
        <f t="array" ref="N1083">SUM(N$1061:N$1073/$M$165:$M$177*($B1083=$F$164:$N$164)*($F$165:$N$177))</f>
        <v>-2.8825471025668952</v>
      </c>
      <c r="O1083" s="21">
        <f t="array" ref="O1083">SUM(O$1061:O$1073/$M$165:$M$177*($B1083=$F$164:$N$164)*($F$165:$N$177))</f>
        <v>-3.4360811435936927</v>
      </c>
      <c r="P1083" s="18"/>
      <c r="W1083" s="21"/>
      <c r="X1083" s="21"/>
      <c r="Y1083" s="21"/>
    </row>
    <row r="1084" spans="2:25" s="16" customFormat="1">
      <c r="B1084" s="973" t="s">
        <v>6</v>
      </c>
      <c r="C1084" s="16" t="str">
        <f>INDEX(Vectors[Description], MATCH($B1084, Vectors[Code], 0))</f>
        <v>Heating &amp; cooling</v>
      </c>
      <c r="D1084" s="18"/>
      <c r="E1084" s="18"/>
      <c r="F1084" s="21">
        <f t="array" ref="F1084">SUM(F$1061:F$1073/$M$165:$M$177*($B1084=$F$164:$N$164)*($F$165:$N$177))</f>
        <v>6.4273136800000001</v>
      </c>
      <c r="G1084" s="21">
        <f t="array" ref="G1084">SUM(G$1061:G$1073/$M$165:$M$177*($B1084=$F$164:$N$164)*($F$165:$N$177))</f>
        <v>6.1453188167486381</v>
      </c>
      <c r="H1084" s="21">
        <f t="array" ref="H1084">SUM(H$1061:H$1073/$M$165:$M$177*($B1084=$F$164:$N$164)*($F$165:$N$177))</f>
        <v>5.7921828175786576</v>
      </c>
      <c r="I1084" s="21">
        <f t="array" ref="I1084">SUM(I$1061:I$1073/$M$165:$M$177*($B1084=$F$164:$N$164)*($F$165:$N$177))</f>
        <v>5.635713944371842</v>
      </c>
      <c r="J1084" s="21">
        <f t="array" ref="J1084">SUM(J$1061:J$1073/$M$165:$M$177*($B1084=$F$164:$N$164)*($F$165:$N$177))</f>
        <v>5.5956399742743486</v>
      </c>
      <c r="K1084" s="21">
        <f t="array" ref="K1084">SUM(K$1061:K$1073/$M$165:$M$177*($B1084=$F$164:$N$164)*($F$165:$N$177))</f>
        <v>5.5279098435552738</v>
      </c>
      <c r="L1084" s="21">
        <f t="array" ref="L1084">SUM(L$1061:L$1073/$M$165:$M$177*($B1084=$F$164:$N$164)*($F$165:$N$177))</f>
        <v>5.5151469451609181</v>
      </c>
      <c r="M1084" s="21">
        <f t="array" ref="M1084">SUM(M$1061:M$1073/$M$165:$M$177*($B1084=$F$164:$N$164)*($F$165:$N$177))</f>
        <v>5.5090195814672906</v>
      </c>
      <c r="N1084" s="21">
        <f t="array" ref="N1084">SUM(N$1061:N$1073/$M$165:$M$177*($B1084=$F$164:$N$164)*($F$165:$N$177))</f>
        <v>5.5937801182596436</v>
      </c>
      <c r="O1084" s="21">
        <f t="array" ref="O1084">SUM(O$1061:O$1073/$M$165:$M$177*($B1084=$F$164:$N$164)*($F$165:$N$177))</f>
        <v>5.7154442199117597</v>
      </c>
      <c r="P1084" s="18"/>
      <c r="W1084" s="21"/>
      <c r="X1084" s="21"/>
      <c r="Y1084" s="21"/>
    </row>
    <row r="1085" spans="2:25" s="16" customFormat="1">
      <c r="B1085" s="973" t="s">
        <v>31</v>
      </c>
      <c r="C1085" s="16" t="str">
        <f>INDEX(Vectors[Description], MATCH($B1085, Vectors[Code], 0))</f>
        <v>Conversion losses</v>
      </c>
      <c r="D1085" s="18"/>
      <c r="E1085" s="18"/>
      <c r="F1085" s="21">
        <f t="array" ref="F1085">SUM(F$1061:F$1073/$M$165:$M$177*($B1085=$F$164:$N$164)*($F$165:$N$177))</f>
        <v>1.5016019643464751</v>
      </c>
      <c r="G1085" s="21">
        <f t="array" ref="G1085">SUM(G$1061:G$1073/$M$165:$M$177*($B1085=$F$164:$N$164)*($F$165:$N$177))</f>
        <v>1.3590783075937765</v>
      </c>
      <c r="H1085" s="21">
        <f t="array" ref="H1085">SUM(H$1061:H$1073/$M$165:$M$177*($B1085=$F$164:$N$164)*($F$165:$N$177))</f>
        <v>1.1138322373234428</v>
      </c>
      <c r="I1085" s="21">
        <f t="array" ref="I1085">SUM(I$1061:I$1073/$M$165:$M$177*($B1085=$F$164:$N$164)*($F$165:$N$177))</f>
        <v>0.94017510504215229</v>
      </c>
      <c r="J1085" s="21">
        <f t="array" ref="J1085">SUM(J$1061:J$1073/$M$165:$M$177*($B1085=$F$164:$N$164)*($F$165:$N$177))</f>
        <v>0.79094525135269134</v>
      </c>
      <c r="K1085" s="21">
        <f t="array" ref="K1085">SUM(K$1061:K$1073/$M$165:$M$177*($B1085=$F$164:$N$164)*($F$165:$N$177))</f>
        <v>0.6405552639796116</v>
      </c>
      <c r="L1085" s="21">
        <f t="array" ref="L1085">SUM(L$1061:L$1073/$M$165:$M$177*($B1085=$F$164:$N$164)*($F$165:$N$177))</f>
        <v>0.49858798727936587</v>
      </c>
      <c r="M1085" s="21">
        <f t="array" ref="M1085">SUM(M$1061:M$1073/$M$165:$M$177*($B1085=$F$164:$N$164)*($F$165:$N$177))</f>
        <v>0.35770461807543391</v>
      </c>
      <c r="N1085" s="21">
        <f t="array" ref="N1085">SUM(N$1061:N$1073/$M$165:$M$177*($B1085=$F$164:$N$164)*($F$165:$N$177))</f>
        <v>0.22072255012630473</v>
      </c>
      <c r="O1085" s="21">
        <f t="array" ref="O1085">SUM(O$1061:O$1073/$M$165:$M$177*($B1085=$F$164:$N$164)*($F$165:$N$177))</f>
        <v>7.9941507389615474E-2</v>
      </c>
      <c r="P1085" s="18"/>
      <c r="W1085" s="21"/>
      <c r="X1085" s="21"/>
      <c r="Y1085" s="21"/>
    </row>
    <row r="1086" spans="2:25" s="16" customFormat="1">
      <c r="B1086" s="973"/>
      <c r="D1086" s="18"/>
      <c r="E1086" s="18" t="str">
        <f>Preferences.PowerUnits&amp;"/degree"</f>
        <v>GW/degree</v>
      </c>
      <c r="F1086" s="1452">
        <f t="shared" ref="F1086:O1086" si="363">SUM(F1077:F1085)</f>
        <v>0</v>
      </c>
      <c r="G1086" s="1452">
        <f t="shared" si="363"/>
        <v>0</v>
      </c>
      <c r="H1086" s="1452">
        <f t="shared" si="363"/>
        <v>0</v>
      </c>
      <c r="I1086" s="1452">
        <f t="shared" si="363"/>
        <v>0</v>
      </c>
      <c r="J1086" s="1452">
        <f t="shared" si="363"/>
        <v>0</v>
      </c>
      <c r="K1086" s="1452">
        <f t="shared" si="363"/>
        <v>0</v>
      </c>
      <c r="L1086" s="1452">
        <f t="shared" si="363"/>
        <v>1.27675647831893E-15</v>
      </c>
      <c r="M1086" s="1452">
        <f t="shared" si="363"/>
        <v>0</v>
      </c>
      <c r="N1086" s="1452">
        <f t="shared" si="363"/>
        <v>0</v>
      </c>
      <c r="O1086" s="1452">
        <f t="shared" si="363"/>
        <v>0</v>
      </c>
      <c r="P1086" s="18"/>
      <c r="W1086" s="21"/>
      <c r="X1086" s="21"/>
      <c r="Y1086" s="21"/>
    </row>
    <row r="1087" spans="2:25" s="16" customFormat="1">
      <c r="B1087" s="18"/>
      <c r="C1087" s="18"/>
      <c r="D1087" s="18"/>
      <c r="E1087" s="18"/>
      <c r="F1087" s="21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W1087" s="21"/>
      <c r="X1087" s="21"/>
      <c r="Y1087" s="21"/>
    </row>
    <row r="1088" spans="2:25" s="16" customFormat="1">
      <c r="B1088" s="18"/>
      <c r="C1088" s="18" t="s">
        <v>1622</v>
      </c>
      <c r="D1088" s="18"/>
      <c r="E1088" s="1005" t="str">
        <f>Preferences.PowerUnits&amp;"e/degree"</f>
        <v>GWe/degree</v>
      </c>
      <c r="F1088" s="21">
        <f>-SUM(F1077:F1078)</f>
        <v>0.64273136800000008</v>
      </c>
      <c r="G1088" s="21">
        <f t="shared" ref="G1088:O1088" si="364">-SUM(G1077:G1078)</f>
        <v>0.52549377477999393</v>
      </c>
      <c r="H1088" s="21">
        <f t="shared" si="364"/>
        <v>0.37838582813935667</v>
      </c>
      <c r="I1088" s="21">
        <f t="shared" si="364"/>
        <v>0.54952071599798635</v>
      </c>
      <c r="J1088" s="21">
        <f t="shared" si="364"/>
        <v>0.72567654054924491</v>
      </c>
      <c r="K1088" s="21">
        <f t="shared" si="364"/>
        <v>0.89477309799187521</v>
      </c>
      <c r="L1088" s="21">
        <f t="shared" si="364"/>
        <v>1.070173167593607</v>
      </c>
      <c r="M1088" s="21">
        <f t="shared" si="364"/>
        <v>1.2462493796217025</v>
      </c>
      <c r="N1088" s="21">
        <f t="shared" si="364"/>
        <v>1.4454127965075241</v>
      </c>
      <c r="O1088" s="21">
        <f t="shared" si="364"/>
        <v>1.6607502901629119</v>
      </c>
      <c r="P1088" s="18"/>
      <c r="W1088" s="21"/>
      <c r="X1088" s="21"/>
      <c r="Y1088" s="21"/>
    </row>
    <row r="1089" spans="2:25" s="16" customFormat="1">
      <c r="B1089" s="18"/>
      <c r="C1089" s="18"/>
      <c r="D1089" s="18"/>
      <c r="E1089" s="18"/>
      <c r="F1089" s="21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W1089" s="21"/>
      <c r="X1089" s="21"/>
      <c r="Y1089" s="21"/>
    </row>
    <row r="1090" spans="2:25" s="16" customFormat="1">
      <c r="B1090" s="1298">
        <v>9</v>
      </c>
      <c r="C1090" s="1298" t="s">
        <v>1580</v>
      </c>
      <c r="D1090" s="18"/>
      <c r="E1090" s="18"/>
      <c r="F1090" s="1299"/>
      <c r="G1090" s="1299"/>
      <c r="H1090" s="1299"/>
      <c r="I1090" s="1299"/>
      <c r="J1090" s="1299"/>
      <c r="K1090" s="1299"/>
      <c r="L1090" s="1299"/>
      <c r="M1090" s="1299"/>
      <c r="N1090" s="1299"/>
      <c r="O1090" s="1286" t="str">
        <f>Preferences.moneyunits&amp;"/yr proceeding 5 years"</f>
        <v>£m/yr proceeding 5 years</v>
      </c>
      <c r="P1090" s="18"/>
      <c r="W1090" s="21"/>
      <c r="X1090" s="21"/>
      <c r="Y1090" s="21"/>
    </row>
    <row r="1091" spans="2:25" s="16" customFormat="1">
      <c r="B1091" s="1298"/>
      <c r="D1091" s="18"/>
      <c r="E1091" s="18"/>
      <c r="F1091" s="1299"/>
      <c r="G1091" s="1299"/>
      <c r="H1091" s="1299"/>
      <c r="I1091" s="1299"/>
      <c r="J1091" s="1299"/>
      <c r="K1091" s="1299"/>
      <c r="L1091" s="1299"/>
      <c r="M1091" s="1299"/>
      <c r="N1091" s="1299"/>
      <c r="P1091" s="18"/>
      <c r="W1091" s="21"/>
      <c r="X1091" s="21"/>
      <c r="Y1091" s="21"/>
    </row>
    <row r="1092" spans="2:25" s="16" customFormat="1">
      <c r="B1092" s="1298"/>
      <c r="C1092" s="1298" t="s">
        <v>1582</v>
      </c>
      <c r="D1092" s="18"/>
      <c r="E1092" s="18"/>
      <c r="F1092" s="568"/>
      <c r="G1092" s="568">
        <v>2010</v>
      </c>
      <c r="H1092" s="568">
        <v>2015</v>
      </c>
      <c r="I1092" s="568">
        <v>2020</v>
      </c>
      <c r="J1092" s="568">
        <v>2025</v>
      </c>
      <c r="K1092" s="568">
        <v>2030</v>
      </c>
      <c r="L1092" s="568">
        <v>2035</v>
      </c>
      <c r="M1092" s="568">
        <v>2040</v>
      </c>
      <c r="N1092" s="568">
        <v>2045</v>
      </c>
      <c r="O1092" s="568">
        <v>2050</v>
      </c>
      <c r="P1092" s="18"/>
    </row>
    <row r="1093" spans="2:25" s="16" customFormat="1">
      <c r="B1093" s="1298"/>
      <c r="C1093" s="495" t="s">
        <v>1301</v>
      </c>
      <c r="D1093" s="18"/>
      <c r="E1093" s="18" t="str">
        <f t="shared" ref="E1093:E1099" si="365">Preferences.moneyunits</f>
        <v>£m</v>
      </c>
      <c r="F1093" s="1299"/>
      <c r="G1093" s="563">
        <f>G584*G386</f>
        <v>1290.3349247537994</v>
      </c>
      <c r="H1093" s="563">
        <f t="shared" ref="H1093:O1093" si="366">H584*H386</f>
        <v>1290.3349247537994</v>
      </c>
      <c r="I1093" s="563">
        <f t="shared" si="366"/>
        <v>1290.3349247537997</v>
      </c>
      <c r="J1093" s="563">
        <f t="shared" si="366"/>
        <v>1290.3349247537997</v>
      </c>
      <c r="K1093" s="563">
        <f t="shared" si="366"/>
        <v>1290.3349247537992</v>
      </c>
      <c r="L1093" s="563">
        <f t="shared" si="366"/>
        <v>1290.3349247537997</v>
      </c>
      <c r="M1093" s="563">
        <f t="shared" si="366"/>
        <v>1290.3349247537997</v>
      </c>
      <c r="N1093" s="563">
        <f t="shared" si="366"/>
        <v>148.19999999999999</v>
      </c>
      <c r="O1093" s="563">
        <f t="shared" si="366"/>
        <v>148.19999999999999</v>
      </c>
      <c r="P1093" s="18"/>
    </row>
    <row r="1094" spans="2:25" s="16" customFormat="1">
      <c r="B1094" s="1298"/>
      <c r="C1094" s="1453" t="s">
        <v>1302</v>
      </c>
      <c r="D1094" s="18"/>
      <c r="E1094" s="18" t="str">
        <f t="shared" si="365"/>
        <v>£m</v>
      </c>
      <c r="F1094" s="1299"/>
      <c r="G1094" s="563">
        <f t="shared" ref="G1094:O1094" si="367">G585*G387</f>
        <v>1235.25</v>
      </c>
      <c r="H1094" s="563">
        <f t="shared" si="367"/>
        <v>1235.25</v>
      </c>
      <c r="I1094" s="563">
        <f t="shared" si="367"/>
        <v>247.04999999999998</v>
      </c>
      <c r="J1094" s="563">
        <f t="shared" si="367"/>
        <v>0</v>
      </c>
      <c r="K1094" s="563">
        <f t="shared" si="367"/>
        <v>0</v>
      </c>
      <c r="L1094" s="563">
        <f t="shared" si="367"/>
        <v>0</v>
      </c>
      <c r="M1094" s="563">
        <f t="shared" si="367"/>
        <v>0</v>
      </c>
      <c r="N1094" s="563">
        <f t="shared" si="367"/>
        <v>0</v>
      </c>
      <c r="O1094" s="563">
        <f t="shared" si="367"/>
        <v>0</v>
      </c>
      <c r="P1094" s="18"/>
    </row>
    <row r="1095" spans="2:25" s="16" customFormat="1">
      <c r="B1095" s="1298"/>
      <c r="C1095" s="1453" t="s">
        <v>1303</v>
      </c>
      <c r="D1095" s="18"/>
      <c r="E1095" s="18" t="str">
        <f t="shared" si="365"/>
        <v>£m</v>
      </c>
      <c r="F1095" s="1299"/>
      <c r="G1095" s="563">
        <f t="shared" ref="G1095:O1095" si="368">G586*G388</f>
        <v>215.03023255813952</v>
      </c>
      <c r="H1095" s="563">
        <f t="shared" si="368"/>
        <v>215.03023255813952</v>
      </c>
      <c r="I1095" s="563">
        <f t="shared" si="368"/>
        <v>215.03023255813955</v>
      </c>
      <c r="J1095" s="563">
        <f t="shared" si="368"/>
        <v>215.03023255813957</v>
      </c>
      <c r="K1095" s="563">
        <f t="shared" si="368"/>
        <v>215.03023255813946</v>
      </c>
      <c r="L1095" s="563">
        <f t="shared" si="368"/>
        <v>215.03023255813946</v>
      </c>
      <c r="M1095" s="563">
        <f t="shared" si="368"/>
        <v>215.03023255813969</v>
      </c>
      <c r="N1095" s="563">
        <f t="shared" si="368"/>
        <v>215.03023255813946</v>
      </c>
      <c r="O1095" s="563">
        <f t="shared" si="368"/>
        <v>215.03023255813946</v>
      </c>
      <c r="P1095" s="18"/>
    </row>
    <row r="1096" spans="2:25" s="16" customFormat="1">
      <c r="B1096" s="1298"/>
      <c r="C1096" s="1453" t="s">
        <v>1304</v>
      </c>
      <c r="D1096" s="18"/>
      <c r="E1096" s="18" t="str">
        <f t="shared" si="365"/>
        <v>£m</v>
      </c>
      <c r="F1096" s="1299"/>
      <c r="G1096" s="563">
        <f t="shared" ref="G1096:O1096" si="369">G587*G389</f>
        <v>1710.1227906976742</v>
      </c>
      <c r="H1096" s="563">
        <f t="shared" si="369"/>
        <v>1710.1227906976742</v>
      </c>
      <c r="I1096" s="563">
        <f t="shared" si="369"/>
        <v>1710.1227906976746</v>
      </c>
      <c r="J1096" s="563">
        <f t="shared" si="369"/>
        <v>1710.1227906976746</v>
      </c>
      <c r="K1096" s="563">
        <f t="shared" si="369"/>
        <v>1710.1227906976737</v>
      </c>
      <c r="L1096" s="563">
        <f t="shared" si="369"/>
        <v>1710.1227906976746</v>
      </c>
      <c r="M1096" s="563">
        <f t="shared" si="369"/>
        <v>1710.1227906976737</v>
      </c>
      <c r="N1096" s="563">
        <f t="shared" si="369"/>
        <v>1710.1227906976756</v>
      </c>
      <c r="O1096" s="563">
        <f t="shared" si="369"/>
        <v>1710.1227906976737</v>
      </c>
      <c r="P1096" s="18"/>
    </row>
    <row r="1097" spans="2:25" s="16" customFormat="1">
      <c r="B1097" s="1298"/>
      <c r="C1097" s="1453" t="s">
        <v>1305</v>
      </c>
      <c r="D1097" s="18"/>
      <c r="E1097" s="18" t="str">
        <f t="shared" si="365"/>
        <v>£m</v>
      </c>
      <c r="F1097" s="1299"/>
      <c r="G1097" s="563">
        <f t="shared" ref="G1097:O1097" si="370">G588*G390</f>
        <v>379.48743360000003</v>
      </c>
      <c r="H1097" s="563">
        <f t="shared" si="370"/>
        <v>224.19718116631552</v>
      </c>
      <c r="I1097" s="563">
        <f t="shared" si="370"/>
        <v>120.67034621052602</v>
      </c>
      <c r="J1097" s="563">
        <f t="shared" si="370"/>
        <v>120.67034621052602</v>
      </c>
      <c r="K1097" s="563">
        <f t="shared" si="370"/>
        <v>120.67034621052602</v>
      </c>
      <c r="L1097" s="563">
        <f t="shared" si="370"/>
        <v>120.67034621052602</v>
      </c>
      <c r="M1097" s="563">
        <f t="shared" si="370"/>
        <v>120.67034621052575</v>
      </c>
      <c r="N1097" s="563">
        <f t="shared" si="370"/>
        <v>120.67034621052602</v>
      </c>
      <c r="O1097" s="563">
        <f t="shared" si="370"/>
        <v>120.67034621052602</v>
      </c>
      <c r="P1097" s="18"/>
    </row>
    <row r="1098" spans="2:25" s="16" customFormat="1">
      <c r="B1098" s="1298"/>
      <c r="C1098" s="1453" t="s">
        <v>1306</v>
      </c>
      <c r="D1098" s="993"/>
      <c r="E1098" s="18" t="str">
        <f t="shared" si="365"/>
        <v>£m</v>
      </c>
      <c r="F1098" s="1003"/>
      <c r="G1098" s="563">
        <f t="shared" ref="G1098:O1098" si="371">G589*G391</f>
        <v>1933.2905622539811</v>
      </c>
      <c r="H1098" s="563">
        <f t="shared" si="371"/>
        <v>1933.2905622539806</v>
      </c>
      <c r="I1098" s="563">
        <f t="shared" si="371"/>
        <v>1933.2905622539811</v>
      </c>
      <c r="J1098" s="563">
        <f t="shared" si="371"/>
        <v>62.831943273254481</v>
      </c>
      <c r="K1098" s="563">
        <f t="shared" si="371"/>
        <v>62.831943273253742</v>
      </c>
      <c r="L1098" s="563">
        <f t="shared" si="371"/>
        <v>62.831943273254481</v>
      </c>
      <c r="M1098" s="563">
        <f t="shared" si="371"/>
        <v>62.831943273254481</v>
      </c>
      <c r="N1098" s="563">
        <f t="shared" si="371"/>
        <v>62.831943273253742</v>
      </c>
      <c r="O1098" s="563">
        <f t="shared" si="371"/>
        <v>62.831943273254481</v>
      </c>
      <c r="P1098" s="18"/>
    </row>
    <row r="1099" spans="2:25" s="16" customFormat="1">
      <c r="B1099" s="1298"/>
      <c r="C1099" s="1724" t="s">
        <v>133</v>
      </c>
      <c r="D1099" s="1725"/>
      <c r="E1099" s="1725" t="str">
        <f t="shared" si="365"/>
        <v>£m</v>
      </c>
      <c r="F1099" s="1726"/>
      <c r="G1099" s="1676">
        <f>SUM(G1093:G1098)</f>
        <v>6763.5159438635947</v>
      </c>
      <c r="H1099" s="1676">
        <f t="shared" ref="H1099:N1099" si="372">SUM(H1093:H1098)</f>
        <v>6608.2256914299087</v>
      </c>
      <c r="I1099" s="1676">
        <f t="shared" si="372"/>
        <v>5516.4988564741207</v>
      </c>
      <c r="J1099" s="1676">
        <f t="shared" si="372"/>
        <v>3398.9902374933945</v>
      </c>
      <c r="K1099" s="1676">
        <f t="shared" si="372"/>
        <v>3398.9902374933922</v>
      </c>
      <c r="L1099" s="1676">
        <f t="shared" si="372"/>
        <v>3398.9902374933945</v>
      </c>
      <c r="M1099" s="1676">
        <f t="shared" si="372"/>
        <v>3398.9902374933936</v>
      </c>
      <c r="N1099" s="1676">
        <f t="shared" si="372"/>
        <v>2256.8553127395949</v>
      </c>
      <c r="O1099" s="1676">
        <f>SUM(O1093:O1098)</f>
        <v>2256.855312739594</v>
      </c>
      <c r="P1099" s="18"/>
    </row>
    <row r="1100" spans="2:25" s="16" customFormat="1">
      <c r="B1100" s="1298"/>
      <c r="C1100" s="1453"/>
      <c r="D1100" s="993"/>
      <c r="E1100" s="993"/>
      <c r="F1100" s="1003"/>
      <c r="G1100" s="1160"/>
      <c r="H1100" s="1160"/>
      <c r="I1100" s="1160"/>
      <c r="J1100" s="1160"/>
      <c r="K1100" s="1160"/>
      <c r="L1100" s="1160"/>
      <c r="M1100" s="1160"/>
      <c r="N1100" s="1160"/>
      <c r="O1100" s="1160"/>
      <c r="P1100" s="18"/>
    </row>
    <row r="1101" spans="2:25" s="16" customFormat="1">
      <c r="B1101" s="1298"/>
      <c r="C1101" s="1155" t="s">
        <v>1791</v>
      </c>
      <c r="D1101" s="993"/>
      <c r="E1101" s="993"/>
      <c r="F1101" s="1727">
        <v>2007</v>
      </c>
      <c r="G1101" s="1727">
        <v>2010</v>
      </c>
      <c r="H1101" s="1727">
        <v>2015</v>
      </c>
      <c r="I1101" s="1727">
        <v>2020</v>
      </c>
      <c r="J1101" s="1727">
        <v>2025</v>
      </c>
      <c r="K1101" s="1727">
        <v>2030</v>
      </c>
      <c r="L1101" s="1727">
        <v>2035</v>
      </c>
      <c r="M1101" s="1727">
        <v>2040</v>
      </c>
      <c r="N1101" s="1727">
        <v>2045</v>
      </c>
      <c r="O1101" s="1727">
        <v>2050</v>
      </c>
      <c r="P1101" s="18"/>
    </row>
    <row r="1102" spans="2:25" s="16" customFormat="1">
      <c r="B1102" s="1298"/>
      <c r="C1102" s="495" t="s">
        <v>1301</v>
      </c>
      <c r="D1102" s="993"/>
      <c r="E1102" s="993" t="str">
        <f t="shared" ref="E1102:E1108" si="373">Preferences.moneyunits</f>
        <v>£m</v>
      </c>
      <c r="F1102" s="1003"/>
      <c r="G1102" s="1160">
        <f>G584*G395</f>
        <v>503.79244048390046</v>
      </c>
      <c r="H1102" s="1160">
        <f t="shared" ref="H1102:O1102" si="374">H584*H395</f>
        <v>503.79244048390046</v>
      </c>
      <c r="I1102" s="1160">
        <f t="shared" si="374"/>
        <v>503.79244048390052</v>
      </c>
      <c r="J1102" s="1160">
        <f t="shared" si="374"/>
        <v>503.79244048390052</v>
      </c>
      <c r="K1102" s="1160">
        <f t="shared" si="374"/>
        <v>503.79244048390029</v>
      </c>
      <c r="L1102" s="1160">
        <f t="shared" si="374"/>
        <v>503.79244048390052</v>
      </c>
      <c r="M1102" s="1160">
        <f t="shared" si="374"/>
        <v>503.79244048390052</v>
      </c>
      <c r="N1102" s="1160">
        <f t="shared" si="374"/>
        <v>57.862527199253968</v>
      </c>
      <c r="O1102" s="1160">
        <f t="shared" si="374"/>
        <v>57.862527199253968</v>
      </c>
      <c r="P1102" s="18"/>
    </row>
    <row r="1103" spans="2:25" s="16" customFormat="1">
      <c r="B1103" s="1298"/>
      <c r="C1103" s="1453" t="s">
        <v>1302</v>
      </c>
      <c r="D1103" s="993"/>
      <c r="E1103" s="993" t="str">
        <f t="shared" si="373"/>
        <v>£m</v>
      </c>
      <c r="F1103" s="1003"/>
      <c r="G1103" s="1160">
        <f t="shared" ref="G1103:O1103" si="375">G585*G396</f>
        <v>309.11628328670599</v>
      </c>
      <c r="H1103" s="1160">
        <f t="shared" si="375"/>
        <v>309.11628328670599</v>
      </c>
      <c r="I1103" s="1160">
        <f t="shared" si="375"/>
        <v>61.823256657341197</v>
      </c>
      <c r="J1103" s="1160">
        <f t="shared" si="375"/>
        <v>0</v>
      </c>
      <c r="K1103" s="1160">
        <f t="shared" si="375"/>
        <v>0</v>
      </c>
      <c r="L1103" s="1160">
        <f t="shared" si="375"/>
        <v>0</v>
      </c>
      <c r="M1103" s="1160">
        <f t="shared" si="375"/>
        <v>0</v>
      </c>
      <c r="N1103" s="1160">
        <f t="shared" si="375"/>
        <v>0</v>
      </c>
      <c r="O1103" s="1160">
        <f t="shared" si="375"/>
        <v>0</v>
      </c>
      <c r="P1103" s="18"/>
    </row>
    <row r="1104" spans="2:25" s="16" customFormat="1">
      <c r="B1104" s="1298"/>
      <c r="C1104" s="1453" t="s">
        <v>1303</v>
      </c>
      <c r="D1104" s="993"/>
      <c r="E1104" s="993" t="str">
        <f t="shared" si="373"/>
        <v>£m</v>
      </c>
      <c r="F1104" s="1003"/>
      <c r="G1104" s="1160">
        <f t="shared" ref="G1104:O1104" si="376">G586*G397</f>
        <v>112.90853098726964</v>
      </c>
      <c r="H1104" s="1160">
        <f t="shared" si="376"/>
        <v>112.90853098726964</v>
      </c>
      <c r="I1104" s="1160">
        <f t="shared" si="376"/>
        <v>112.90853098726967</v>
      </c>
      <c r="J1104" s="1160">
        <f t="shared" si="376"/>
        <v>112.90853098726969</v>
      </c>
      <c r="K1104" s="1160">
        <f t="shared" si="376"/>
        <v>112.90853098726963</v>
      </c>
      <c r="L1104" s="1160">
        <f t="shared" si="376"/>
        <v>112.90853098726963</v>
      </c>
      <c r="M1104" s="1160">
        <f t="shared" si="376"/>
        <v>112.90853098726974</v>
      </c>
      <c r="N1104" s="1160">
        <f t="shared" si="376"/>
        <v>112.90853098726963</v>
      </c>
      <c r="O1104" s="1160">
        <f t="shared" si="376"/>
        <v>112.90853098726963</v>
      </c>
      <c r="P1104" s="18"/>
    </row>
    <row r="1105" spans="2:25" s="16" customFormat="1">
      <c r="B1105" s="1298"/>
      <c r="C1105" s="1453" t="s">
        <v>1304</v>
      </c>
      <c r="D1105" s="993"/>
      <c r="E1105" s="993" t="str">
        <f t="shared" si="373"/>
        <v>£m</v>
      </c>
      <c r="F1105" s="1003"/>
      <c r="G1105" s="1160">
        <f t="shared" ref="G1105:O1105" si="377">G587*G398</f>
        <v>855.1951478699641</v>
      </c>
      <c r="H1105" s="1160">
        <f t="shared" si="377"/>
        <v>855.1951478699641</v>
      </c>
      <c r="I1105" s="1160">
        <f t="shared" si="377"/>
        <v>855.19514786996422</v>
      </c>
      <c r="J1105" s="1160">
        <f t="shared" si="377"/>
        <v>855.19514786996422</v>
      </c>
      <c r="K1105" s="1160">
        <f t="shared" si="377"/>
        <v>855.19514786996376</v>
      </c>
      <c r="L1105" s="1160">
        <f t="shared" si="377"/>
        <v>855.19514786996422</v>
      </c>
      <c r="M1105" s="1160">
        <f t="shared" si="377"/>
        <v>855.19514786996376</v>
      </c>
      <c r="N1105" s="1160">
        <f t="shared" si="377"/>
        <v>855.19514786996467</v>
      </c>
      <c r="O1105" s="1160">
        <f t="shared" si="377"/>
        <v>855.19514786996376</v>
      </c>
      <c r="P1105" s="18"/>
    </row>
    <row r="1106" spans="2:25" s="16" customFormat="1">
      <c r="B1106" s="1298"/>
      <c r="C1106" s="1453" t="s">
        <v>1305</v>
      </c>
      <c r="D1106" s="993"/>
      <c r="E1106" s="993" t="str">
        <f t="shared" si="373"/>
        <v>£m</v>
      </c>
      <c r="F1106" s="1003"/>
      <c r="G1106" s="1160">
        <f t="shared" ref="G1106:O1106" si="378">G588*G399</f>
        <v>379.48743360000003</v>
      </c>
      <c r="H1106" s="1160">
        <f t="shared" si="378"/>
        <v>224.19718116631552</v>
      </c>
      <c r="I1106" s="1160">
        <f t="shared" si="378"/>
        <v>120.67034621052602</v>
      </c>
      <c r="J1106" s="1160">
        <f t="shared" si="378"/>
        <v>120.67034621052602</v>
      </c>
      <c r="K1106" s="1160">
        <f t="shared" si="378"/>
        <v>120.67034621052602</v>
      </c>
      <c r="L1106" s="1160">
        <f t="shared" si="378"/>
        <v>120.67034621052602</v>
      </c>
      <c r="M1106" s="1160">
        <f t="shared" si="378"/>
        <v>120.67034621052575</v>
      </c>
      <c r="N1106" s="1160">
        <f t="shared" si="378"/>
        <v>120.67034621052602</v>
      </c>
      <c r="O1106" s="1160">
        <f t="shared" si="378"/>
        <v>120.67034621052602</v>
      </c>
      <c r="P1106" s="18"/>
    </row>
    <row r="1107" spans="2:25" s="16" customFormat="1">
      <c r="B1107" s="1298"/>
      <c r="C1107" s="1454" t="s">
        <v>1306</v>
      </c>
      <c r="D1107" s="1177"/>
      <c r="E1107" s="1177" t="str">
        <f t="shared" si="373"/>
        <v>£m</v>
      </c>
      <c r="F1107" s="1287"/>
      <c r="G1107" s="1162">
        <f t="shared" ref="G1107:O1107" si="379">G589*G400</f>
        <v>701.78447409819512</v>
      </c>
      <c r="H1107" s="1162">
        <f t="shared" si="379"/>
        <v>701.78447409819501</v>
      </c>
      <c r="I1107" s="1162">
        <f t="shared" si="379"/>
        <v>701.78447409819512</v>
      </c>
      <c r="J1107" s="1162">
        <f t="shared" si="379"/>
        <v>22.807995408191374</v>
      </c>
      <c r="K1107" s="1162">
        <f t="shared" si="379"/>
        <v>22.807995408191108</v>
      </c>
      <c r="L1107" s="1162">
        <f t="shared" si="379"/>
        <v>22.807995408191374</v>
      </c>
      <c r="M1107" s="1162">
        <f t="shared" si="379"/>
        <v>22.807995408191374</v>
      </c>
      <c r="N1107" s="1162">
        <f t="shared" si="379"/>
        <v>22.807995408191108</v>
      </c>
      <c r="O1107" s="1162">
        <f t="shared" si="379"/>
        <v>22.807995408191374</v>
      </c>
      <c r="P1107" s="18"/>
    </row>
    <row r="1108" spans="2:25" s="16" customFormat="1">
      <c r="B1108" s="1298"/>
      <c r="C1108" s="1724" t="s">
        <v>133</v>
      </c>
      <c r="D1108" s="1725"/>
      <c r="E1108" s="1725" t="str">
        <f t="shared" si="373"/>
        <v>£m</v>
      </c>
      <c r="F1108" s="1726"/>
      <c r="G1108" s="1676">
        <f>SUM(G1102:G1107)</f>
        <v>2862.2843103260352</v>
      </c>
      <c r="H1108" s="1676">
        <f t="shared" ref="H1108:N1108" si="380">SUM(H1102:H1107)</f>
        <v>2706.9940578923506</v>
      </c>
      <c r="I1108" s="1676">
        <f t="shared" si="380"/>
        <v>2356.1741963071968</v>
      </c>
      <c r="J1108" s="1676">
        <f t="shared" si="380"/>
        <v>1615.3744609598518</v>
      </c>
      <c r="K1108" s="1676">
        <f t="shared" si="380"/>
        <v>1615.3744609598509</v>
      </c>
      <c r="L1108" s="1676">
        <f t="shared" si="380"/>
        <v>1615.3744609598518</v>
      </c>
      <c r="M1108" s="1676">
        <f t="shared" si="380"/>
        <v>1615.3744609598514</v>
      </c>
      <c r="N1108" s="1676">
        <f t="shared" si="380"/>
        <v>1169.4445476752055</v>
      </c>
      <c r="O1108" s="1676">
        <f>SUM(O1102:O1107)</f>
        <v>1169.4445476752048</v>
      </c>
      <c r="P1108" s="18"/>
      <c r="W1108" s="21"/>
      <c r="X1108" s="21"/>
      <c r="Y1108" s="21"/>
    </row>
    <row r="1109" spans="2:25" s="16" customFormat="1">
      <c r="B1109" s="1298"/>
      <c r="C1109" s="1453"/>
      <c r="D1109" s="993"/>
      <c r="E1109" s="993"/>
      <c r="F1109" s="1003"/>
      <c r="G1109" s="1160"/>
      <c r="H1109" s="1160"/>
      <c r="I1109" s="1160"/>
      <c r="J1109" s="1160"/>
      <c r="K1109" s="1160"/>
      <c r="L1109" s="1160"/>
      <c r="M1109" s="1160"/>
      <c r="N1109" s="1160"/>
      <c r="O1109" s="1160"/>
      <c r="P1109" s="18"/>
      <c r="W1109" s="21"/>
      <c r="X1109" s="21"/>
      <c r="Y1109" s="21"/>
    </row>
    <row r="1110" spans="2:25" s="16" customFormat="1" ht="12" customHeight="1">
      <c r="B1110" s="1298"/>
      <c r="C1110" s="1155" t="s">
        <v>1581</v>
      </c>
      <c r="D1110" s="993"/>
      <c r="E1110" s="993"/>
      <c r="F1110" s="1727">
        <v>2007</v>
      </c>
      <c r="G1110" s="1727">
        <v>2010</v>
      </c>
      <c r="H1110" s="1727">
        <v>2015</v>
      </c>
      <c r="I1110" s="1727">
        <v>2020</v>
      </c>
      <c r="J1110" s="1727">
        <v>2025</v>
      </c>
      <c r="K1110" s="1727">
        <v>2030</v>
      </c>
      <c r="L1110" s="1727">
        <v>2035</v>
      </c>
      <c r="M1110" s="1727">
        <v>2040</v>
      </c>
      <c r="N1110" s="1727">
        <v>2045</v>
      </c>
      <c r="O1110" s="1727">
        <v>2050</v>
      </c>
      <c r="P1110" s="18"/>
      <c r="W1110" s="21"/>
      <c r="X1110" s="21"/>
      <c r="Y1110" s="21"/>
    </row>
    <row r="1111" spans="2:25" s="16" customFormat="1">
      <c r="B1111" s="1298"/>
      <c r="C1111" s="495" t="s">
        <v>1301</v>
      </c>
      <c r="D1111" s="993"/>
      <c r="E1111" s="993" t="str">
        <f t="shared" ref="E1111:E1117" si="381">Preferences.moneyunits</f>
        <v>£m</v>
      </c>
      <c r="F1111" s="1003"/>
      <c r="G1111" s="1160">
        <f>G584*G404</f>
        <v>287.84998018045559</v>
      </c>
      <c r="H1111" s="1160">
        <f t="shared" ref="H1111:O1111" si="382">H584*H404</f>
        <v>287.84998018045559</v>
      </c>
      <c r="I1111" s="1160">
        <f t="shared" si="382"/>
        <v>287.84998018045565</v>
      </c>
      <c r="J1111" s="1160">
        <f t="shared" si="382"/>
        <v>287.84998018045565</v>
      </c>
      <c r="K1111" s="1160">
        <f t="shared" si="382"/>
        <v>287.84998018045547</v>
      </c>
      <c r="L1111" s="1160">
        <f t="shared" si="382"/>
        <v>287.84998018045565</v>
      </c>
      <c r="M1111" s="1160">
        <f t="shared" si="382"/>
        <v>287.84998018045565</v>
      </c>
      <c r="N1111" s="1160">
        <f t="shared" si="382"/>
        <v>33.060693192415201</v>
      </c>
      <c r="O1111" s="1160">
        <f t="shared" si="382"/>
        <v>33.060693192415201</v>
      </c>
      <c r="P1111" s="18"/>
    </row>
    <row r="1112" spans="2:25" s="16" customFormat="1">
      <c r="B1112" s="1298"/>
      <c r="C1112" s="1453" t="s">
        <v>1302</v>
      </c>
      <c r="D1112" s="993"/>
      <c r="E1112" s="993" t="str">
        <f t="shared" si="381"/>
        <v>£m</v>
      </c>
      <c r="F1112" s="1003"/>
      <c r="G1112" s="1160">
        <f t="shared" ref="G1112:O1112" si="383">G585*G405</f>
        <v>271.71210937500001</v>
      </c>
      <c r="H1112" s="1160">
        <f t="shared" si="383"/>
        <v>271.71210937500001</v>
      </c>
      <c r="I1112" s="1160">
        <f t="shared" si="383"/>
        <v>54.342421874999999</v>
      </c>
      <c r="J1112" s="1160">
        <f t="shared" si="383"/>
        <v>0</v>
      </c>
      <c r="K1112" s="1160">
        <f t="shared" si="383"/>
        <v>0</v>
      </c>
      <c r="L1112" s="1160">
        <f t="shared" si="383"/>
        <v>0</v>
      </c>
      <c r="M1112" s="1160">
        <f t="shared" si="383"/>
        <v>0</v>
      </c>
      <c r="N1112" s="1160">
        <f t="shared" si="383"/>
        <v>0</v>
      </c>
      <c r="O1112" s="1160">
        <f t="shared" si="383"/>
        <v>0</v>
      </c>
      <c r="P1112" s="18"/>
    </row>
    <row r="1113" spans="2:25" s="16" customFormat="1">
      <c r="B1113" s="1298"/>
      <c r="C1113" s="1453" t="s">
        <v>1303</v>
      </c>
      <c r="D1113" s="993"/>
      <c r="E1113" s="993" t="str">
        <f t="shared" si="381"/>
        <v>£m</v>
      </c>
      <c r="F1113" s="1003"/>
      <c r="G1113" s="1160">
        <f t="shared" ref="G1113:O1113" si="384">G586*G406</f>
        <v>10.753193427359014</v>
      </c>
      <c r="H1113" s="1160">
        <f t="shared" si="384"/>
        <v>10.753193427359014</v>
      </c>
      <c r="I1113" s="1160">
        <f t="shared" si="384"/>
        <v>10.753193427359015</v>
      </c>
      <c r="J1113" s="1160">
        <f t="shared" si="384"/>
        <v>10.753193427359017</v>
      </c>
      <c r="K1113" s="1160">
        <f t="shared" si="384"/>
        <v>10.753193427359012</v>
      </c>
      <c r="L1113" s="1160">
        <f t="shared" si="384"/>
        <v>10.753193427359012</v>
      </c>
      <c r="M1113" s="1160">
        <f t="shared" si="384"/>
        <v>10.753193427359022</v>
      </c>
      <c r="N1113" s="1160">
        <f t="shared" si="384"/>
        <v>10.753193427359012</v>
      </c>
      <c r="O1113" s="1160">
        <f t="shared" si="384"/>
        <v>10.753193427359012</v>
      </c>
      <c r="P1113" s="18"/>
    </row>
    <row r="1114" spans="2:25" s="16" customFormat="1">
      <c r="B1114" s="1298"/>
      <c r="C1114" s="1453" t="s">
        <v>1304</v>
      </c>
      <c r="D1114" s="993"/>
      <c r="E1114" s="993" t="str">
        <f t="shared" si="381"/>
        <v>£m</v>
      </c>
      <c r="F1114" s="1003"/>
      <c r="G1114" s="1160">
        <f t="shared" ref="G1114:O1114" si="385">G587*G407</f>
        <v>0</v>
      </c>
      <c r="H1114" s="1160">
        <f t="shared" si="385"/>
        <v>0</v>
      </c>
      <c r="I1114" s="1160">
        <f t="shared" si="385"/>
        <v>0</v>
      </c>
      <c r="J1114" s="1160">
        <f t="shared" si="385"/>
        <v>0</v>
      </c>
      <c r="K1114" s="1160">
        <f t="shared" si="385"/>
        <v>0</v>
      </c>
      <c r="L1114" s="1160">
        <f t="shared" si="385"/>
        <v>0</v>
      </c>
      <c r="M1114" s="1160">
        <f t="shared" si="385"/>
        <v>0</v>
      </c>
      <c r="N1114" s="1160">
        <f t="shared" si="385"/>
        <v>0</v>
      </c>
      <c r="O1114" s="1160">
        <f t="shared" si="385"/>
        <v>0</v>
      </c>
      <c r="P1114" s="18"/>
    </row>
    <row r="1115" spans="2:25" s="16" customFormat="1">
      <c r="B1115" s="1298"/>
      <c r="C1115" s="1453" t="s">
        <v>1305</v>
      </c>
      <c r="D1115" s="993"/>
      <c r="E1115" s="993" t="str">
        <f t="shared" si="381"/>
        <v>£m</v>
      </c>
      <c r="F1115" s="1003"/>
      <c r="G1115" s="1160">
        <f t="shared" ref="G1115:O1115" si="386">G588*G408</f>
        <v>137.2157952</v>
      </c>
      <c r="H1115" s="1160">
        <f t="shared" si="386"/>
        <v>81.065647427368319</v>
      </c>
      <c r="I1115" s="1160">
        <f t="shared" si="386"/>
        <v>43.63221557894726</v>
      </c>
      <c r="J1115" s="1160">
        <f t="shared" si="386"/>
        <v>43.63221557894726</v>
      </c>
      <c r="K1115" s="1160">
        <f t="shared" si="386"/>
        <v>43.63221557894726</v>
      </c>
      <c r="L1115" s="1160">
        <f t="shared" si="386"/>
        <v>43.63221557894726</v>
      </c>
      <c r="M1115" s="1160">
        <f t="shared" si="386"/>
        <v>43.632215578947161</v>
      </c>
      <c r="N1115" s="1160">
        <f t="shared" si="386"/>
        <v>43.63221557894726</v>
      </c>
      <c r="O1115" s="1160">
        <f t="shared" si="386"/>
        <v>43.63221557894726</v>
      </c>
      <c r="P1115" s="18"/>
    </row>
    <row r="1116" spans="2:25" s="16" customFormat="1">
      <c r="B1116" s="1298"/>
      <c r="C1116" s="1454" t="s">
        <v>1306</v>
      </c>
      <c r="D1116" s="1177"/>
      <c r="E1116" s="1177" t="str">
        <f t="shared" si="381"/>
        <v>£m</v>
      </c>
      <c r="F1116" s="1287"/>
      <c r="G1116" s="1162">
        <f t="shared" ref="G1116:O1116" si="387">G589*G409</f>
        <v>38.665811245079617</v>
      </c>
      <c r="H1116" s="1162">
        <f t="shared" si="387"/>
        <v>38.66581124507961</v>
      </c>
      <c r="I1116" s="1162">
        <f t="shared" si="387"/>
        <v>38.665811245079617</v>
      </c>
      <c r="J1116" s="1162">
        <f t="shared" si="387"/>
        <v>1.2566388654650895</v>
      </c>
      <c r="K1116" s="1162">
        <f t="shared" si="387"/>
        <v>1.2566388654650746</v>
      </c>
      <c r="L1116" s="1162">
        <f t="shared" si="387"/>
        <v>1.2566388654650895</v>
      </c>
      <c r="M1116" s="1162">
        <f t="shared" si="387"/>
        <v>1.2566388654650895</v>
      </c>
      <c r="N1116" s="1162">
        <f t="shared" si="387"/>
        <v>1.2566388654650746</v>
      </c>
      <c r="O1116" s="1162">
        <f t="shared" si="387"/>
        <v>1.2566388654650895</v>
      </c>
      <c r="P1116" s="18"/>
    </row>
    <row r="1117" spans="2:25">
      <c r="B1117" s="1298"/>
      <c r="C1117" s="1453" t="s">
        <v>133</v>
      </c>
      <c r="E1117" s="18" t="str">
        <f t="shared" si="381"/>
        <v>£m</v>
      </c>
      <c r="F1117" s="1299"/>
      <c r="G1117" s="563">
        <f>SUM(G1111:G1116)</f>
        <v>746.19688942789423</v>
      </c>
      <c r="H1117" s="563">
        <f t="shared" ref="H1117:N1117" si="388">SUM(H1111:H1116)</f>
        <v>690.04674165526251</v>
      </c>
      <c r="I1117" s="563">
        <f t="shared" si="388"/>
        <v>435.24362230684153</v>
      </c>
      <c r="J1117" s="563">
        <f t="shared" si="388"/>
        <v>343.492028052227</v>
      </c>
      <c r="K1117" s="563">
        <f t="shared" si="388"/>
        <v>343.49202805222677</v>
      </c>
      <c r="L1117" s="563">
        <f t="shared" si="388"/>
        <v>343.492028052227</v>
      </c>
      <c r="M1117" s="563">
        <f t="shared" si="388"/>
        <v>343.49202805222694</v>
      </c>
      <c r="N1117" s="563">
        <f t="shared" si="388"/>
        <v>88.70274106418654</v>
      </c>
      <c r="O1117" s="563">
        <f>SUM(O1111:O1116)</f>
        <v>88.702741064186554</v>
      </c>
    </row>
    <row r="1118" spans="2:25">
      <c r="B1118" s="1298"/>
      <c r="C1118" s="1453"/>
      <c r="F1118" s="1299"/>
      <c r="G1118" s="563"/>
      <c r="H1118" s="563"/>
      <c r="I1118" s="563"/>
      <c r="J1118" s="563"/>
      <c r="K1118" s="563"/>
      <c r="L1118" s="563"/>
      <c r="M1118" s="563"/>
      <c r="N1118" s="563"/>
      <c r="O1118" s="563"/>
    </row>
    <row r="1119" spans="2:25">
      <c r="B1119" s="1298"/>
      <c r="C1119" s="1304" t="s">
        <v>1674</v>
      </c>
      <c r="F1119" s="1299"/>
      <c r="G1119" s="563"/>
      <c r="H1119" s="563"/>
      <c r="I1119" s="563"/>
      <c r="J1119" s="563"/>
      <c r="K1119" s="563"/>
      <c r="L1119" s="563"/>
      <c r="M1119" s="563"/>
      <c r="N1119" s="563"/>
      <c r="O1119" s="563"/>
      <c r="Q1119" s="1455"/>
    </row>
    <row r="1120" spans="2:25">
      <c r="B1120" s="1298"/>
      <c r="C1120" s="1453" t="s">
        <v>1107</v>
      </c>
      <c r="E1120" s="18" t="str">
        <f>Preferences.moneyunits</f>
        <v>£m</v>
      </c>
      <c r="F1120" s="563">
        <f t="shared" ref="F1120:O1120" si="389">(F579/(F$577-E$577))*INDEX($F$414:$F$417,MATCH($E$9,$C$414:$C$417,0))</f>
        <v>0</v>
      </c>
      <c r="G1120" s="563">
        <f t="shared" si="389"/>
        <v>22234.982</v>
      </c>
      <c r="H1120" s="563">
        <f t="shared" si="389"/>
        <v>23606.617999999999</v>
      </c>
      <c r="I1120" s="563">
        <f t="shared" si="389"/>
        <v>23494.03</v>
      </c>
      <c r="J1120" s="563">
        <f t="shared" si="389"/>
        <v>22120.335999999996</v>
      </c>
      <c r="K1120" s="563">
        <f t="shared" si="389"/>
        <v>20540.435999999998</v>
      </c>
      <c r="L1120" s="563">
        <f t="shared" si="389"/>
        <v>25676.530439202634</v>
      </c>
      <c r="M1120" s="563">
        <f t="shared" si="389"/>
        <v>26986.291543300624</v>
      </c>
      <c r="N1120" s="563">
        <f t="shared" si="389"/>
        <v>28362.86362693756</v>
      </c>
      <c r="O1120" s="563">
        <f t="shared" si="389"/>
        <v>29809.654721527073</v>
      </c>
      <c r="Q1120" s="1455"/>
    </row>
    <row r="1121" spans="2:30">
      <c r="B1121" s="1298"/>
      <c r="C1121" s="1453" t="s">
        <v>1786</v>
      </c>
      <c r="F1121" s="563"/>
      <c r="G1121" s="1723">
        <f>((G1122+(G1120-G1122)*0.35))</f>
        <v>17692.69282</v>
      </c>
      <c r="H1121" s="1723">
        <f t="shared" ref="H1121:N1121" si="390">((H1122+(H1120-H1122)*0.35))</f>
        <v>18784.123179999999</v>
      </c>
      <c r="I1121" s="1723">
        <f t="shared" si="390"/>
        <v>18694.5353</v>
      </c>
      <c r="J1121" s="1723">
        <f t="shared" si="390"/>
        <v>17601.467359999999</v>
      </c>
      <c r="K1121" s="1723">
        <f t="shared" si="390"/>
        <v>16344.318359999999</v>
      </c>
      <c r="L1121" s="1723">
        <f t="shared" si="390"/>
        <v>20431.182078051239</v>
      </c>
      <c r="M1121" s="1723">
        <f t="shared" si="390"/>
        <v>21473.377699454926</v>
      </c>
      <c r="N1121" s="1723">
        <f t="shared" si="390"/>
        <v>22568.735771720316</v>
      </c>
      <c r="O1121" s="1723">
        <f>((O1122+(O1120-O1122)*0.35))</f>
        <v>23719.968114129399</v>
      </c>
      <c r="P1121" s="986"/>
      <c r="Q1121" s="1690"/>
    </row>
    <row r="1122" spans="2:30">
      <c r="B1122" s="1298"/>
      <c r="C1122" s="1453" t="s">
        <v>1105</v>
      </c>
      <c r="E1122" s="18" t="str">
        <f>Preferences.moneyunits</f>
        <v>£m</v>
      </c>
      <c r="F1122" s="563">
        <f t="shared" ref="F1122:O1122" si="391">(F579/(F$577-E$577))*INDEX($G$414:$G$417,MATCH($E$9,$C$414:$C$417,0))</f>
        <v>0</v>
      </c>
      <c r="G1122" s="563">
        <f t="shared" si="391"/>
        <v>15246.844800000003</v>
      </c>
      <c r="H1122" s="563">
        <f t="shared" si="391"/>
        <v>16187.395200000001</v>
      </c>
      <c r="I1122" s="563">
        <f t="shared" si="391"/>
        <v>16110.192000000001</v>
      </c>
      <c r="J1122" s="563">
        <f t="shared" si="391"/>
        <v>15168.2304</v>
      </c>
      <c r="K1122" s="563">
        <f t="shared" si="391"/>
        <v>14084.8704</v>
      </c>
      <c r="L1122" s="563">
        <f t="shared" si="391"/>
        <v>17606.763729738952</v>
      </c>
      <c r="M1122" s="563">
        <f t="shared" si="391"/>
        <v>18504.88562969186</v>
      </c>
      <c r="N1122" s="563">
        <f t="shared" si="391"/>
        <v>19448.820772757186</v>
      </c>
      <c r="O1122" s="563">
        <f t="shared" si="391"/>
        <v>20440.906094761423</v>
      </c>
      <c r="Q1122" s="1455"/>
      <c r="S1122" s="1539"/>
    </row>
    <row r="1123" spans="2:30">
      <c r="B1123" s="1298"/>
      <c r="C1123" s="1453"/>
      <c r="F1123" s="563"/>
      <c r="G1123" s="563"/>
      <c r="H1123" s="563"/>
      <c r="I1123" s="563"/>
      <c r="J1123" s="563"/>
      <c r="K1123" s="563"/>
      <c r="L1123" s="563"/>
      <c r="M1123" s="563"/>
      <c r="N1123" s="563"/>
      <c r="O1123" s="563"/>
      <c r="Q1123" s="1455"/>
    </row>
    <row r="1124" spans="2:30">
      <c r="B1124" s="1298"/>
      <c r="C1124" s="1304" t="s">
        <v>1590</v>
      </c>
      <c r="F1124" s="563"/>
      <c r="G1124" s="563"/>
      <c r="H1124" s="563"/>
      <c r="I1124" s="563"/>
      <c r="J1124" s="563"/>
      <c r="K1124" s="563"/>
      <c r="L1124" s="563"/>
      <c r="M1124" s="563"/>
      <c r="N1124" s="563"/>
      <c r="O1124" s="563"/>
      <c r="Q1124" s="1455"/>
    </row>
    <row r="1125" spans="2:30">
      <c r="B1125" s="1298"/>
      <c r="C1125" s="1453"/>
      <c r="F1125" s="563"/>
      <c r="G1125" s="563"/>
      <c r="H1125" s="563"/>
      <c r="I1125" s="563"/>
      <c r="J1125" s="563"/>
      <c r="K1125" s="563"/>
      <c r="L1125" s="563"/>
      <c r="M1125" s="563"/>
      <c r="N1125" s="563"/>
      <c r="O1125" s="563"/>
      <c r="Q1125" s="1455"/>
    </row>
    <row r="1126" spans="2:30">
      <c r="B1126" s="18" t="s">
        <v>1562</v>
      </c>
      <c r="F1126" s="1008"/>
      <c r="G1126" s="1008"/>
      <c r="H1126" s="1008"/>
      <c r="I1126" s="1008"/>
      <c r="J1126" s="1008"/>
      <c r="K1126" s="1008"/>
      <c r="L1126" s="1008"/>
      <c r="M1126" s="1008"/>
      <c r="N1126" s="1008"/>
      <c r="O1126" s="1008"/>
      <c r="P1126" s="1008"/>
    </row>
    <row r="1127" spans="2:30">
      <c r="C1127" s="18" t="s">
        <v>1558</v>
      </c>
      <c r="E1127" s="18" t="str">
        <f>Preferences.moneyunits</f>
        <v>£m</v>
      </c>
      <c r="F1127" s="1008">
        <f t="shared" ref="F1127:O1127" si="392">SUMPRODUCT(F$690:F$702,F$427:F$439)/(F975-E975)</f>
        <v>0</v>
      </c>
      <c r="G1127" s="1008">
        <f t="shared" si="392"/>
        <v>10814.627431891329</v>
      </c>
      <c r="H1127" s="1008">
        <f t="shared" si="392"/>
        <v>6807.8135979346498</v>
      </c>
      <c r="I1127" s="1008">
        <f t="shared" si="392"/>
        <v>14536.66573254835</v>
      </c>
      <c r="J1127" s="1008">
        <f t="shared" si="392"/>
        <v>17776.666783386063</v>
      </c>
      <c r="K1127" s="1008">
        <f t="shared" si="392"/>
        <v>21118.155873508153</v>
      </c>
      <c r="L1127" s="1008">
        <f t="shared" si="392"/>
        <v>25318.837750165789</v>
      </c>
      <c r="M1127" s="1008">
        <f t="shared" si="392"/>
        <v>29654.012907130393</v>
      </c>
      <c r="N1127" s="1008">
        <f t="shared" si="392"/>
        <v>35400.028521177075</v>
      </c>
      <c r="O1127" s="1008">
        <f t="shared" si="392"/>
        <v>42001.282745900564</v>
      </c>
      <c r="P1127" s="1008"/>
    </row>
    <row r="1128" spans="2:30">
      <c r="C1128" s="18" t="s">
        <v>1559</v>
      </c>
      <c r="E1128" s="18" t="str">
        <f>Preferences.moneyunits</f>
        <v>£m</v>
      </c>
      <c r="F1128" s="1008">
        <f t="shared" ref="F1128:O1128" si="393">SUMPRODUCT(F$652:F$664,F$495:F$507)</f>
        <v>5354.3585599999988</v>
      </c>
      <c r="G1128" s="1008">
        <f t="shared" si="393"/>
        <v>5434.3774400000002</v>
      </c>
      <c r="H1128" s="1008">
        <f t="shared" si="393"/>
        <v>5600.1308904657362</v>
      </c>
      <c r="I1128" s="1008">
        <f t="shared" si="393"/>
        <v>5621.8652737867133</v>
      </c>
      <c r="J1128" s="1008">
        <f t="shared" si="393"/>
        <v>5596.0631921698359</v>
      </c>
      <c r="K1128" s="1008">
        <f t="shared" si="393"/>
        <v>5523.2952984959566</v>
      </c>
      <c r="L1128" s="1008">
        <f t="shared" si="393"/>
        <v>5483.4552646824841</v>
      </c>
      <c r="M1128" s="1008">
        <f t="shared" si="393"/>
        <v>5425.1789930117757</v>
      </c>
      <c r="N1128" s="1008">
        <f t="shared" si="393"/>
        <v>5346.6892814227258</v>
      </c>
      <c r="O1128" s="1008">
        <f t="shared" si="393"/>
        <v>5246.0755890775754</v>
      </c>
      <c r="P1128" s="1008"/>
    </row>
    <row r="1129" spans="2:30">
      <c r="C1129" s="18" t="s">
        <v>1561</v>
      </c>
      <c r="E1129" s="18" t="str">
        <f>Preferences.moneyunits</f>
        <v>£m</v>
      </c>
      <c r="F1129" s="1008">
        <f t="shared" ref="F1129" si="394">SUM(F1127:F1128)</f>
        <v>5354.3585599999988</v>
      </c>
      <c r="G1129" s="1008">
        <f t="shared" ref="G1129:O1129" si="395">SUM(G1127:G1128)</f>
        <v>16249.004871891329</v>
      </c>
      <c r="H1129" s="1008">
        <f t="shared" si="395"/>
        <v>12407.944488400386</v>
      </c>
      <c r="I1129" s="1008">
        <f t="shared" si="395"/>
        <v>20158.531006335063</v>
      </c>
      <c r="J1129" s="1008">
        <f t="shared" si="395"/>
        <v>23372.7299755559</v>
      </c>
      <c r="K1129" s="1008">
        <f t="shared" si="395"/>
        <v>26641.451172004108</v>
      </c>
      <c r="L1129" s="1008">
        <f t="shared" si="395"/>
        <v>30802.293014848274</v>
      </c>
      <c r="M1129" s="1008">
        <f t="shared" si="395"/>
        <v>35079.19190014217</v>
      </c>
      <c r="N1129" s="1008">
        <f t="shared" si="395"/>
        <v>40746.7178025998</v>
      </c>
      <c r="O1129" s="1008">
        <f t="shared" si="395"/>
        <v>47247.35833497814</v>
      </c>
      <c r="P1129" s="1008"/>
    </row>
    <row r="1130" spans="2:30">
      <c r="F1130" s="1008"/>
      <c r="G1130" s="1008"/>
      <c r="H1130" s="1008"/>
      <c r="I1130" s="1008"/>
      <c r="J1130" s="1008"/>
      <c r="K1130" s="1008"/>
      <c r="L1130" s="1008"/>
      <c r="M1130" s="1008"/>
      <c r="N1130" s="1008"/>
      <c r="O1130" s="1008"/>
      <c r="P1130" s="1687"/>
      <c r="Q1130" s="1036"/>
      <c r="R1130" s="1036"/>
    </row>
    <row r="1131" spans="2:30">
      <c r="B1131" s="1630" t="s">
        <v>1784</v>
      </c>
      <c r="F1131" s="1008"/>
      <c r="G1131" s="1008"/>
      <c r="H1131" s="1008"/>
      <c r="I1131" s="1008"/>
      <c r="J1131" s="1008"/>
      <c r="K1131" s="1008"/>
      <c r="L1131" s="1008"/>
      <c r="M1131" s="1008"/>
      <c r="N1131" s="1008"/>
      <c r="O1131" s="1008"/>
      <c r="P1131" s="1687"/>
      <c r="Q1131" s="1036"/>
      <c r="R1131" s="1036"/>
      <c r="U1131" s="1008"/>
      <c r="V1131" s="1008"/>
      <c r="W1131" s="1008"/>
      <c r="X1131" s="1008"/>
      <c r="Y1131" s="1008"/>
      <c r="Z1131" s="1008"/>
      <c r="AA1131" s="1008"/>
      <c r="AB1131" s="1008"/>
      <c r="AC1131" s="1008"/>
      <c r="AD1131" s="1008"/>
    </row>
    <row r="1132" spans="2:30">
      <c r="C1132" s="18" t="s">
        <v>1558</v>
      </c>
      <c r="E1132" s="18" t="str">
        <f>Preferences.moneyunits</f>
        <v>£m</v>
      </c>
      <c r="F1132" s="1008">
        <f t="shared" ref="F1132:O1132" si="396">SUMPRODUCT(F$690:F$702,F$450:F$462)/(F984-E984)</f>
        <v>0</v>
      </c>
      <c r="G1132" s="1008">
        <f t="shared" si="396"/>
        <v>9273.1839955564355</v>
      </c>
      <c r="H1132" s="1008">
        <f t="shared" si="396"/>
        <v>5943.7802346040316</v>
      </c>
      <c r="I1132" s="1008">
        <f t="shared" si="396"/>
        <v>11386.078063726271</v>
      </c>
      <c r="J1132" s="1008">
        <f t="shared" si="396"/>
        <v>13451.946185625135</v>
      </c>
      <c r="K1132" s="1008">
        <f t="shared" si="396"/>
        <v>15420.010091817439</v>
      </c>
      <c r="L1132" s="1008">
        <f t="shared" si="396"/>
        <v>17831.462867331389</v>
      </c>
      <c r="M1132" s="1008">
        <f t="shared" si="396"/>
        <v>20102.280487906228</v>
      </c>
      <c r="N1132" s="1008">
        <f t="shared" si="396"/>
        <v>23272.054154940597</v>
      </c>
      <c r="O1132" s="1008">
        <f t="shared" si="396"/>
        <v>26830.091505767643</v>
      </c>
      <c r="P1132" s="1687"/>
      <c r="Q1132" s="1687"/>
      <c r="R1132" s="1690"/>
      <c r="U1132" s="1008"/>
      <c r="V1132" s="1008"/>
      <c r="W1132" s="1008"/>
      <c r="X1132" s="1008"/>
      <c r="Y1132" s="1008"/>
      <c r="Z1132" s="1008"/>
      <c r="AA1132" s="1008"/>
      <c r="AB1132" s="1008"/>
      <c r="AC1132" s="1008"/>
      <c r="AD1132" s="1008"/>
    </row>
    <row r="1133" spans="2:30">
      <c r="C1133" s="18" t="s">
        <v>1559</v>
      </c>
      <c r="E1133" s="18" t="str">
        <f>Preferences.moneyunits</f>
        <v>£m</v>
      </c>
      <c r="F1133" s="1008">
        <f t="shared" ref="F1133:O1133" si="397">SUMPRODUCT(F$652:F$664,F$516:F$528)</f>
        <v>4880.3832399999992</v>
      </c>
      <c r="G1133" s="1008">
        <f t="shared" si="397"/>
        <v>5015.4607599999999</v>
      </c>
      <c r="H1133" s="1008">
        <f t="shared" si="397"/>
        <v>5261.6723587404285</v>
      </c>
      <c r="I1133" s="1008">
        <f t="shared" si="397"/>
        <v>5129.9962867045124</v>
      </c>
      <c r="J1133" s="1008">
        <f t="shared" si="397"/>
        <v>4939.1591570452447</v>
      </c>
      <c r="K1133" s="1008">
        <f t="shared" si="397"/>
        <v>4691.5220043412655</v>
      </c>
      <c r="L1133" s="1008">
        <f t="shared" si="397"/>
        <v>4454.2357807669268</v>
      </c>
      <c r="M1133" s="1008">
        <f t="shared" si="397"/>
        <v>4180.5341343532382</v>
      </c>
      <c r="N1133" s="1008">
        <f t="shared" si="397"/>
        <v>3867.3193847493167</v>
      </c>
      <c r="O1133" s="1008">
        <f t="shared" si="397"/>
        <v>3511.272579792796</v>
      </c>
      <c r="P1133" s="986"/>
      <c r="Q1133" s="1036"/>
      <c r="R1133" s="1036"/>
      <c r="U1133" s="1008"/>
      <c r="V1133" s="1008"/>
      <c r="W1133" s="1008"/>
      <c r="X1133" s="1008"/>
      <c r="Y1133" s="1008"/>
      <c r="Z1133" s="1008"/>
      <c r="AA1133" s="1008"/>
      <c r="AB1133" s="1008"/>
      <c r="AC1133" s="1008"/>
      <c r="AD1133" s="1008"/>
    </row>
    <row r="1134" spans="2:30">
      <c r="C1134" s="18" t="s">
        <v>1561</v>
      </c>
      <c r="E1134" s="18" t="str">
        <f>Preferences.moneyunits</f>
        <v>£m</v>
      </c>
      <c r="F1134" s="1008">
        <f t="shared" ref="F1134" si="398">SUM(F1132:F1133)</f>
        <v>4880.3832399999992</v>
      </c>
      <c r="G1134" s="1008">
        <f t="shared" ref="G1134:N1134" si="399">SUM(G1132:G1133)</f>
        <v>14288.644755556435</v>
      </c>
      <c r="H1134" s="1008">
        <f t="shared" si="399"/>
        <v>11205.45259334446</v>
      </c>
      <c r="I1134" s="1008">
        <f t="shared" si="399"/>
        <v>16516.074350430783</v>
      </c>
      <c r="J1134" s="1008">
        <f t="shared" si="399"/>
        <v>18391.10534267038</v>
      </c>
      <c r="K1134" s="1008">
        <f t="shared" si="399"/>
        <v>20111.532096158706</v>
      </c>
      <c r="L1134" s="1008">
        <f t="shared" si="399"/>
        <v>22285.698648098318</v>
      </c>
      <c r="M1134" s="1008">
        <f t="shared" si="399"/>
        <v>24282.814622259466</v>
      </c>
      <c r="N1134" s="1008">
        <f t="shared" si="399"/>
        <v>27139.373539689914</v>
      </c>
      <c r="O1134" s="1008">
        <f t="shared" ref="O1134" si="400">SUM(O1132:O1133)</f>
        <v>30341.364085560439</v>
      </c>
      <c r="P1134" s="1687"/>
      <c r="Q1134" s="1036"/>
      <c r="R1134" s="1036"/>
      <c r="U1134" s="1008"/>
      <c r="V1134" s="1008"/>
      <c r="W1134" s="1008"/>
      <c r="X1134" s="1008"/>
      <c r="Y1134" s="1008"/>
      <c r="Z1134" s="1008"/>
      <c r="AA1134" s="1008"/>
      <c r="AB1134" s="1008"/>
      <c r="AC1134" s="1008"/>
      <c r="AD1134" s="1008"/>
    </row>
    <row r="1135" spans="2:30">
      <c r="F1135" s="1008"/>
      <c r="G1135" s="1008"/>
      <c r="H1135" s="1008"/>
      <c r="I1135" s="1008"/>
      <c r="J1135" s="1008"/>
      <c r="K1135" s="1008"/>
      <c r="L1135" s="1008"/>
      <c r="M1135" s="1008"/>
      <c r="N1135" s="1008"/>
      <c r="O1135" s="1008"/>
      <c r="P1135" s="1008"/>
      <c r="U1135" s="1008"/>
      <c r="V1135" s="1008"/>
      <c r="W1135" s="1008"/>
      <c r="X1135" s="1008"/>
      <c r="Y1135" s="1008"/>
      <c r="Z1135" s="1008"/>
      <c r="AA1135" s="1008"/>
      <c r="AB1135" s="1008"/>
      <c r="AC1135" s="1008"/>
      <c r="AD1135" s="1008"/>
    </row>
    <row r="1136" spans="2:30" s="16" customFormat="1">
      <c r="B1136" s="18" t="s">
        <v>1560</v>
      </c>
      <c r="C1136" s="18"/>
      <c r="D1136" s="18"/>
      <c r="E1136" s="18"/>
      <c r="F1136" s="1008"/>
      <c r="G1136" s="1008"/>
      <c r="H1136" s="1008"/>
      <c r="I1136" s="1008"/>
      <c r="J1136" s="1008"/>
      <c r="K1136" s="1008"/>
      <c r="L1136" s="1008"/>
      <c r="M1136" s="1008"/>
      <c r="N1136" s="1008"/>
      <c r="O1136" s="1008"/>
      <c r="P1136" s="1008"/>
      <c r="W1136" s="21"/>
      <c r="X1136" s="21"/>
      <c r="Y1136" s="21"/>
    </row>
    <row r="1137" spans="1:25" s="16" customFormat="1">
      <c r="B1137" s="18"/>
      <c r="C1137" s="18" t="s">
        <v>1558</v>
      </c>
      <c r="D1137" s="18"/>
      <c r="E1137" s="18" t="str">
        <f>Preferences.moneyunits</f>
        <v>£m</v>
      </c>
      <c r="F1137" s="1008">
        <f t="shared" ref="F1137:O1137" si="401">SUMPRODUCT(F$690:F$702,F$471:F$483)/(F975-E975)</f>
        <v>0</v>
      </c>
      <c r="G1137" s="1008">
        <f t="shared" si="401"/>
        <v>8443.1759913761089</v>
      </c>
      <c r="H1137" s="1008">
        <f t="shared" si="401"/>
        <v>5478.5315005029288</v>
      </c>
      <c r="I1137" s="1008">
        <f t="shared" si="401"/>
        <v>9689.6077805143832</v>
      </c>
      <c r="J1137" s="1008">
        <f t="shared" si="401"/>
        <v>11123.25047913848</v>
      </c>
      <c r="K1137" s="1008">
        <f t="shared" si="401"/>
        <v>12351.777747830134</v>
      </c>
      <c r="L1137" s="1008">
        <f t="shared" si="401"/>
        <v>13799.799468882091</v>
      </c>
      <c r="M1137" s="1008">
        <f t="shared" si="401"/>
        <v>14959.03995447783</v>
      </c>
      <c r="N1137" s="1008">
        <f t="shared" si="401"/>
        <v>16741.606419274794</v>
      </c>
      <c r="O1137" s="1008">
        <f t="shared" si="401"/>
        <v>18660.988530311457</v>
      </c>
      <c r="P1137" s="1008"/>
      <c r="W1137" s="21"/>
      <c r="X1137" s="21"/>
      <c r="Y1137" s="21"/>
    </row>
    <row r="1138" spans="1:25" s="16" customFormat="1">
      <c r="B1138" s="18"/>
      <c r="C1138" s="18" t="s">
        <v>1559</v>
      </c>
      <c r="D1138" s="18"/>
      <c r="E1138" s="18" t="str">
        <f>Preferences.moneyunits</f>
        <v>£m</v>
      </c>
      <c r="F1138" s="1008">
        <f t="shared" ref="F1138:O1138" si="402">SUMPRODUCT(F$652:F$664,F$537:F$549)</f>
        <v>4625.165759999999</v>
      </c>
      <c r="G1138" s="1008">
        <f t="shared" si="402"/>
        <v>4789.8902399999997</v>
      </c>
      <c r="H1138" s="1008">
        <f t="shared" si="402"/>
        <v>5079.4254570421845</v>
      </c>
      <c r="I1138" s="1008">
        <f t="shared" si="402"/>
        <v>4865.1437551987119</v>
      </c>
      <c r="J1138" s="1008">
        <f t="shared" si="402"/>
        <v>4585.4415996704638</v>
      </c>
      <c r="K1138" s="1008">
        <f t="shared" si="402"/>
        <v>4243.6440767195081</v>
      </c>
      <c r="L1138" s="1008">
        <f t="shared" si="402"/>
        <v>3900.0406740431649</v>
      </c>
      <c r="M1138" s="1008">
        <f t="shared" si="402"/>
        <v>3510.3407489217179</v>
      </c>
      <c r="N1138" s="1008">
        <f t="shared" si="402"/>
        <v>3070.7355942328654</v>
      </c>
      <c r="O1138" s="1008">
        <f t="shared" si="402"/>
        <v>2577.1478824856067</v>
      </c>
      <c r="P1138" s="1008"/>
      <c r="W1138" s="21"/>
      <c r="X1138" s="21"/>
      <c r="Y1138" s="21"/>
    </row>
    <row r="1139" spans="1:25" s="16" customFormat="1">
      <c r="B1139" s="18"/>
      <c r="C1139" s="18" t="s">
        <v>1561</v>
      </c>
      <c r="D1139" s="18"/>
      <c r="E1139" s="18" t="str">
        <f>Preferences.moneyunits</f>
        <v>£m</v>
      </c>
      <c r="F1139" s="1008">
        <f t="shared" ref="F1139" si="403">SUM(F1137:F1138)</f>
        <v>4625.165759999999</v>
      </c>
      <c r="G1139" s="1008">
        <f t="shared" ref="G1139:O1139" si="404">SUM(G1137:G1138)</f>
        <v>13233.066231376109</v>
      </c>
      <c r="H1139" s="1008">
        <f t="shared" si="404"/>
        <v>10557.956957545113</v>
      </c>
      <c r="I1139" s="1008">
        <f t="shared" si="404"/>
        <v>14554.751535713094</v>
      </c>
      <c r="J1139" s="1008">
        <f t="shared" si="404"/>
        <v>15708.692078808945</v>
      </c>
      <c r="K1139" s="1008">
        <f t="shared" si="404"/>
        <v>16595.421824549641</v>
      </c>
      <c r="L1139" s="1008">
        <f t="shared" si="404"/>
        <v>17699.840142925255</v>
      </c>
      <c r="M1139" s="1008">
        <f t="shared" si="404"/>
        <v>18469.380703399547</v>
      </c>
      <c r="N1139" s="1008">
        <f t="shared" si="404"/>
        <v>19812.342013507659</v>
      </c>
      <c r="O1139" s="1008">
        <f t="shared" si="404"/>
        <v>21238.136412797063</v>
      </c>
      <c r="P1139" s="18"/>
      <c r="W1139" s="21"/>
      <c r="X1139" s="21"/>
      <c r="Y1139" s="21"/>
    </row>
    <row r="1140" spans="1:25" s="16" customFormat="1">
      <c r="B1140" s="18"/>
      <c r="C1140" s="18"/>
      <c r="D1140" s="18"/>
      <c r="E1140" s="18"/>
      <c r="F1140" s="1008"/>
      <c r="G1140" s="1008"/>
      <c r="H1140" s="1008"/>
      <c r="I1140" s="1008"/>
      <c r="J1140" s="1008"/>
      <c r="K1140" s="1008"/>
      <c r="L1140" s="1008"/>
      <c r="M1140" s="1008"/>
      <c r="N1140" s="1008"/>
      <c r="O1140" s="1008"/>
      <c r="P1140" s="18"/>
      <c r="W1140" s="21"/>
      <c r="X1140" s="21"/>
      <c r="Y1140" s="21"/>
    </row>
    <row r="1141" spans="1:25" s="16" customFormat="1">
      <c r="B1141" s="18"/>
      <c r="C1141" s="1298" t="s">
        <v>1675</v>
      </c>
      <c r="D1141" s="18"/>
      <c r="E1141" s="18"/>
      <c r="F1141" s="1008"/>
      <c r="G1141" s="1008"/>
      <c r="H1141" s="1008"/>
      <c r="I1141" s="1008"/>
      <c r="J1141" s="1008"/>
      <c r="K1141" s="1008"/>
      <c r="L1141" s="1008"/>
      <c r="M1141" s="1008"/>
      <c r="N1141" s="1008"/>
      <c r="O1141" s="1008"/>
      <c r="P1141" s="18"/>
      <c r="W1141" s="21"/>
      <c r="X1141" s="21"/>
      <c r="Y1141" s="21"/>
    </row>
    <row r="1142" spans="1:25" s="16" customFormat="1">
      <c r="B1142" s="18"/>
      <c r="C1142" s="1453" t="s">
        <v>1107</v>
      </c>
      <c r="D1142" s="18" t="s">
        <v>1558</v>
      </c>
      <c r="E1142" s="18" t="str">
        <f t="shared" ref="E1142:E1147" si="405">Preferences.moneyunits</f>
        <v>£m</v>
      </c>
      <c r="F1142" s="1008"/>
      <c r="G1142" s="1008">
        <f t="shared" ref="G1142:O1142" si="406">SUMPRODUCT(G$732:G$734,G442:G444)/(G1110-F1110)</f>
        <v>0</v>
      </c>
      <c r="H1142" s="1008">
        <f t="shared" si="406"/>
        <v>0</v>
      </c>
      <c r="I1142" s="1008">
        <f t="shared" si="406"/>
        <v>0</v>
      </c>
      <c r="J1142" s="1008">
        <f t="shared" si="406"/>
        <v>0</v>
      </c>
      <c r="K1142" s="1008">
        <f t="shared" si="406"/>
        <v>0</v>
      </c>
      <c r="L1142" s="1008">
        <f t="shared" si="406"/>
        <v>0</v>
      </c>
      <c r="M1142" s="1008">
        <f t="shared" si="406"/>
        <v>0</v>
      </c>
      <c r="N1142" s="1008">
        <f t="shared" si="406"/>
        <v>0</v>
      </c>
      <c r="O1142" s="1008">
        <f t="shared" si="406"/>
        <v>0</v>
      </c>
      <c r="P1142" s="18"/>
      <c r="W1142" s="21"/>
      <c r="X1142" s="21"/>
      <c r="Y1142" s="21"/>
    </row>
    <row r="1143" spans="1:25" ht="22" collapsed="1">
      <c r="A1143" s="1296"/>
      <c r="C1143" s="1453"/>
      <c r="D1143" s="18" t="s">
        <v>1559</v>
      </c>
      <c r="E1143" s="18" t="str">
        <f t="shared" si="405"/>
        <v>£m</v>
      </c>
      <c r="F1143" s="1008">
        <f t="shared" ref="F1143:O1143" si="407">SUMPRODUCT(F$716:F$718*F$509:F$511)</f>
        <v>0</v>
      </c>
      <c r="G1143" s="1008">
        <f t="shared" si="407"/>
        <v>0</v>
      </c>
      <c r="H1143" s="1008">
        <f t="shared" si="407"/>
        <v>0</v>
      </c>
      <c r="I1143" s="1008">
        <f t="shared" si="407"/>
        <v>0</v>
      </c>
      <c r="J1143" s="1008">
        <f t="shared" si="407"/>
        <v>0</v>
      </c>
      <c r="K1143" s="1008">
        <f t="shared" si="407"/>
        <v>0</v>
      </c>
      <c r="L1143" s="1008">
        <f t="shared" si="407"/>
        <v>0</v>
      </c>
      <c r="M1143" s="1008">
        <f t="shared" si="407"/>
        <v>0</v>
      </c>
      <c r="N1143" s="1008">
        <f t="shared" si="407"/>
        <v>0</v>
      </c>
      <c r="O1143" s="1008">
        <f t="shared" si="407"/>
        <v>0</v>
      </c>
      <c r="Q1143" s="1297"/>
      <c r="R1143" s="1688"/>
      <c r="W1143" s="21"/>
      <c r="X1143" s="21"/>
      <c r="Y1143" s="21"/>
    </row>
    <row r="1144" spans="1:25" ht="22">
      <c r="A1144" s="1296"/>
      <c r="C1144" s="1453" t="s">
        <v>1786</v>
      </c>
      <c r="D1144" s="18" t="s">
        <v>1558</v>
      </c>
      <c r="E1144" s="18" t="str">
        <f t="shared" si="405"/>
        <v>£m</v>
      </c>
      <c r="F1144" s="1008"/>
      <c r="G1144" s="1008">
        <f t="shared" ref="G1144:O1144" si="408">SUMPRODUCT(G$732:G$734,G464:G466)/(G$1110-F$1110)</f>
        <v>0</v>
      </c>
      <c r="H1144" s="1008">
        <f t="shared" si="408"/>
        <v>0</v>
      </c>
      <c r="I1144" s="1008">
        <f t="shared" si="408"/>
        <v>0</v>
      </c>
      <c r="J1144" s="1008">
        <f t="shared" si="408"/>
        <v>0</v>
      </c>
      <c r="K1144" s="1008">
        <f t="shared" si="408"/>
        <v>0</v>
      </c>
      <c r="L1144" s="1008">
        <f t="shared" si="408"/>
        <v>0</v>
      </c>
      <c r="M1144" s="1008">
        <f t="shared" si="408"/>
        <v>0</v>
      </c>
      <c r="N1144" s="1008">
        <f t="shared" si="408"/>
        <v>0</v>
      </c>
      <c r="O1144" s="1687">
        <f t="shared" si="408"/>
        <v>0</v>
      </c>
      <c r="P1144" s="986"/>
      <c r="Q1144" s="1687"/>
      <c r="R1144" s="1455"/>
      <c r="W1144" s="21"/>
      <c r="X1144" s="21"/>
      <c r="Y1144" s="21"/>
    </row>
    <row r="1145" spans="1:25" ht="22">
      <c r="A1145" s="1296"/>
      <c r="C1145" s="1453"/>
      <c r="D1145" s="18" t="s">
        <v>1559</v>
      </c>
      <c r="E1145" s="18" t="str">
        <f t="shared" si="405"/>
        <v>£m</v>
      </c>
      <c r="F1145" s="1008">
        <f t="shared" ref="F1145:O1145" si="409">SUMPRODUCT(F$716:F$718*F$530:F$532)</f>
        <v>0</v>
      </c>
      <c r="G1145" s="1008">
        <f t="shared" si="409"/>
        <v>0</v>
      </c>
      <c r="H1145" s="1008">
        <f t="shared" si="409"/>
        <v>0</v>
      </c>
      <c r="I1145" s="1008">
        <f t="shared" si="409"/>
        <v>0</v>
      </c>
      <c r="J1145" s="1008">
        <f t="shared" si="409"/>
        <v>0</v>
      </c>
      <c r="K1145" s="1008">
        <f t="shared" si="409"/>
        <v>0</v>
      </c>
      <c r="L1145" s="1008">
        <f t="shared" si="409"/>
        <v>0</v>
      </c>
      <c r="M1145" s="1008">
        <f t="shared" si="409"/>
        <v>0</v>
      </c>
      <c r="N1145" s="1008">
        <f t="shared" si="409"/>
        <v>0</v>
      </c>
      <c r="O1145" s="1008">
        <f t="shared" si="409"/>
        <v>0</v>
      </c>
      <c r="W1145" s="21"/>
      <c r="X1145" s="21"/>
      <c r="Y1145" s="21"/>
    </row>
    <row r="1146" spans="1:25">
      <c r="B1146" s="1298"/>
      <c r="C1146" s="1453" t="s">
        <v>1105</v>
      </c>
      <c r="D1146" s="18" t="s">
        <v>1558</v>
      </c>
      <c r="E1146" s="18" t="str">
        <f t="shared" si="405"/>
        <v>£m</v>
      </c>
      <c r="F1146" s="1008"/>
      <c r="G1146" s="1008">
        <f t="shared" ref="G1146:O1146" si="410">SUMPRODUCT(G$732:G$734,G485:G487)/(G$1110-F$1110)</f>
        <v>0</v>
      </c>
      <c r="H1146" s="1008">
        <f t="shared" si="410"/>
        <v>0</v>
      </c>
      <c r="I1146" s="1008">
        <f t="shared" si="410"/>
        <v>0</v>
      </c>
      <c r="J1146" s="1008">
        <f t="shared" si="410"/>
        <v>0</v>
      </c>
      <c r="K1146" s="1008">
        <f t="shared" si="410"/>
        <v>0</v>
      </c>
      <c r="L1146" s="1008">
        <f t="shared" si="410"/>
        <v>0</v>
      </c>
      <c r="M1146" s="1008">
        <f t="shared" si="410"/>
        <v>0</v>
      </c>
      <c r="N1146" s="1008">
        <f t="shared" si="410"/>
        <v>0</v>
      </c>
      <c r="O1146" s="1008">
        <f t="shared" si="410"/>
        <v>0</v>
      </c>
      <c r="W1146" s="21"/>
      <c r="X1146" s="21"/>
      <c r="Y1146" s="21"/>
    </row>
    <row r="1147" spans="1:25">
      <c r="B1147" s="1298"/>
      <c r="C1147" s="1453"/>
      <c r="D1147" s="18" t="s">
        <v>1559</v>
      </c>
      <c r="E1147" s="18" t="str">
        <f t="shared" si="405"/>
        <v>£m</v>
      </c>
      <c r="F1147" s="1008">
        <f t="shared" ref="F1147:O1147" si="411">SUMPRODUCT(F$716:F$718*F$551:F$553)</f>
        <v>0</v>
      </c>
      <c r="G1147" s="1008">
        <f t="shared" si="411"/>
        <v>0</v>
      </c>
      <c r="H1147" s="1008">
        <f t="shared" si="411"/>
        <v>0</v>
      </c>
      <c r="I1147" s="1008">
        <f t="shared" si="411"/>
        <v>0</v>
      </c>
      <c r="J1147" s="1008">
        <f t="shared" si="411"/>
        <v>0</v>
      </c>
      <c r="K1147" s="1008">
        <f t="shared" si="411"/>
        <v>0</v>
      </c>
      <c r="L1147" s="1008">
        <f t="shared" si="411"/>
        <v>0</v>
      </c>
      <c r="M1147" s="1008">
        <f t="shared" si="411"/>
        <v>0</v>
      </c>
      <c r="N1147" s="1008">
        <f t="shared" si="411"/>
        <v>0</v>
      </c>
      <c r="O1147" s="1008">
        <f t="shared" si="411"/>
        <v>0</v>
      </c>
      <c r="R1147" s="1298"/>
      <c r="W1147" s="21"/>
      <c r="X1147" s="21"/>
      <c r="Y1147" s="21"/>
    </row>
    <row r="1148" spans="1:25" ht="6" customHeight="1">
      <c r="B1148" s="1298"/>
      <c r="C1148" s="1453"/>
      <c r="F1148" s="1008"/>
      <c r="G1148" s="1008"/>
      <c r="H1148" s="1008"/>
      <c r="I1148" s="1008"/>
      <c r="J1148" s="1008"/>
      <c r="K1148" s="1008"/>
      <c r="L1148" s="1008"/>
      <c r="M1148" s="1008"/>
      <c r="N1148" s="1008"/>
      <c r="O1148" s="1008"/>
      <c r="W1148" s="21"/>
      <c r="X1148" s="21"/>
      <c r="Y1148" s="21"/>
    </row>
    <row r="1149" spans="1:25" ht="15">
      <c r="A1149" s="3"/>
      <c r="B1149" s="1298"/>
      <c r="C1149" s="1304" t="s">
        <v>1728</v>
      </c>
      <c r="F1149" s="1008"/>
      <c r="G1149" s="1008"/>
      <c r="H1149" s="1008"/>
      <c r="I1149" s="1008"/>
      <c r="J1149" s="1008"/>
      <c r="K1149" s="1008"/>
      <c r="L1149" s="1008"/>
      <c r="M1149" s="1008"/>
      <c r="N1149" s="1008"/>
      <c r="O1149" s="1008"/>
    </row>
    <row r="1150" spans="1:25" ht="15">
      <c r="A1150" s="3"/>
      <c r="B1150" s="1298"/>
      <c r="C1150" s="1453" t="s">
        <v>1107</v>
      </c>
      <c r="E1150" s="18" t="str">
        <f>Preferences.moneyunits</f>
        <v>£m</v>
      </c>
      <c r="F1150" s="1008"/>
      <c r="G1150" s="1008">
        <f t="shared" ref="G1150:O1150" si="412">(G$709*$D$558)/(G707-F707)</f>
        <v>0</v>
      </c>
      <c r="H1150" s="1008">
        <f t="shared" si="412"/>
        <v>0</v>
      </c>
      <c r="I1150" s="1008">
        <f t="shared" si="412"/>
        <v>1111.0348799999999</v>
      </c>
      <c r="J1150" s="1008">
        <f t="shared" si="412"/>
        <v>105.90171428571401</v>
      </c>
      <c r="K1150" s="1008">
        <f t="shared" si="412"/>
        <v>92.57142857142928</v>
      </c>
      <c r="L1150" s="1008">
        <f t="shared" si="412"/>
        <v>150.38249137311502</v>
      </c>
      <c r="M1150" s="1008">
        <f t="shared" si="412"/>
        <v>139.47336318599457</v>
      </c>
      <c r="N1150" s="1008">
        <f t="shared" si="412"/>
        <v>149.90377774983554</v>
      </c>
      <c r="O1150" s="1008">
        <f t="shared" si="412"/>
        <v>161.03539104530586</v>
      </c>
      <c r="P1150" s="986"/>
    </row>
    <row r="1151" spans="1:25" ht="15">
      <c r="A1151" s="3"/>
      <c r="B1151" s="1298"/>
      <c r="C1151" s="1453" t="s">
        <v>1786</v>
      </c>
      <c r="F1151" s="1008"/>
      <c r="G1151" s="1677">
        <f t="shared" ref="G1151:N1151" si="413">((G1152+(G1150-G1152)*0.35))</f>
        <v>0</v>
      </c>
      <c r="H1151" s="1677">
        <f t="shared" si="413"/>
        <v>0</v>
      </c>
      <c r="I1151" s="1677">
        <f t="shared" si="413"/>
        <v>656.33356800000001</v>
      </c>
      <c r="J1151" s="1677">
        <f t="shared" si="413"/>
        <v>62.560457142856983</v>
      </c>
      <c r="K1151" s="1677">
        <f t="shared" si="413"/>
        <v>54.685714285714702</v>
      </c>
      <c r="L1151" s="1677">
        <f t="shared" si="413"/>
        <v>88.83706434819203</v>
      </c>
      <c r="M1151" s="1677">
        <f t="shared" si="413"/>
        <v>82.392597882096794</v>
      </c>
      <c r="N1151" s="1677">
        <f t="shared" si="413"/>
        <v>88.554268707773218</v>
      </c>
      <c r="O1151" s="1677">
        <f>((O1152+(O1150-O1152)*0.35))</f>
        <v>95.130166191578837</v>
      </c>
      <c r="P1151" s="986"/>
    </row>
    <row r="1152" spans="1:25" ht="15">
      <c r="A1152" s="3"/>
      <c r="B1152" s="1298"/>
      <c r="C1152" s="1453" t="s">
        <v>1105</v>
      </c>
      <c r="E1152" s="18" t="str">
        <f>Preferences.moneyunits</f>
        <v>£m</v>
      </c>
      <c r="F1152" s="1008"/>
      <c r="G1152" s="1008">
        <f t="shared" ref="G1152:O1152" si="414">(G$709*$D$560)/(G707-F707)</f>
        <v>0</v>
      </c>
      <c r="H1152" s="1008">
        <f t="shared" si="414"/>
        <v>0</v>
      </c>
      <c r="I1152" s="1008">
        <f t="shared" si="414"/>
        <v>411.49440000000004</v>
      </c>
      <c r="J1152" s="1008">
        <f t="shared" si="414"/>
        <v>39.222857142857045</v>
      </c>
      <c r="K1152" s="1008">
        <f t="shared" si="414"/>
        <v>34.285714285714548</v>
      </c>
      <c r="L1152" s="1008">
        <f t="shared" si="414"/>
        <v>55.69721902707964</v>
      </c>
      <c r="M1152" s="1008">
        <f t="shared" si="414"/>
        <v>51.656801179997998</v>
      </c>
      <c r="N1152" s="1008">
        <f t="shared" si="414"/>
        <v>55.519917685124277</v>
      </c>
      <c r="O1152" s="1008">
        <f t="shared" si="414"/>
        <v>59.642737424187359</v>
      </c>
      <c r="P1152" s="1036"/>
    </row>
    <row r="1153" spans="1:25" ht="15">
      <c r="A1153" s="3"/>
      <c r="B1153" s="16"/>
      <c r="C1153" s="16"/>
      <c r="D1153" s="16"/>
      <c r="E1153" s="16"/>
      <c r="F1153" s="21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</row>
    <row r="1154" spans="1:25" ht="15">
      <c r="A1154" s="3"/>
      <c r="B1154" s="1329" t="s">
        <v>574</v>
      </c>
      <c r="C1154" s="1456"/>
      <c r="D1154" s="1330"/>
      <c r="E1154" s="1330"/>
      <c r="F1154" s="1330"/>
      <c r="G1154" s="1330"/>
      <c r="H1154" s="1330"/>
      <c r="I1154" s="1330"/>
      <c r="J1154" s="1330"/>
      <c r="K1154" s="1330"/>
      <c r="L1154" s="1330"/>
      <c r="M1154" s="1330"/>
      <c r="N1154" s="1330"/>
      <c r="O1154" s="1330"/>
      <c r="P1154" s="1331"/>
    </row>
    <row r="1155" spans="1:25" ht="6" customHeight="1">
      <c r="A1155" s="3"/>
      <c r="B1155" s="1457"/>
      <c r="C1155" s="1458"/>
      <c r="D1155" s="1458"/>
      <c r="E1155" s="1458"/>
      <c r="F1155" s="1458"/>
      <c r="G1155" s="1458"/>
      <c r="H1155" s="1458"/>
      <c r="I1155" s="1458"/>
      <c r="J1155" s="1458"/>
      <c r="K1155" s="1458"/>
      <c r="L1155" s="1458"/>
      <c r="M1155" s="1458"/>
      <c r="N1155" s="1458"/>
      <c r="O1155" s="1458"/>
      <c r="P1155" s="1459"/>
    </row>
    <row r="1156" spans="1:25" ht="15">
      <c r="A1156" s="3"/>
      <c r="B1156" s="1332"/>
      <c r="C1156" s="775" t="s">
        <v>1350</v>
      </c>
      <c r="D1156" s="768"/>
      <c r="E1156" s="1334"/>
      <c r="F1156" s="768"/>
      <c r="G1156" s="1334"/>
      <c r="H1156" s="768"/>
      <c r="I1156" s="768"/>
      <c r="J1156" s="768"/>
      <c r="K1156" s="768"/>
      <c r="L1156" s="768"/>
      <c r="M1156" s="768"/>
      <c r="N1156" s="768"/>
      <c r="O1156" s="1334" t="str">
        <f>Preferences.EnergyUnits</f>
        <v>TWh</v>
      </c>
      <c r="P1156" s="1333"/>
    </row>
    <row r="1157" spans="1:25" ht="7.5" customHeight="1">
      <c r="A1157" s="3"/>
      <c r="B1157" s="1332"/>
      <c r="C1157" s="768"/>
      <c r="D1157" s="768"/>
      <c r="E1157" s="768"/>
      <c r="F1157" s="768"/>
      <c r="G1157" s="768"/>
      <c r="H1157" s="768"/>
      <c r="I1157" s="768"/>
      <c r="J1157" s="768"/>
      <c r="K1157" s="768"/>
      <c r="L1157" s="768"/>
      <c r="M1157" s="768"/>
      <c r="N1157" s="768"/>
      <c r="O1157" s="768"/>
      <c r="P1157" s="1333"/>
    </row>
    <row r="1158" spans="1:25" ht="15">
      <c r="A1158" s="3"/>
      <c r="B1158" s="771"/>
      <c r="C1158" s="600" t="s">
        <v>72</v>
      </c>
      <c r="D1158" s="600" t="s">
        <v>400</v>
      </c>
      <c r="E1158" s="600" t="s">
        <v>422</v>
      </c>
      <c r="F1158" s="600" t="s">
        <v>578</v>
      </c>
      <c r="G1158" s="600" t="s">
        <v>579</v>
      </c>
      <c r="H1158" s="600" t="s">
        <v>604</v>
      </c>
      <c r="I1158" s="600" t="s">
        <v>605</v>
      </c>
      <c r="J1158" s="600" t="s">
        <v>606</v>
      </c>
      <c r="K1158" s="600" t="s">
        <v>607</v>
      </c>
      <c r="L1158" s="600" t="s">
        <v>608</v>
      </c>
      <c r="M1158" s="600" t="s">
        <v>609</v>
      </c>
      <c r="N1158" s="600" t="s">
        <v>610</v>
      </c>
      <c r="O1158" s="600" t="s">
        <v>611</v>
      </c>
      <c r="P1158" s="1333"/>
    </row>
    <row r="1159" spans="1:25" ht="16.5" customHeight="1">
      <c r="A1159" s="3"/>
      <c r="B1159" s="771"/>
      <c r="C1159" s="600" t="s">
        <v>40</v>
      </c>
      <c r="D1159" s="600" t="str">
        <f>INDEX(Vectors[Description], MATCH(IX.a.NoCHP.Outputs[Vector], Vectors[Code], 0))</f>
        <v>Electricity (delivered to end user)</v>
      </c>
      <c r="E1159" s="600"/>
      <c r="F1159" s="601">
        <f t="shared" ref="F1159:F1167" ca="1" si="415">F1188-F1173-F1174</f>
        <v>-31.008546529888466</v>
      </c>
      <c r="G1159" s="601" t="e">
        <f t="shared" ref="G1159:O1159" ca="1" si="416">G1188-G1173</f>
        <v>#REF!</v>
      </c>
      <c r="H1159" s="601" t="e">
        <f t="shared" ca="1" si="416"/>
        <v>#REF!</v>
      </c>
      <c r="I1159" s="601" t="e">
        <f t="shared" ca="1" si="416"/>
        <v>#REF!</v>
      </c>
      <c r="J1159" s="601" t="e">
        <f t="shared" ca="1" si="416"/>
        <v>#REF!</v>
      </c>
      <c r="K1159" s="601" t="e">
        <f t="shared" ca="1" si="416"/>
        <v>#REF!</v>
      </c>
      <c r="L1159" s="601" t="e">
        <f t="shared" ca="1" si="416"/>
        <v>#REF!</v>
      </c>
      <c r="M1159" s="601" t="e">
        <f t="shared" ca="1" si="416"/>
        <v>#REF!</v>
      </c>
      <c r="N1159" s="601" t="e">
        <f t="shared" ca="1" si="416"/>
        <v>#REF!</v>
      </c>
      <c r="O1159" s="601" t="e">
        <f t="shared" ca="1" si="416"/>
        <v>#REF!</v>
      </c>
      <c r="P1159" s="1333"/>
    </row>
    <row r="1160" spans="1:25" ht="16.5" customHeight="1">
      <c r="A1160" s="3"/>
      <c r="B1160" s="771"/>
      <c r="C1160" s="600" t="s">
        <v>41</v>
      </c>
      <c r="D1160" s="600" t="str">
        <f>INDEX(Vectors[Description], MATCH(IX.a.NoCHP.Outputs[Vector], Vectors[Code], 0))</f>
        <v>Electricity (supplied to grid)</v>
      </c>
      <c r="E1160" s="600"/>
      <c r="F1160" s="601">
        <f t="shared" ca="1" si="415"/>
        <v>0</v>
      </c>
      <c r="G1160" s="601" t="e">
        <f t="shared" ref="G1160:O1160" ca="1" si="417">G1189-G1174</f>
        <v>#REF!</v>
      </c>
      <c r="H1160" s="601" t="e">
        <f t="shared" ca="1" si="417"/>
        <v>#REF!</v>
      </c>
      <c r="I1160" s="601" t="e">
        <f t="shared" ca="1" si="417"/>
        <v>#REF!</v>
      </c>
      <c r="J1160" s="601" t="e">
        <f t="shared" ca="1" si="417"/>
        <v>#REF!</v>
      </c>
      <c r="K1160" s="601" t="e">
        <f t="shared" ca="1" si="417"/>
        <v>#REF!</v>
      </c>
      <c r="L1160" s="601" t="e">
        <f t="shared" ca="1" si="417"/>
        <v>#REF!</v>
      </c>
      <c r="M1160" s="601" t="e">
        <f t="shared" ca="1" si="417"/>
        <v>#REF!</v>
      </c>
      <c r="N1160" s="601" t="e">
        <f t="shared" ca="1" si="417"/>
        <v>#REF!</v>
      </c>
      <c r="O1160" s="601" t="e">
        <f t="shared" ca="1" si="417"/>
        <v>#REF!</v>
      </c>
      <c r="P1160" s="1333"/>
    </row>
    <row r="1161" spans="1:25" ht="16.5" customHeight="1">
      <c r="A1161" s="3"/>
      <c r="B1161" s="771"/>
      <c r="C1161" s="600" t="s">
        <v>42</v>
      </c>
      <c r="D1161" s="600" t="str">
        <f>INDEX(Vectors[Description], MATCH(IX.a.NoCHP.Outputs[Vector], Vectors[Code], 0))</f>
        <v>Solid hydrocarbons</v>
      </c>
      <c r="E1161" s="600"/>
      <c r="F1161" s="601">
        <f t="shared" ca="1" si="415"/>
        <v>-14.256803002247571</v>
      </c>
      <c r="G1161" s="601" t="e">
        <f t="shared" ref="G1161:O1161" ca="1" si="418">G1190-G1175</f>
        <v>#REF!</v>
      </c>
      <c r="H1161" s="601" t="e">
        <f t="shared" ca="1" si="418"/>
        <v>#REF!</v>
      </c>
      <c r="I1161" s="601" t="e">
        <f t="shared" ca="1" si="418"/>
        <v>#REF!</v>
      </c>
      <c r="J1161" s="601" t="e">
        <f t="shared" ca="1" si="418"/>
        <v>#REF!</v>
      </c>
      <c r="K1161" s="601" t="e">
        <f t="shared" ca="1" si="418"/>
        <v>#REF!</v>
      </c>
      <c r="L1161" s="601" t="e">
        <f t="shared" ca="1" si="418"/>
        <v>#REF!</v>
      </c>
      <c r="M1161" s="601" t="e">
        <f t="shared" ca="1" si="418"/>
        <v>#REF!</v>
      </c>
      <c r="N1161" s="601" t="e">
        <f t="shared" ca="1" si="418"/>
        <v>#REF!</v>
      </c>
      <c r="O1161" s="601" t="e">
        <f t="shared" ca="1" si="418"/>
        <v>#REF!</v>
      </c>
      <c r="P1161" s="1333"/>
    </row>
    <row r="1162" spans="1:25" ht="16.5" customHeight="1">
      <c r="B1162" s="771"/>
      <c r="C1162" s="600" t="s">
        <v>44</v>
      </c>
      <c r="D1162" s="600" t="str">
        <f>INDEX(Vectors[Description], MATCH(IX.a.NoCHP.Outputs[Vector], Vectors[Code], 0))</f>
        <v>Liquid hydrocarbons</v>
      </c>
      <c r="E1162" s="600"/>
      <c r="F1162" s="601">
        <f t="shared" ca="1" si="415"/>
        <v>-12.787029496861225</v>
      </c>
      <c r="G1162" s="601" t="e">
        <f t="shared" ref="G1162:O1162" ca="1" si="419">G1191-G1176</f>
        <v>#REF!</v>
      </c>
      <c r="H1162" s="601" t="e">
        <f t="shared" ca="1" si="419"/>
        <v>#REF!</v>
      </c>
      <c r="I1162" s="601" t="e">
        <f t="shared" ca="1" si="419"/>
        <v>#REF!</v>
      </c>
      <c r="J1162" s="601" t="e">
        <f t="shared" ca="1" si="419"/>
        <v>#REF!</v>
      </c>
      <c r="K1162" s="601" t="e">
        <f t="shared" ca="1" si="419"/>
        <v>#REF!</v>
      </c>
      <c r="L1162" s="601" t="e">
        <f t="shared" ca="1" si="419"/>
        <v>#REF!</v>
      </c>
      <c r="M1162" s="601" t="e">
        <f t="shared" ca="1" si="419"/>
        <v>#REF!</v>
      </c>
      <c r="N1162" s="601" t="e">
        <f t="shared" ca="1" si="419"/>
        <v>#REF!</v>
      </c>
      <c r="O1162" s="601" t="e">
        <f t="shared" ca="1" si="419"/>
        <v>#REF!</v>
      </c>
      <c r="P1162" s="1333"/>
      <c r="W1162" s="21"/>
      <c r="X1162" s="21"/>
      <c r="Y1162" s="21"/>
    </row>
    <row r="1163" spans="1:25" ht="16.5" customHeight="1">
      <c r="B1163" s="771"/>
      <c r="C1163" s="600" t="s">
        <v>45</v>
      </c>
      <c r="D1163" s="600" t="str">
        <f>INDEX(Vectors[Description], MATCH(IX.a.NoCHP.Outputs[Vector], Vectors[Code], 0))</f>
        <v>Gaseous hydrocarbons</v>
      </c>
      <c r="E1163" s="600"/>
      <c r="F1163" s="601">
        <f t="shared" ca="1" si="415"/>
        <v>-324.47780687796825</v>
      </c>
      <c r="G1163" s="601" t="e">
        <f t="shared" ref="G1163:O1163" ca="1" si="420">G1192-G1177</f>
        <v>#REF!</v>
      </c>
      <c r="H1163" s="601" t="e">
        <f t="shared" ca="1" si="420"/>
        <v>#REF!</v>
      </c>
      <c r="I1163" s="601" t="e">
        <f t="shared" ca="1" si="420"/>
        <v>#REF!</v>
      </c>
      <c r="J1163" s="601" t="e">
        <f t="shared" ca="1" si="420"/>
        <v>#REF!</v>
      </c>
      <c r="K1163" s="601" t="e">
        <f t="shared" ca="1" si="420"/>
        <v>#REF!</v>
      </c>
      <c r="L1163" s="601" t="e">
        <f t="shared" ca="1" si="420"/>
        <v>#REF!</v>
      </c>
      <c r="M1163" s="601" t="e">
        <f t="shared" ca="1" si="420"/>
        <v>#REF!</v>
      </c>
      <c r="N1163" s="601" t="e">
        <f t="shared" ca="1" si="420"/>
        <v>#REF!</v>
      </c>
      <c r="O1163" s="601" t="e">
        <f t="shared" ca="1" si="420"/>
        <v>#REF!</v>
      </c>
      <c r="P1163" s="1333"/>
      <c r="W1163" s="21"/>
      <c r="X1163" s="21"/>
      <c r="Y1163" s="21"/>
    </row>
    <row r="1164" spans="1:25" ht="16.5" customHeight="1">
      <c r="A1164" s="3"/>
      <c r="B1164" s="771"/>
      <c r="C1164" s="600" t="s">
        <v>625</v>
      </c>
      <c r="D1164" s="600" t="str">
        <f>INDEX(Vectors[Description], MATCH(IX.a.NoCHP.Outputs[Vector], Vectors[Code], 0))</f>
        <v>Heat transport</v>
      </c>
      <c r="E1164" s="600"/>
      <c r="F1164" s="601">
        <f t="shared" ca="1" si="415"/>
        <v>0</v>
      </c>
      <c r="G1164" s="601" t="e">
        <f t="shared" ref="G1164:O1164" ca="1" si="421">G1193-G1178</f>
        <v>#REF!</v>
      </c>
      <c r="H1164" s="601" t="e">
        <f t="shared" ca="1" si="421"/>
        <v>#REF!</v>
      </c>
      <c r="I1164" s="601" t="e">
        <f t="shared" ca="1" si="421"/>
        <v>#REF!</v>
      </c>
      <c r="J1164" s="601" t="e">
        <f t="shared" ca="1" si="421"/>
        <v>#REF!</v>
      </c>
      <c r="K1164" s="601" t="e">
        <f t="shared" ca="1" si="421"/>
        <v>#REF!</v>
      </c>
      <c r="L1164" s="601" t="e">
        <f t="shared" ca="1" si="421"/>
        <v>#REF!</v>
      </c>
      <c r="M1164" s="601" t="e">
        <f t="shared" ca="1" si="421"/>
        <v>#REF!</v>
      </c>
      <c r="N1164" s="601" t="e">
        <f t="shared" ca="1" si="421"/>
        <v>#REF!</v>
      </c>
      <c r="O1164" s="601" t="e">
        <f t="shared" ca="1" si="421"/>
        <v>#REF!</v>
      </c>
      <c r="P1164" s="1333"/>
    </row>
    <row r="1165" spans="1:25" ht="16.5" customHeight="1">
      <c r="A1165" s="3"/>
      <c r="B1165" s="771"/>
      <c r="C1165" s="600" t="s">
        <v>960</v>
      </c>
      <c r="D1165" s="600" t="str">
        <f>INDEX(Vectors[Description], MATCH(IX.a.NoCHP.Outputs[Vector], Vectors[Code], 0))</f>
        <v>Domestic solar thermal</v>
      </c>
      <c r="E1165" s="600"/>
      <c r="F1165" s="601">
        <f t="shared" ca="1" si="415"/>
        <v>0</v>
      </c>
      <c r="G1165" s="601" t="e">
        <f t="shared" ref="G1165:O1165" ca="1" si="422">G1194-G1179</f>
        <v>#REF!</v>
      </c>
      <c r="H1165" s="601" t="e">
        <f t="shared" ca="1" si="422"/>
        <v>#REF!</v>
      </c>
      <c r="I1165" s="601" t="e">
        <f t="shared" ca="1" si="422"/>
        <v>#REF!</v>
      </c>
      <c r="J1165" s="601" t="e">
        <f t="shared" ca="1" si="422"/>
        <v>#REF!</v>
      </c>
      <c r="K1165" s="601" t="e">
        <f t="shared" ca="1" si="422"/>
        <v>#REF!</v>
      </c>
      <c r="L1165" s="601" t="e">
        <f t="shared" ca="1" si="422"/>
        <v>#REF!</v>
      </c>
      <c r="M1165" s="601" t="e">
        <f t="shared" ca="1" si="422"/>
        <v>#REF!</v>
      </c>
      <c r="N1165" s="601" t="e">
        <f t="shared" ca="1" si="422"/>
        <v>#REF!</v>
      </c>
      <c r="O1165" s="601" t="e">
        <f t="shared" ca="1" si="422"/>
        <v>#REF!</v>
      </c>
      <c r="P1165" s="1333"/>
    </row>
    <row r="1166" spans="1:25" ht="16.5" customHeight="1">
      <c r="A1166" s="3"/>
      <c r="B1166" s="771"/>
      <c r="C1166" s="600" t="s">
        <v>98</v>
      </c>
      <c r="D1166" s="600" t="str">
        <f>INDEX(Vectors[Description], MATCH(IX.a.NoCHP.Outputs[Vector], Vectors[Code], 0))</f>
        <v>Environmental heat</v>
      </c>
      <c r="E1166" s="600"/>
      <c r="F1166" s="601">
        <f t="shared" ca="1" si="415"/>
        <v>0</v>
      </c>
      <c r="G1166" s="601" t="e">
        <f t="shared" ref="G1166:O1166" ca="1" si="423">G1195-G1180</f>
        <v>#REF!</v>
      </c>
      <c r="H1166" s="601" t="e">
        <f t="shared" ca="1" si="423"/>
        <v>#REF!</v>
      </c>
      <c r="I1166" s="601" t="e">
        <f t="shared" ca="1" si="423"/>
        <v>#REF!</v>
      </c>
      <c r="J1166" s="601" t="e">
        <f t="shared" ca="1" si="423"/>
        <v>#REF!</v>
      </c>
      <c r="K1166" s="601" t="e">
        <f t="shared" ca="1" si="423"/>
        <v>#REF!</v>
      </c>
      <c r="L1166" s="601" t="e">
        <f t="shared" ca="1" si="423"/>
        <v>#REF!</v>
      </c>
      <c r="M1166" s="601" t="e">
        <f t="shared" ca="1" si="423"/>
        <v>#REF!</v>
      </c>
      <c r="N1166" s="601" t="e">
        <f t="shared" ca="1" si="423"/>
        <v>#REF!</v>
      </c>
      <c r="O1166" s="601" t="e">
        <f t="shared" ca="1" si="423"/>
        <v>#REF!</v>
      </c>
      <c r="P1166" s="1333"/>
    </row>
    <row r="1167" spans="1:25" ht="16.5" customHeight="1">
      <c r="A1167" s="3"/>
      <c r="B1167" s="771"/>
      <c r="C1167" s="600" t="s">
        <v>6</v>
      </c>
      <c r="D1167" s="600" t="str">
        <f>INDEX(Vectors[Description], MATCH(IX.a.NoCHP.Outputs[Vector], Vectors[Code], 0))</f>
        <v>Heating &amp; cooling</v>
      </c>
      <c r="E1167" s="600"/>
      <c r="F1167" s="601">
        <f t="shared" ca="1" si="415"/>
        <v>382.53018590696547</v>
      </c>
      <c r="G1167" s="601" t="e">
        <f t="shared" ref="G1167:O1167" ca="1" si="424">G1196-G1181-G1182</f>
        <v>#REF!</v>
      </c>
      <c r="H1167" s="601" t="e">
        <f t="shared" ca="1" si="424"/>
        <v>#REF!</v>
      </c>
      <c r="I1167" s="601" t="e">
        <f t="shared" ca="1" si="424"/>
        <v>#REF!</v>
      </c>
      <c r="J1167" s="601" t="e">
        <f t="shared" ca="1" si="424"/>
        <v>#REF!</v>
      </c>
      <c r="K1167" s="601" t="e">
        <f t="shared" ca="1" si="424"/>
        <v>#REF!</v>
      </c>
      <c r="L1167" s="601" t="e">
        <f t="shared" ca="1" si="424"/>
        <v>#REF!</v>
      </c>
      <c r="M1167" s="601" t="e">
        <f t="shared" ca="1" si="424"/>
        <v>#REF!</v>
      </c>
      <c r="N1167" s="601" t="e">
        <f t="shared" ca="1" si="424"/>
        <v>#REF!</v>
      </c>
      <c r="O1167" s="601" t="e">
        <f t="shared" ca="1" si="424"/>
        <v>#REF!</v>
      </c>
      <c r="P1167" s="1333"/>
    </row>
    <row r="1168" spans="1:25" ht="15">
      <c r="A1168" s="3"/>
      <c r="B1168" s="771"/>
      <c r="C1168" s="600" t="s">
        <v>133</v>
      </c>
      <c r="D1168" s="600"/>
      <c r="E1168" s="600"/>
      <c r="F1168" s="937">
        <f ca="1">SUBTOTAL(109,IX.a.NoCHP.Outputs[2007])</f>
        <v>0</v>
      </c>
      <c r="G1168" s="937" t="e">
        <f ca="1">SUBTOTAL(109,IX.a.NoCHP.Outputs[2010])</f>
        <v>#REF!</v>
      </c>
      <c r="H1168" s="937" t="e">
        <f ca="1">SUBTOTAL(109,IX.a.NoCHP.Outputs[2015])</f>
        <v>#REF!</v>
      </c>
      <c r="I1168" s="937" t="e">
        <f ca="1">SUBTOTAL(109,IX.a.NoCHP.Outputs[2020])</f>
        <v>#REF!</v>
      </c>
      <c r="J1168" s="937" t="e">
        <f ca="1">SUBTOTAL(109,IX.a.NoCHP.Outputs[2025])</f>
        <v>#REF!</v>
      </c>
      <c r="K1168" s="937" t="e">
        <f ca="1">SUBTOTAL(109,IX.a.NoCHP.Outputs[2030])</f>
        <v>#REF!</v>
      </c>
      <c r="L1168" s="937" t="e">
        <f ca="1">SUBTOTAL(109,IX.a.NoCHP.Outputs[2035])</f>
        <v>#REF!</v>
      </c>
      <c r="M1168" s="937" t="e">
        <f ca="1">SUBTOTAL(109,IX.a.NoCHP.Outputs[2040])</f>
        <v>#REF!</v>
      </c>
      <c r="N1168" s="937" t="e">
        <f ca="1">SUBTOTAL(109,IX.a.NoCHP.Outputs[2045])</f>
        <v>#REF!</v>
      </c>
      <c r="O1168" s="937" t="e">
        <f ca="1">SUBTOTAL(109,IX.a.NoCHP.Outputs[2050])</f>
        <v>#REF!</v>
      </c>
      <c r="P1168" s="1333"/>
    </row>
    <row r="1169" spans="1:25" ht="15">
      <c r="A1169" s="3"/>
      <c r="B1169" s="771"/>
      <c r="C1169" s="600"/>
      <c r="D1169" s="600"/>
      <c r="E1169" s="600"/>
      <c r="F1169" s="937"/>
      <c r="G1169" s="937"/>
      <c r="H1169" s="937"/>
      <c r="I1169" s="937"/>
      <c r="J1169" s="937"/>
      <c r="K1169" s="937"/>
      <c r="L1169" s="937"/>
      <c r="M1169" s="937"/>
      <c r="N1169" s="937"/>
      <c r="O1169" s="937"/>
      <c r="P1169" s="1333"/>
    </row>
    <row r="1170" spans="1:25" ht="15">
      <c r="A1170" s="3"/>
      <c r="B1170" s="1332"/>
      <c r="C1170" s="775" t="s">
        <v>1349</v>
      </c>
      <c r="D1170" s="768"/>
      <c r="E1170" s="1334"/>
      <c r="F1170" s="768"/>
      <c r="G1170" s="1334"/>
      <c r="H1170" s="768"/>
      <c r="I1170" s="768"/>
      <c r="J1170" s="768"/>
      <c r="K1170" s="768"/>
      <c r="L1170" s="768"/>
      <c r="M1170" s="768"/>
      <c r="N1170" s="768"/>
      <c r="O1170" s="1334" t="str">
        <f>Preferences.EnergyUnits</f>
        <v>TWh</v>
      </c>
      <c r="P1170" s="1333"/>
    </row>
    <row r="1171" spans="1:25" ht="7.5" customHeight="1">
      <c r="A1171" s="3"/>
      <c r="B1171" s="1332"/>
      <c r="C1171" s="768"/>
      <c r="D1171" s="768"/>
      <c r="E1171" s="768"/>
      <c r="F1171" s="768"/>
      <c r="G1171" s="768"/>
      <c r="H1171" s="768"/>
      <c r="I1171" s="768"/>
      <c r="J1171" s="768"/>
      <c r="K1171" s="768"/>
      <c r="L1171" s="768"/>
      <c r="M1171" s="768"/>
      <c r="N1171" s="768"/>
      <c r="O1171" s="768"/>
      <c r="P1171" s="1333"/>
    </row>
    <row r="1172" spans="1:25" ht="15">
      <c r="A1172" s="3"/>
      <c r="B1172" s="771"/>
      <c r="C1172" s="600" t="s">
        <v>72</v>
      </c>
      <c r="D1172" s="600" t="s">
        <v>400</v>
      </c>
      <c r="E1172" s="600" t="s">
        <v>422</v>
      </c>
      <c r="F1172" s="600" t="s">
        <v>578</v>
      </c>
      <c r="G1172" s="600" t="s">
        <v>579</v>
      </c>
      <c r="H1172" s="600" t="s">
        <v>604</v>
      </c>
      <c r="I1172" s="600" t="s">
        <v>605</v>
      </c>
      <c r="J1172" s="600" t="s">
        <v>606</v>
      </c>
      <c r="K1172" s="600" t="s">
        <v>607</v>
      </c>
      <c r="L1172" s="600" t="s">
        <v>608</v>
      </c>
      <c r="M1172" s="600" t="s">
        <v>609</v>
      </c>
      <c r="N1172" s="600" t="s">
        <v>610</v>
      </c>
      <c r="O1172" s="600" t="s">
        <v>611</v>
      </c>
      <c r="P1172" s="1333"/>
    </row>
    <row r="1173" spans="1:25" ht="15.75" customHeight="1">
      <c r="A1173" s="3"/>
      <c r="B1173" s="771"/>
      <c r="C1173" s="600" t="s">
        <v>40</v>
      </c>
      <c r="D1173" s="600" t="str">
        <f>INDEX(Vectors[Description], MATCH(IX.a.CHP.Outputs[Vector], Vectors[Code], 0))</f>
        <v>Electricity (delivered to end user)</v>
      </c>
      <c r="E1173" s="600"/>
      <c r="F1173" s="601">
        <f ca="1">INDEX(F$964:F$972, MATCH(IX.a.CHP.Outputs[Vector], $B$964:$B$972, 0))</f>
        <v>0</v>
      </c>
      <c r="G1173" s="601" t="e">
        <f ca="1">INDEX(G$964:G$972, MATCH(IX.a.CHP.Outputs[Vector], $B$964:$B$972, 0))</f>
        <v>#REF!</v>
      </c>
      <c r="H1173" s="601" t="e">
        <f ca="1">INDEX(H$964:H$972, MATCH(IX.a.CHP.Outputs[Vector], $B$964:$B$972, 0))</f>
        <v>#REF!</v>
      </c>
      <c r="I1173" s="601" t="e">
        <f ca="1">INDEX(I$964:I$972, MATCH(IX.a.CHP.Outputs[Vector], $B$964:$B$972, 0))</f>
        <v>#REF!</v>
      </c>
      <c r="J1173" s="601" t="e">
        <f ca="1">INDEX(J$964:J$972, MATCH(IX.a.CHP.Outputs[Vector], $B$964:$B$972, 0))</f>
        <v>#REF!</v>
      </c>
      <c r="K1173" s="601" t="e">
        <f ca="1">INDEX(K$964:K$972, MATCH(IX.a.CHP.Outputs[Vector], $B$964:$B$972, 0))</f>
        <v>#REF!</v>
      </c>
      <c r="L1173" s="601" t="e">
        <f ca="1">INDEX(L$964:L$972, MATCH(IX.a.CHP.Outputs[Vector], $B$964:$B$972, 0))</f>
        <v>#REF!</v>
      </c>
      <c r="M1173" s="601" t="e">
        <f ca="1">INDEX(M$964:M$972, MATCH(IX.a.CHP.Outputs[Vector], $B$964:$B$972, 0))</f>
        <v>#REF!</v>
      </c>
      <c r="N1173" s="601" t="e">
        <f ca="1">INDEX(N$964:N$972, MATCH(IX.a.CHP.Outputs[Vector], $B$964:$B$972, 0))</f>
        <v>#REF!</v>
      </c>
      <c r="O1173" s="601" t="e">
        <f ca="1">INDEX(O$964:O$972, MATCH(IX.a.CHP.Outputs[Vector], $B$964:$B$972, 0))</f>
        <v>#REF!</v>
      </c>
      <c r="P1173" s="1333"/>
    </row>
    <row r="1174" spans="1:25" ht="15.75" customHeight="1">
      <c r="A1174" s="3"/>
      <c r="B1174" s="771"/>
      <c r="C1174" s="600" t="s">
        <v>41</v>
      </c>
      <c r="D1174" s="600" t="str">
        <f>INDEX(Vectors[Description], MATCH(IX.a.CHP.Outputs[Vector], Vectors[Code], 0))</f>
        <v>Electricity (supplied to grid)</v>
      </c>
      <c r="E1174" s="600"/>
      <c r="F1174" s="601">
        <f ca="1">INDEX(F$964:F$972, MATCH(IX.a.CHP.Outputs[Vector], $B$964:$B$972, 0))</f>
        <v>0</v>
      </c>
      <c r="G1174" s="601" t="e">
        <f ca="1">INDEX(G$964:G$972, MATCH(IX.a.CHP.Outputs[Vector], $B$964:$B$972, 0))</f>
        <v>#REF!</v>
      </c>
      <c r="H1174" s="601" t="e">
        <f ca="1">INDEX(H$964:H$972, MATCH(IX.a.CHP.Outputs[Vector], $B$964:$B$972, 0))</f>
        <v>#REF!</v>
      </c>
      <c r="I1174" s="601" t="e">
        <f ca="1">INDEX(I$964:I$972, MATCH(IX.a.CHP.Outputs[Vector], $B$964:$B$972, 0))</f>
        <v>#REF!</v>
      </c>
      <c r="J1174" s="601" t="e">
        <f ca="1">INDEX(J$964:J$972, MATCH(IX.a.CHP.Outputs[Vector], $B$964:$B$972, 0))</f>
        <v>#REF!</v>
      </c>
      <c r="K1174" s="601" t="e">
        <f ca="1">INDEX(K$964:K$972, MATCH(IX.a.CHP.Outputs[Vector], $B$964:$B$972, 0))</f>
        <v>#REF!</v>
      </c>
      <c r="L1174" s="601" t="e">
        <f ca="1">INDEX(L$964:L$972, MATCH(IX.a.CHP.Outputs[Vector], $B$964:$B$972, 0))</f>
        <v>#REF!</v>
      </c>
      <c r="M1174" s="601" t="e">
        <f ca="1">INDEX(M$964:M$972, MATCH(IX.a.CHP.Outputs[Vector], $B$964:$B$972, 0))</f>
        <v>#REF!</v>
      </c>
      <c r="N1174" s="601" t="e">
        <f ca="1">INDEX(N$964:N$972, MATCH(IX.a.CHP.Outputs[Vector], $B$964:$B$972, 0))</f>
        <v>#REF!</v>
      </c>
      <c r="O1174" s="601" t="e">
        <f ca="1">INDEX(O$964:O$972, MATCH(IX.a.CHP.Outputs[Vector], $B$964:$B$972, 0))</f>
        <v>#REF!</v>
      </c>
      <c r="P1174" s="1333"/>
    </row>
    <row r="1175" spans="1:25" ht="15.75" customHeight="1">
      <c r="A1175" s="3"/>
      <c r="B1175" s="771"/>
      <c r="C1175" s="600" t="s">
        <v>42</v>
      </c>
      <c r="D1175" s="600" t="str">
        <f>INDEX(Vectors[Description], MATCH(IX.a.CHP.Outputs[Vector], Vectors[Code], 0))</f>
        <v>Solid hydrocarbons</v>
      </c>
      <c r="E1175" s="600"/>
      <c r="F1175" s="601">
        <f ca="1">INDEX(F$964:F$972, MATCH(IX.a.CHP.Outputs[Vector], $B$964:$B$972, 0))</f>
        <v>0</v>
      </c>
      <c r="G1175" s="601" t="e">
        <f ca="1">INDEX(G$964:G$972, MATCH(IX.a.CHP.Outputs[Vector], $B$964:$B$972, 0))</f>
        <v>#REF!</v>
      </c>
      <c r="H1175" s="601" t="e">
        <f ca="1">INDEX(H$964:H$972, MATCH(IX.a.CHP.Outputs[Vector], $B$964:$B$972, 0))</f>
        <v>#REF!</v>
      </c>
      <c r="I1175" s="601" t="e">
        <f ca="1">INDEX(I$964:I$972, MATCH(IX.a.CHP.Outputs[Vector], $B$964:$B$972, 0))</f>
        <v>#REF!</v>
      </c>
      <c r="J1175" s="601" t="e">
        <f ca="1">INDEX(J$964:J$972, MATCH(IX.a.CHP.Outputs[Vector], $B$964:$B$972, 0))</f>
        <v>#REF!</v>
      </c>
      <c r="K1175" s="601" t="e">
        <f ca="1">INDEX(K$964:K$972, MATCH(IX.a.CHP.Outputs[Vector], $B$964:$B$972, 0))</f>
        <v>#REF!</v>
      </c>
      <c r="L1175" s="601" t="e">
        <f ca="1">INDEX(L$964:L$972, MATCH(IX.a.CHP.Outputs[Vector], $B$964:$B$972, 0))</f>
        <v>#REF!</v>
      </c>
      <c r="M1175" s="601" t="e">
        <f ca="1">INDEX(M$964:M$972, MATCH(IX.a.CHP.Outputs[Vector], $B$964:$B$972, 0))</f>
        <v>#REF!</v>
      </c>
      <c r="N1175" s="601" t="e">
        <f ca="1">INDEX(N$964:N$972, MATCH(IX.a.CHP.Outputs[Vector], $B$964:$B$972, 0))</f>
        <v>#REF!</v>
      </c>
      <c r="O1175" s="601" t="e">
        <f ca="1">INDEX(O$964:O$972, MATCH(IX.a.CHP.Outputs[Vector], $B$964:$B$972, 0))</f>
        <v>#REF!</v>
      </c>
      <c r="P1175" s="1333"/>
    </row>
    <row r="1176" spans="1:25" ht="15.75" customHeight="1">
      <c r="A1176" s="3"/>
      <c r="B1176" s="771"/>
      <c r="C1176" s="600" t="s">
        <v>44</v>
      </c>
      <c r="D1176" s="600" t="str">
        <f>INDEX(Vectors[Description], MATCH(IX.a.CHP.Outputs[Vector], Vectors[Code], 0))</f>
        <v>Liquid hydrocarbons</v>
      </c>
      <c r="E1176" s="600"/>
      <c r="F1176" s="601">
        <f ca="1">INDEX(F$964:F$972, MATCH(IX.a.CHP.Outputs[Vector], $B$964:$B$972, 0))</f>
        <v>0</v>
      </c>
      <c r="G1176" s="601" t="e">
        <f ca="1">INDEX(G$964:G$972, MATCH(IX.a.CHP.Outputs[Vector], $B$964:$B$972, 0))</f>
        <v>#REF!</v>
      </c>
      <c r="H1176" s="601" t="e">
        <f ca="1">INDEX(H$964:H$972, MATCH(IX.a.CHP.Outputs[Vector], $B$964:$B$972, 0))</f>
        <v>#REF!</v>
      </c>
      <c r="I1176" s="601" t="e">
        <f ca="1">INDEX(I$964:I$972, MATCH(IX.a.CHP.Outputs[Vector], $B$964:$B$972, 0))</f>
        <v>#REF!</v>
      </c>
      <c r="J1176" s="601" t="e">
        <f ca="1">INDEX(J$964:J$972, MATCH(IX.a.CHP.Outputs[Vector], $B$964:$B$972, 0))</f>
        <v>#REF!</v>
      </c>
      <c r="K1176" s="601" t="e">
        <f ca="1">INDEX(K$964:K$972, MATCH(IX.a.CHP.Outputs[Vector], $B$964:$B$972, 0))</f>
        <v>#REF!</v>
      </c>
      <c r="L1176" s="601" t="e">
        <f ca="1">INDEX(L$964:L$972, MATCH(IX.a.CHP.Outputs[Vector], $B$964:$B$972, 0))</f>
        <v>#REF!</v>
      </c>
      <c r="M1176" s="601" t="e">
        <f ca="1">INDEX(M$964:M$972, MATCH(IX.a.CHP.Outputs[Vector], $B$964:$B$972, 0))</f>
        <v>#REF!</v>
      </c>
      <c r="N1176" s="601" t="e">
        <f ca="1">INDEX(N$964:N$972, MATCH(IX.a.CHP.Outputs[Vector], $B$964:$B$972, 0))</f>
        <v>#REF!</v>
      </c>
      <c r="O1176" s="601" t="e">
        <f ca="1">INDEX(O$964:O$972, MATCH(IX.a.CHP.Outputs[Vector], $B$964:$B$972, 0))</f>
        <v>#REF!</v>
      </c>
      <c r="P1176" s="1333"/>
    </row>
    <row r="1177" spans="1:25" ht="15.75" customHeight="1">
      <c r="B1177" s="771"/>
      <c r="C1177" s="600" t="s">
        <v>45</v>
      </c>
      <c r="D1177" s="600" t="str">
        <f>INDEX(Vectors[Description], MATCH(IX.a.CHP.Outputs[Vector], Vectors[Code], 0))</f>
        <v>Gaseous hydrocarbons</v>
      </c>
      <c r="E1177" s="600"/>
      <c r="F1177" s="601">
        <f ca="1">INDEX(F$964:F$972, MATCH(IX.a.CHP.Outputs[Vector], $B$964:$B$972, 0))</f>
        <v>0</v>
      </c>
      <c r="G1177" s="601" t="e">
        <f ca="1">INDEX(G$964:G$972, MATCH(IX.a.CHP.Outputs[Vector], $B$964:$B$972, 0))</f>
        <v>#REF!</v>
      </c>
      <c r="H1177" s="601" t="e">
        <f ca="1">INDEX(H$964:H$972, MATCH(IX.a.CHP.Outputs[Vector], $B$964:$B$972, 0))</f>
        <v>#REF!</v>
      </c>
      <c r="I1177" s="601" t="e">
        <f ca="1">INDEX(I$964:I$972, MATCH(IX.a.CHP.Outputs[Vector], $B$964:$B$972, 0))</f>
        <v>#REF!</v>
      </c>
      <c r="J1177" s="601" t="e">
        <f ca="1">INDEX(J$964:J$972, MATCH(IX.a.CHP.Outputs[Vector], $B$964:$B$972, 0))</f>
        <v>#REF!</v>
      </c>
      <c r="K1177" s="601" t="e">
        <f ca="1">INDEX(K$964:K$972, MATCH(IX.a.CHP.Outputs[Vector], $B$964:$B$972, 0))</f>
        <v>#REF!</v>
      </c>
      <c r="L1177" s="601" t="e">
        <f ca="1">INDEX(L$964:L$972, MATCH(IX.a.CHP.Outputs[Vector], $B$964:$B$972, 0))</f>
        <v>#REF!</v>
      </c>
      <c r="M1177" s="601" t="e">
        <f ca="1">INDEX(M$964:M$972, MATCH(IX.a.CHP.Outputs[Vector], $B$964:$B$972, 0))</f>
        <v>#REF!</v>
      </c>
      <c r="N1177" s="601" t="e">
        <f ca="1">INDEX(N$964:N$972, MATCH(IX.a.CHP.Outputs[Vector], $B$964:$B$972, 0))</f>
        <v>#REF!</v>
      </c>
      <c r="O1177" s="601" t="e">
        <f ca="1">INDEX(O$964:O$972, MATCH(IX.a.CHP.Outputs[Vector], $B$964:$B$972, 0))</f>
        <v>#REF!</v>
      </c>
      <c r="P1177" s="1333"/>
      <c r="W1177" s="21"/>
      <c r="X1177" s="21"/>
      <c r="Y1177" s="21"/>
    </row>
    <row r="1178" spans="1:25" ht="15.75" customHeight="1">
      <c r="B1178" s="771"/>
      <c r="C1178" s="600" t="s">
        <v>625</v>
      </c>
      <c r="D1178" s="600" t="str">
        <f>INDEX(Vectors[Description], MATCH(IX.a.CHP.Outputs[Vector], Vectors[Code], 0))</f>
        <v>Heat transport</v>
      </c>
      <c r="E1178" s="600"/>
      <c r="F1178" s="601">
        <f ca="1">INDEX(F$964:F$972, MATCH(IX.a.CHP.Outputs[Vector], $B$964:$B$972, 0))</f>
        <v>0</v>
      </c>
      <c r="G1178" s="601" t="e">
        <f ca="1">INDEX(G$964:G$972, MATCH(IX.a.CHP.Outputs[Vector], $B$964:$B$972, 0))</f>
        <v>#REF!</v>
      </c>
      <c r="H1178" s="601" t="e">
        <f ca="1">INDEX(H$964:H$972, MATCH(IX.a.CHP.Outputs[Vector], $B$964:$B$972, 0))</f>
        <v>#REF!</v>
      </c>
      <c r="I1178" s="601" t="e">
        <f ca="1">INDEX(I$964:I$972, MATCH(IX.a.CHP.Outputs[Vector], $B$964:$B$972, 0))</f>
        <v>#REF!</v>
      </c>
      <c r="J1178" s="601" t="e">
        <f ca="1">INDEX(J$964:J$972, MATCH(IX.a.CHP.Outputs[Vector], $B$964:$B$972, 0))</f>
        <v>#REF!</v>
      </c>
      <c r="K1178" s="601" t="e">
        <f ca="1">INDEX(K$964:K$972, MATCH(IX.a.CHP.Outputs[Vector], $B$964:$B$972, 0))</f>
        <v>#REF!</v>
      </c>
      <c r="L1178" s="601" t="e">
        <f ca="1">INDEX(L$964:L$972, MATCH(IX.a.CHP.Outputs[Vector], $B$964:$B$972, 0))</f>
        <v>#REF!</v>
      </c>
      <c r="M1178" s="601" t="e">
        <f ca="1">INDEX(M$964:M$972, MATCH(IX.a.CHP.Outputs[Vector], $B$964:$B$972, 0))</f>
        <v>#REF!</v>
      </c>
      <c r="N1178" s="601" t="e">
        <f ca="1">INDEX(N$964:N$972, MATCH(IX.a.CHP.Outputs[Vector], $B$964:$B$972, 0))</f>
        <v>#REF!</v>
      </c>
      <c r="O1178" s="601" t="e">
        <f ca="1">INDEX(O$964:O$972, MATCH(IX.a.CHP.Outputs[Vector], $B$964:$B$972, 0))</f>
        <v>#REF!</v>
      </c>
      <c r="P1178" s="1333"/>
      <c r="W1178" s="21"/>
      <c r="X1178" s="21"/>
      <c r="Y1178" s="21"/>
    </row>
    <row r="1179" spans="1:25" ht="15.75" customHeight="1">
      <c r="A1179" s="3"/>
      <c r="B1179" s="771"/>
      <c r="C1179" s="600" t="s">
        <v>960</v>
      </c>
      <c r="D1179" s="600" t="str">
        <f>INDEX(Vectors[Description], MATCH(IX.a.CHP.Outputs[Vector], Vectors[Code], 0))</f>
        <v>Domestic solar thermal</v>
      </c>
      <c r="E1179" s="600"/>
      <c r="F1179" s="601"/>
      <c r="G1179" s="601"/>
      <c r="H1179" s="601"/>
      <c r="I1179" s="601"/>
      <c r="J1179" s="601"/>
      <c r="K1179" s="601"/>
      <c r="L1179" s="601"/>
      <c r="M1179" s="601"/>
      <c r="N1179" s="601"/>
      <c r="O1179" s="601"/>
      <c r="P1179" s="1333"/>
    </row>
    <row r="1180" spans="1:25" ht="15.75" customHeight="1">
      <c r="A1180" s="3"/>
      <c r="B1180" s="771"/>
      <c r="C1180" s="600" t="s">
        <v>98</v>
      </c>
      <c r="D1180" s="600" t="str">
        <f>INDEX(Vectors[Description], MATCH(IX.a.CHP.Outputs[Vector], Vectors[Code], 0))</f>
        <v>Environmental heat</v>
      </c>
      <c r="E1180" s="600"/>
      <c r="F1180" s="601">
        <f ca="1">INDEX(F$964:F$972, MATCH(IX.a.CHP.Outputs[Vector], $B$964:$B$972, 0))</f>
        <v>0</v>
      </c>
      <c r="G1180" s="601" t="e">
        <f ca="1">INDEX(G$964:G$972, MATCH(IX.a.CHP.Outputs[Vector], $B$964:$B$972, 0))</f>
        <v>#REF!</v>
      </c>
      <c r="H1180" s="601" t="e">
        <f ca="1">INDEX(H$964:H$972, MATCH(IX.a.CHP.Outputs[Vector], $B$964:$B$972, 0))</f>
        <v>#REF!</v>
      </c>
      <c r="I1180" s="601" t="e">
        <f ca="1">INDEX(I$964:I$972, MATCH(IX.a.CHP.Outputs[Vector], $B$964:$B$972, 0))</f>
        <v>#REF!</v>
      </c>
      <c r="J1180" s="601" t="e">
        <f ca="1">INDEX(J$964:J$972, MATCH(IX.a.CHP.Outputs[Vector], $B$964:$B$972, 0))</f>
        <v>#REF!</v>
      </c>
      <c r="K1180" s="601" t="e">
        <f ca="1">INDEX(K$964:K$972, MATCH(IX.a.CHP.Outputs[Vector], $B$964:$B$972, 0))</f>
        <v>#REF!</v>
      </c>
      <c r="L1180" s="601" t="e">
        <f ca="1">INDEX(L$964:L$972, MATCH(IX.a.CHP.Outputs[Vector], $B$964:$B$972, 0))</f>
        <v>#REF!</v>
      </c>
      <c r="M1180" s="601" t="e">
        <f ca="1">INDEX(M$964:M$972, MATCH(IX.a.CHP.Outputs[Vector], $B$964:$B$972, 0))</f>
        <v>#REF!</v>
      </c>
      <c r="N1180" s="601" t="e">
        <f ca="1">INDEX(N$964:N$972, MATCH(IX.a.CHP.Outputs[Vector], $B$964:$B$972, 0))</f>
        <v>#REF!</v>
      </c>
      <c r="O1180" s="601" t="e">
        <f ca="1">INDEX(O$964:O$972, MATCH(IX.a.CHP.Outputs[Vector], $B$964:$B$972, 0))</f>
        <v>#REF!</v>
      </c>
      <c r="P1180" s="1333"/>
    </row>
    <row r="1181" spans="1:25" ht="15.75" customHeight="1">
      <c r="A1181" s="3"/>
      <c r="B1181" s="771"/>
      <c r="C1181" s="600" t="s">
        <v>6</v>
      </c>
      <c r="D1181" s="600" t="str">
        <f>INDEX(Vectors[Description], MATCH(IX.a.CHP.Outputs[Vector], Vectors[Code], 0))</f>
        <v>Heating &amp; cooling</v>
      </c>
      <c r="E1181" s="600"/>
      <c r="F1181" s="601">
        <f ca="1">INDEX(F$964:F$972, MATCH(IX.a.CHP.Outputs[Vector], $B$964:$B$972, 0))</f>
        <v>0</v>
      </c>
      <c r="G1181" s="601" t="e">
        <f ca="1">INDEX(G$964:G$972, MATCH(IX.a.CHP.Outputs[Vector], $B$964:$B$972, 0))</f>
        <v>#REF!</v>
      </c>
      <c r="H1181" s="601" t="e">
        <f ca="1">INDEX(H$964:H$972, MATCH(IX.a.CHP.Outputs[Vector], $B$964:$B$972, 0))</f>
        <v>#REF!</v>
      </c>
      <c r="I1181" s="601" t="e">
        <f ca="1">INDEX(I$964:I$972, MATCH(IX.a.CHP.Outputs[Vector], $B$964:$B$972, 0))</f>
        <v>#REF!</v>
      </c>
      <c r="J1181" s="601" t="e">
        <f ca="1">INDEX(J$964:J$972, MATCH(IX.a.CHP.Outputs[Vector], $B$964:$B$972, 0))</f>
        <v>#REF!</v>
      </c>
      <c r="K1181" s="601" t="e">
        <f ca="1">INDEX(K$964:K$972, MATCH(IX.a.CHP.Outputs[Vector], $B$964:$B$972, 0))</f>
        <v>#REF!</v>
      </c>
      <c r="L1181" s="601" t="e">
        <f ca="1">INDEX(L$964:L$972, MATCH(IX.a.CHP.Outputs[Vector], $B$964:$B$972, 0))</f>
        <v>#REF!</v>
      </c>
      <c r="M1181" s="601" t="e">
        <f ca="1">INDEX(M$964:M$972, MATCH(IX.a.CHP.Outputs[Vector], $B$964:$B$972, 0))</f>
        <v>#REF!</v>
      </c>
      <c r="N1181" s="601" t="e">
        <f ca="1">INDEX(N$964:N$972, MATCH(IX.a.CHP.Outputs[Vector], $B$964:$B$972, 0))</f>
        <v>#REF!</v>
      </c>
      <c r="O1181" s="601" t="e">
        <f ca="1">INDEX(O$964:O$972, MATCH(IX.a.CHP.Outputs[Vector], $B$964:$B$972, 0))</f>
        <v>#REF!</v>
      </c>
      <c r="P1181" s="1333"/>
    </row>
    <row r="1182" spans="1:25" ht="15.75" customHeight="1">
      <c r="A1182" s="3"/>
      <c r="B1182" s="771"/>
      <c r="C1182" s="600" t="s">
        <v>31</v>
      </c>
      <c r="D1182" s="600" t="str">
        <f>INDEX(Vectors[Description], MATCH(IX.a.CHP.Outputs[Vector], Vectors[Code], 0))</f>
        <v>Conversion losses</v>
      </c>
      <c r="E1182" s="600"/>
      <c r="F1182" s="1158">
        <f ca="1">INDEX(F$964:F$972, MATCH(IX.a.CHP.Outputs[Vector], $B$964:$B$972, 0))</f>
        <v>0</v>
      </c>
      <c r="G1182" s="601" t="e">
        <f ca="1">INDEX(G$964:G$972, MATCH(IX.a.CHP.Outputs[Vector], $B$964:$B$972, 0))</f>
        <v>#REF!</v>
      </c>
      <c r="H1182" s="601" t="e">
        <f ca="1">INDEX(H$964:H$972, MATCH(IX.a.CHP.Outputs[Vector], $B$964:$B$972, 0))</f>
        <v>#REF!</v>
      </c>
      <c r="I1182" s="601" t="e">
        <f ca="1">INDEX(I$964:I$972, MATCH(IX.a.CHP.Outputs[Vector], $B$964:$B$972, 0))</f>
        <v>#REF!</v>
      </c>
      <c r="J1182" s="601" t="e">
        <f ca="1">INDEX(J$964:J$972, MATCH(IX.a.CHP.Outputs[Vector], $B$964:$B$972, 0))</f>
        <v>#REF!</v>
      </c>
      <c r="K1182" s="601" t="e">
        <f ca="1">INDEX(K$964:K$972, MATCH(IX.a.CHP.Outputs[Vector], $B$964:$B$972, 0))</f>
        <v>#REF!</v>
      </c>
      <c r="L1182" s="601" t="e">
        <f ca="1">INDEX(L$964:L$972, MATCH(IX.a.CHP.Outputs[Vector], $B$964:$B$972, 0))</f>
        <v>#REF!</v>
      </c>
      <c r="M1182" s="601" t="e">
        <f ca="1">INDEX(M$964:M$972, MATCH(IX.a.CHP.Outputs[Vector], $B$964:$B$972, 0))</f>
        <v>#REF!</v>
      </c>
      <c r="N1182" s="601" t="e">
        <f ca="1">INDEX(N$964:N$972, MATCH(IX.a.CHP.Outputs[Vector], $B$964:$B$972, 0))</f>
        <v>#REF!</v>
      </c>
      <c r="O1182" s="601" t="e">
        <f ca="1">INDEX(O$964:O$972, MATCH(IX.a.CHP.Outputs[Vector], $B$964:$B$972, 0))</f>
        <v>#REF!</v>
      </c>
      <c r="P1182" s="1333"/>
    </row>
    <row r="1183" spans="1:25" ht="15">
      <c r="A1183" s="3"/>
      <c r="B1183" s="771"/>
      <c r="C1183" s="600" t="s">
        <v>133</v>
      </c>
      <c r="D1183" s="600"/>
      <c r="E1183" s="600"/>
      <c r="F1183" s="937">
        <f ca="1">SUBTOTAL(109,IX.a.CHP.Outputs[2007])</f>
        <v>0</v>
      </c>
      <c r="G1183" s="937" t="e">
        <f ca="1">SUBTOTAL(109,IX.a.CHP.Outputs[2010])</f>
        <v>#REF!</v>
      </c>
      <c r="H1183" s="937" t="e">
        <f ca="1">SUBTOTAL(109,IX.a.CHP.Outputs[2015])</f>
        <v>#REF!</v>
      </c>
      <c r="I1183" s="937" t="e">
        <f ca="1">SUBTOTAL(109,IX.a.CHP.Outputs[2020])</f>
        <v>#REF!</v>
      </c>
      <c r="J1183" s="937" t="e">
        <f ca="1">SUBTOTAL(109,IX.a.CHP.Outputs[2025])</f>
        <v>#REF!</v>
      </c>
      <c r="K1183" s="937" t="e">
        <f ca="1">SUBTOTAL(109,IX.a.CHP.Outputs[2030])</f>
        <v>#REF!</v>
      </c>
      <c r="L1183" s="937" t="e">
        <f ca="1">SUBTOTAL(109,IX.a.CHP.Outputs[2035])</f>
        <v>#REF!</v>
      </c>
      <c r="M1183" s="937" t="e">
        <f ca="1">SUBTOTAL(109,IX.a.CHP.Outputs[2040])</f>
        <v>#REF!</v>
      </c>
      <c r="N1183" s="937" t="e">
        <f ca="1">SUBTOTAL(109,IX.a.CHP.Outputs[2045])</f>
        <v>#REF!</v>
      </c>
      <c r="O1183" s="937" t="e">
        <f ca="1">SUBTOTAL(109,IX.a.CHP.Outputs[2050])</f>
        <v>#REF!</v>
      </c>
      <c r="P1183" s="1333"/>
    </row>
    <row r="1184" spans="1:25" ht="15">
      <c r="A1184" s="3"/>
      <c r="B1184" s="771"/>
      <c r="C1184" s="600"/>
      <c r="D1184" s="600"/>
      <c r="E1184" s="600"/>
      <c r="F1184" s="937"/>
      <c r="G1184" s="937"/>
      <c r="H1184" s="937"/>
      <c r="I1184" s="937"/>
      <c r="J1184" s="937"/>
      <c r="K1184" s="937"/>
      <c r="L1184" s="937"/>
      <c r="M1184" s="937"/>
      <c r="N1184" s="937"/>
      <c r="O1184" s="937"/>
      <c r="P1184" s="1333"/>
    </row>
    <row r="1185" spans="1:16" ht="15">
      <c r="A1185" s="3"/>
      <c r="B1185" s="1332"/>
      <c r="C1185" s="775" t="s">
        <v>1346</v>
      </c>
      <c r="D1185" s="768"/>
      <c r="E1185" s="1334"/>
      <c r="F1185" s="768"/>
      <c r="G1185" s="1334"/>
      <c r="H1185" s="768"/>
      <c r="I1185" s="768"/>
      <c r="J1185" s="768"/>
      <c r="K1185" s="768"/>
      <c r="L1185" s="768"/>
      <c r="M1185" s="768"/>
      <c r="N1185" s="768"/>
      <c r="O1185" s="1334" t="str">
        <f>Preferences.EnergyUnits</f>
        <v>TWh</v>
      </c>
      <c r="P1185" s="1333"/>
    </row>
    <row r="1186" spans="1:16" ht="7.5" customHeight="1">
      <c r="A1186" s="3"/>
      <c r="B1186" s="1332"/>
      <c r="C1186" s="768"/>
      <c r="D1186" s="768"/>
      <c r="E1186" s="768"/>
      <c r="F1186" s="768"/>
      <c r="G1186" s="768"/>
      <c r="H1186" s="768"/>
      <c r="I1186" s="768"/>
      <c r="J1186" s="768"/>
      <c r="K1186" s="768"/>
      <c r="L1186" s="768"/>
      <c r="M1186" s="768"/>
      <c r="N1186" s="768"/>
      <c r="O1186" s="768"/>
      <c r="P1186" s="1333"/>
    </row>
    <row r="1187" spans="1:16" ht="15">
      <c r="A1187" s="3"/>
      <c r="B1187" s="771"/>
      <c r="C1187" s="600" t="s">
        <v>72</v>
      </c>
      <c r="D1187" s="600" t="s">
        <v>400</v>
      </c>
      <c r="E1187" s="600" t="s">
        <v>422</v>
      </c>
      <c r="F1187" s="600" t="s">
        <v>578</v>
      </c>
      <c r="G1187" s="600" t="s">
        <v>579</v>
      </c>
      <c r="H1187" s="600" t="s">
        <v>604</v>
      </c>
      <c r="I1187" s="600" t="s">
        <v>605</v>
      </c>
      <c r="J1187" s="600" t="s">
        <v>606</v>
      </c>
      <c r="K1187" s="600" t="s">
        <v>607</v>
      </c>
      <c r="L1187" s="600" t="s">
        <v>608</v>
      </c>
      <c r="M1187" s="600" t="s">
        <v>609</v>
      </c>
      <c r="N1187" s="600" t="s">
        <v>610</v>
      </c>
      <c r="O1187" s="600" t="s">
        <v>611</v>
      </c>
      <c r="P1187" s="1333"/>
    </row>
    <row r="1188" spans="1:16" ht="15">
      <c r="A1188" s="3"/>
      <c r="B1188" s="771"/>
      <c r="C1188" s="600" t="s">
        <v>40</v>
      </c>
      <c r="D1188" s="600" t="str">
        <f>INDEX(Vectors[Description], MATCH(IX.a.Outputs[Vector], Vectors[Code], 0))</f>
        <v>Electricity (delivered to end user)</v>
      </c>
      <c r="E1188" s="600"/>
      <c r="F1188" s="601">
        <f ca="1">INDEX(F$900:F$908, MATCH(IX.a.Outputs[Vector], $B$900:$B$908, 0))</f>
        <v>-31.008546529888466</v>
      </c>
      <c r="G1188" s="601" t="e">
        <f ca="1">INDEX(G$900:G$908, MATCH(IX.a.Outputs[Vector], $B$900:$B$908, 0))</f>
        <v>#REF!</v>
      </c>
      <c r="H1188" s="601" t="e">
        <f ca="1">INDEX(H$900:H$908, MATCH(IX.a.Outputs[Vector], $B$900:$B$908, 0))</f>
        <v>#REF!</v>
      </c>
      <c r="I1188" s="601" t="e">
        <f ca="1">INDEX(I$900:I$908, MATCH(IX.a.Outputs[Vector], $B$900:$B$908, 0))</f>
        <v>#REF!</v>
      </c>
      <c r="J1188" s="601" t="e">
        <f ca="1">INDEX(J$900:J$908, MATCH(IX.a.Outputs[Vector], $B$900:$B$908, 0))</f>
        <v>#REF!</v>
      </c>
      <c r="K1188" s="601" t="e">
        <f ca="1">INDEX(K$900:K$908, MATCH(IX.a.Outputs[Vector], $B$900:$B$908, 0))</f>
        <v>#REF!</v>
      </c>
      <c r="L1188" s="601" t="e">
        <f ca="1">INDEX(L$900:L$908, MATCH(IX.a.Outputs[Vector], $B$900:$B$908, 0))</f>
        <v>#REF!</v>
      </c>
      <c r="M1188" s="601" t="e">
        <f ca="1">INDEX(M$900:M$908, MATCH(IX.a.Outputs[Vector], $B$900:$B$908, 0))</f>
        <v>#REF!</v>
      </c>
      <c r="N1188" s="601" t="e">
        <f ca="1">INDEX(N$900:N$908, MATCH(IX.a.Outputs[Vector], $B$900:$B$908, 0))</f>
        <v>#REF!</v>
      </c>
      <c r="O1188" s="601" t="e">
        <f ca="1">INDEX(O$900:O$908, MATCH(IX.a.Outputs[Vector], $B$900:$B$908, 0))</f>
        <v>#REF!</v>
      </c>
      <c r="P1188" s="1333"/>
    </row>
    <row r="1189" spans="1:16" ht="15">
      <c r="A1189" s="3"/>
      <c r="B1189" s="771"/>
      <c r="C1189" s="600" t="s">
        <v>41</v>
      </c>
      <c r="D1189" s="600" t="str">
        <f>INDEX(Vectors[Description], MATCH(IX.a.Outputs[Vector], Vectors[Code], 0))</f>
        <v>Electricity (supplied to grid)</v>
      </c>
      <c r="E1189" s="600"/>
      <c r="F1189" s="601">
        <f ca="1">INDEX(F$900:F$908, MATCH(IX.a.Outputs[Vector], $B$900:$B$908, 0))</f>
        <v>0</v>
      </c>
      <c r="G1189" s="601" t="e">
        <f ca="1">INDEX(G$900:G$908, MATCH(IX.a.Outputs[Vector], $B$900:$B$908, 0))</f>
        <v>#REF!</v>
      </c>
      <c r="H1189" s="601" t="e">
        <f ca="1">INDEX(H$900:H$908, MATCH(IX.a.Outputs[Vector], $B$900:$B$908, 0))</f>
        <v>#REF!</v>
      </c>
      <c r="I1189" s="601" t="e">
        <f ca="1">INDEX(I$900:I$908, MATCH(IX.a.Outputs[Vector], $B$900:$B$908, 0))</f>
        <v>#REF!</v>
      </c>
      <c r="J1189" s="601" t="e">
        <f ca="1">INDEX(J$900:J$908, MATCH(IX.a.Outputs[Vector], $B$900:$B$908, 0))</f>
        <v>#REF!</v>
      </c>
      <c r="K1189" s="601" t="e">
        <f ca="1">INDEX(K$900:K$908, MATCH(IX.a.Outputs[Vector], $B$900:$B$908, 0))</f>
        <v>#REF!</v>
      </c>
      <c r="L1189" s="601" t="e">
        <f ca="1">INDEX(L$900:L$908, MATCH(IX.a.Outputs[Vector], $B$900:$B$908, 0))</f>
        <v>#REF!</v>
      </c>
      <c r="M1189" s="601" t="e">
        <f ca="1">INDEX(M$900:M$908, MATCH(IX.a.Outputs[Vector], $B$900:$B$908, 0))</f>
        <v>#REF!</v>
      </c>
      <c r="N1189" s="601" t="e">
        <f ca="1">INDEX(N$900:N$908, MATCH(IX.a.Outputs[Vector], $B$900:$B$908, 0))</f>
        <v>#REF!</v>
      </c>
      <c r="O1189" s="601" t="e">
        <f ca="1">INDEX(O$900:O$908, MATCH(IX.a.Outputs[Vector], $B$900:$B$908, 0))</f>
        <v>#REF!</v>
      </c>
      <c r="P1189" s="1333"/>
    </row>
    <row r="1190" spans="1:16" ht="15">
      <c r="A1190" s="3"/>
      <c r="B1190" s="771"/>
      <c r="C1190" s="600" t="s">
        <v>42</v>
      </c>
      <c r="D1190" s="600" t="str">
        <f>INDEX(Vectors[Description], MATCH(IX.a.Outputs[Vector], Vectors[Code], 0))</f>
        <v>Solid hydrocarbons</v>
      </c>
      <c r="E1190" s="600"/>
      <c r="F1190" s="601">
        <f ca="1">INDEX(F$900:F$908, MATCH(IX.a.Outputs[Vector], $B$900:$B$908, 0))</f>
        <v>-14.256803002247571</v>
      </c>
      <c r="G1190" s="601" t="e">
        <f ca="1">INDEX(G$900:G$908, MATCH(IX.a.Outputs[Vector], $B$900:$B$908, 0))</f>
        <v>#REF!</v>
      </c>
      <c r="H1190" s="601" t="e">
        <f ca="1">INDEX(H$900:H$908, MATCH(IX.a.Outputs[Vector], $B$900:$B$908, 0))</f>
        <v>#REF!</v>
      </c>
      <c r="I1190" s="601" t="e">
        <f ca="1">INDEX(I$900:I$908, MATCH(IX.a.Outputs[Vector], $B$900:$B$908, 0))</f>
        <v>#REF!</v>
      </c>
      <c r="J1190" s="601" t="e">
        <f ca="1">INDEX(J$900:J$908, MATCH(IX.a.Outputs[Vector], $B$900:$B$908, 0))</f>
        <v>#REF!</v>
      </c>
      <c r="K1190" s="601" t="e">
        <f ca="1">INDEX(K$900:K$908, MATCH(IX.a.Outputs[Vector], $B$900:$B$908, 0))</f>
        <v>#REF!</v>
      </c>
      <c r="L1190" s="601" t="e">
        <f ca="1">INDEX(L$900:L$908, MATCH(IX.a.Outputs[Vector], $B$900:$B$908, 0))</f>
        <v>#REF!</v>
      </c>
      <c r="M1190" s="601" t="e">
        <f ca="1">INDEX(M$900:M$908, MATCH(IX.a.Outputs[Vector], $B$900:$B$908, 0))</f>
        <v>#REF!</v>
      </c>
      <c r="N1190" s="601" t="e">
        <f ca="1">INDEX(N$900:N$908, MATCH(IX.a.Outputs[Vector], $B$900:$B$908, 0))</f>
        <v>#REF!</v>
      </c>
      <c r="O1190" s="601" t="e">
        <f ca="1">INDEX(O$900:O$908, MATCH(IX.a.Outputs[Vector], $B$900:$B$908, 0))</f>
        <v>#REF!</v>
      </c>
      <c r="P1190" s="1333"/>
    </row>
    <row r="1191" spans="1:16" ht="15">
      <c r="A1191" s="3"/>
      <c r="B1191" s="771"/>
      <c r="C1191" s="600" t="s">
        <v>44</v>
      </c>
      <c r="D1191" s="600" t="str">
        <f>INDEX(Vectors[Description], MATCH(IX.a.Outputs[Vector], Vectors[Code], 0))</f>
        <v>Liquid hydrocarbons</v>
      </c>
      <c r="E1191" s="600"/>
      <c r="F1191" s="601">
        <f ca="1">INDEX(F$900:F$908, MATCH(IX.a.Outputs[Vector], $B$900:$B$908, 0))</f>
        <v>-12.787029496861225</v>
      </c>
      <c r="G1191" s="601" t="e">
        <f ca="1">INDEX(G$900:G$908, MATCH(IX.a.Outputs[Vector], $B$900:$B$908, 0))</f>
        <v>#REF!</v>
      </c>
      <c r="H1191" s="601" t="e">
        <f ca="1">INDEX(H$900:H$908, MATCH(IX.a.Outputs[Vector], $B$900:$B$908, 0))</f>
        <v>#REF!</v>
      </c>
      <c r="I1191" s="601" t="e">
        <f ca="1">INDEX(I$900:I$908, MATCH(IX.a.Outputs[Vector], $B$900:$B$908, 0))</f>
        <v>#REF!</v>
      </c>
      <c r="J1191" s="601" t="e">
        <f ca="1">INDEX(J$900:J$908, MATCH(IX.a.Outputs[Vector], $B$900:$B$908, 0))</f>
        <v>#REF!</v>
      </c>
      <c r="K1191" s="601" t="e">
        <f ca="1">INDEX(K$900:K$908, MATCH(IX.a.Outputs[Vector], $B$900:$B$908, 0))</f>
        <v>#REF!</v>
      </c>
      <c r="L1191" s="601" t="e">
        <f ca="1">INDEX(L$900:L$908, MATCH(IX.a.Outputs[Vector], $B$900:$B$908, 0))</f>
        <v>#REF!</v>
      </c>
      <c r="M1191" s="601" t="e">
        <f ca="1">INDEX(M$900:M$908, MATCH(IX.a.Outputs[Vector], $B$900:$B$908, 0))</f>
        <v>#REF!</v>
      </c>
      <c r="N1191" s="601" t="e">
        <f ca="1">INDEX(N$900:N$908, MATCH(IX.a.Outputs[Vector], $B$900:$B$908, 0))</f>
        <v>#REF!</v>
      </c>
      <c r="O1191" s="601" t="e">
        <f ca="1">INDEX(O$900:O$908, MATCH(IX.a.Outputs[Vector], $B$900:$B$908, 0))</f>
        <v>#REF!</v>
      </c>
      <c r="P1191" s="1333"/>
    </row>
    <row r="1192" spans="1:16" ht="15.75" customHeight="1">
      <c r="A1192" s="1296"/>
      <c r="B1192" s="771"/>
      <c r="C1192" s="600" t="s">
        <v>45</v>
      </c>
      <c r="D1192" s="600" t="str">
        <f>INDEX(Vectors[Description], MATCH(IX.a.Outputs[Vector], Vectors[Code], 0))</f>
        <v>Gaseous hydrocarbons</v>
      </c>
      <c r="E1192" s="600"/>
      <c r="F1192" s="601">
        <f ca="1">INDEX(F$900:F$908, MATCH(IX.a.Outputs[Vector], $B$900:$B$908, 0))</f>
        <v>-324.47780687796825</v>
      </c>
      <c r="G1192" s="601" t="e">
        <f ca="1">INDEX(G$900:G$908, MATCH(IX.a.Outputs[Vector], $B$900:$B$908, 0))</f>
        <v>#REF!</v>
      </c>
      <c r="H1192" s="601" t="e">
        <f ca="1">INDEX(H$900:H$908, MATCH(IX.a.Outputs[Vector], $B$900:$B$908, 0))</f>
        <v>#REF!</v>
      </c>
      <c r="I1192" s="601" t="e">
        <f ca="1">INDEX(I$900:I$908, MATCH(IX.a.Outputs[Vector], $B$900:$B$908, 0))</f>
        <v>#REF!</v>
      </c>
      <c r="J1192" s="601" t="e">
        <f ca="1">INDEX(J$900:J$908, MATCH(IX.a.Outputs[Vector], $B$900:$B$908, 0))</f>
        <v>#REF!</v>
      </c>
      <c r="K1192" s="601" t="e">
        <f ca="1">INDEX(K$900:K$908, MATCH(IX.a.Outputs[Vector], $B$900:$B$908, 0))</f>
        <v>#REF!</v>
      </c>
      <c r="L1192" s="601" t="e">
        <f ca="1">INDEX(L$900:L$908, MATCH(IX.a.Outputs[Vector], $B$900:$B$908, 0))</f>
        <v>#REF!</v>
      </c>
      <c r="M1192" s="601" t="e">
        <f ca="1">INDEX(M$900:M$908, MATCH(IX.a.Outputs[Vector], $B$900:$B$908, 0))</f>
        <v>#REF!</v>
      </c>
      <c r="N1192" s="601" t="e">
        <f ca="1">INDEX(N$900:N$908, MATCH(IX.a.Outputs[Vector], $B$900:$B$908, 0))</f>
        <v>#REF!</v>
      </c>
      <c r="O1192" s="601" t="e">
        <f ca="1">INDEX(O$900:O$908, MATCH(IX.a.Outputs[Vector], $B$900:$B$908, 0))</f>
        <v>#REF!</v>
      </c>
      <c r="P1192" s="1333"/>
    </row>
    <row r="1193" spans="1:16" ht="15.75" customHeight="1">
      <c r="A1193" s="1296"/>
      <c r="B1193" s="771"/>
      <c r="C1193" s="600" t="s">
        <v>625</v>
      </c>
      <c r="D1193" s="600" t="str">
        <f>INDEX(Vectors[Description], MATCH(IX.a.Outputs[Vector], Vectors[Code], 0))</f>
        <v>Heat transport</v>
      </c>
      <c r="E1193" s="600"/>
      <c r="F1193" s="601">
        <f ca="1">INDEX(F$900:F$908, MATCH(IX.a.Outputs[Vector], $B$900:$B$908, 0))</f>
        <v>0</v>
      </c>
      <c r="G1193" s="601" t="e">
        <f ca="1">INDEX(G$900:G$908, MATCH(IX.a.Outputs[Vector], $B$900:$B$908, 0))</f>
        <v>#REF!</v>
      </c>
      <c r="H1193" s="601" t="e">
        <f ca="1">INDEX(H$900:H$908, MATCH(IX.a.Outputs[Vector], $B$900:$B$908, 0))</f>
        <v>#REF!</v>
      </c>
      <c r="I1193" s="601" t="e">
        <f ca="1">INDEX(I$900:I$908, MATCH(IX.a.Outputs[Vector], $B$900:$B$908, 0))</f>
        <v>#REF!</v>
      </c>
      <c r="J1193" s="601" t="e">
        <f ca="1">INDEX(J$900:J$908, MATCH(IX.a.Outputs[Vector], $B$900:$B$908, 0))</f>
        <v>#REF!</v>
      </c>
      <c r="K1193" s="601" t="e">
        <f ca="1">INDEX(K$900:K$908, MATCH(IX.a.Outputs[Vector], $B$900:$B$908, 0))</f>
        <v>#REF!</v>
      </c>
      <c r="L1193" s="601" t="e">
        <f ca="1">INDEX(L$900:L$908, MATCH(IX.a.Outputs[Vector], $B$900:$B$908, 0))</f>
        <v>#REF!</v>
      </c>
      <c r="M1193" s="601" t="e">
        <f ca="1">INDEX(M$900:M$908, MATCH(IX.a.Outputs[Vector], $B$900:$B$908, 0))</f>
        <v>#REF!</v>
      </c>
      <c r="N1193" s="601" t="e">
        <f ca="1">INDEX(N$900:N$908, MATCH(IX.a.Outputs[Vector], $B$900:$B$908, 0))</f>
        <v>#REF!</v>
      </c>
      <c r="O1193" s="601" t="e">
        <f ca="1">INDEX(O$900:O$908, MATCH(IX.a.Outputs[Vector], $B$900:$B$908, 0))</f>
        <v>#REF!</v>
      </c>
      <c r="P1193" s="1333"/>
    </row>
    <row r="1194" spans="1:16" ht="15.75" customHeight="1">
      <c r="B1194" s="771"/>
      <c r="C1194" s="600" t="s">
        <v>960</v>
      </c>
      <c r="D1194" s="600" t="str">
        <f>INDEX(Vectors[Description], MATCH(IX.a.Outputs[Vector], Vectors[Code], 0))</f>
        <v>Domestic solar thermal</v>
      </c>
      <c r="E1194" s="600"/>
      <c r="F1194" s="601">
        <f t="shared" ref="F1194:O1194" ca="1" si="425">-F$756</f>
        <v>0</v>
      </c>
      <c r="G1194" s="601" t="e">
        <f t="shared" ca="1" si="425"/>
        <v>#REF!</v>
      </c>
      <c r="H1194" s="601" t="e">
        <f t="shared" ca="1" si="425"/>
        <v>#REF!</v>
      </c>
      <c r="I1194" s="601" t="e">
        <f t="shared" ca="1" si="425"/>
        <v>#REF!</v>
      </c>
      <c r="J1194" s="601" t="e">
        <f t="shared" ca="1" si="425"/>
        <v>#REF!</v>
      </c>
      <c r="K1194" s="601" t="e">
        <f t="shared" ca="1" si="425"/>
        <v>#REF!</v>
      </c>
      <c r="L1194" s="601" t="e">
        <f t="shared" ca="1" si="425"/>
        <v>#REF!</v>
      </c>
      <c r="M1194" s="601" t="e">
        <f t="shared" ca="1" si="425"/>
        <v>#REF!</v>
      </c>
      <c r="N1194" s="601" t="e">
        <f t="shared" ca="1" si="425"/>
        <v>#REF!</v>
      </c>
      <c r="O1194" s="601" t="e">
        <f t="shared" ca="1" si="425"/>
        <v>#REF!</v>
      </c>
      <c r="P1194" s="1333"/>
    </row>
    <row r="1195" spans="1:16" ht="15.75" customHeight="1">
      <c r="B1195" s="771"/>
      <c r="C1195" s="600" t="s">
        <v>98</v>
      </c>
      <c r="D1195" s="600" t="str">
        <f>INDEX(Vectors[Description], MATCH(IX.a.Outputs[Vector], Vectors[Code], 0))</f>
        <v>Environmental heat</v>
      </c>
      <c r="E1195" s="600"/>
      <c r="F1195" s="601">
        <f ca="1">INDEX(F$900:F$908, MATCH(IX.a.Outputs[Vector], $B$900:$B$908, 0))</f>
        <v>0</v>
      </c>
      <c r="G1195" s="601" t="e">
        <f ca="1">INDEX(G$900:G$908, MATCH(IX.a.Outputs[Vector], $B$900:$B$908, 0))</f>
        <v>#REF!</v>
      </c>
      <c r="H1195" s="601" t="e">
        <f ca="1">INDEX(H$900:H$908, MATCH(IX.a.Outputs[Vector], $B$900:$B$908, 0))</f>
        <v>#REF!</v>
      </c>
      <c r="I1195" s="601" t="e">
        <f ca="1">INDEX(I$900:I$908, MATCH(IX.a.Outputs[Vector], $B$900:$B$908, 0))</f>
        <v>#REF!</v>
      </c>
      <c r="J1195" s="601" t="e">
        <f ca="1">INDEX(J$900:J$908, MATCH(IX.a.Outputs[Vector], $B$900:$B$908, 0))</f>
        <v>#REF!</v>
      </c>
      <c r="K1195" s="601" t="e">
        <f ca="1">INDEX(K$900:K$908, MATCH(IX.a.Outputs[Vector], $B$900:$B$908, 0))</f>
        <v>#REF!</v>
      </c>
      <c r="L1195" s="601" t="e">
        <f ca="1">INDEX(L$900:L$908, MATCH(IX.a.Outputs[Vector], $B$900:$B$908, 0))</f>
        <v>#REF!</v>
      </c>
      <c r="M1195" s="601" t="e">
        <f ca="1">INDEX(M$900:M$908, MATCH(IX.a.Outputs[Vector], $B$900:$B$908, 0))</f>
        <v>#REF!</v>
      </c>
      <c r="N1195" s="601" t="e">
        <f ca="1">INDEX(N$900:N$908, MATCH(IX.a.Outputs[Vector], $B$900:$B$908, 0))</f>
        <v>#REF!</v>
      </c>
      <c r="O1195" s="601" t="e">
        <f ca="1">INDEX(O$900:O$908, MATCH(IX.a.Outputs[Vector], $B$900:$B$908, 0))</f>
        <v>#REF!</v>
      </c>
      <c r="P1195" s="1333"/>
    </row>
    <row r="1196" spans="1:16" ht="15.75" customHeight="1">
      <c r="B1196" s="771"/>
      <c r="C1196" s="600" t="s">
        <v>6</v>
      </c>
      <c r="D1196" s="600" t="str">
        <f>INDEX(Vectors[Description], MATCH(IX.a.Outputs[Vector], Vectors[Code], 0))</f>
        <v>Heating &amp; cooling</v>
      </c>
      <c r="E1196" s="600"/>
      <c r="F1196" s="601">
        <f t="shared" ref="F1196:O1196" ca="1" si="426">F$907+F$908+F$756</f>
        <v>382.53018590696547</v>
      </c>
      <c r="G1196" s="601" t="e">
        <f t="shared" ca="1" si="426"/>
        <v>#REF!</v>
      </c>
      <c r="H1196" s="601" t="e">
        <f t="shared" ca="1" si="426"/>
        <v>#REF!</v>
      </c>
      <c r="I1196" s="601" t="e">
        <f t="shared" ca="1" si="426"/>
        <v>#REF!</v>
      </c>
      <c r="J1196" s="601" t="e">
        <f t="shared" ca="1" si="426"/>
        <v>#REF!</v>
      </c>
      <c r="K1196" s="601" t="e">
        <f t="shared" ca="1" si="426"/>
        <v>#REF!</v>
      </c>
      <c r="L1196" s="601" t="e">
        <f t="shared" ca="1" si="426"/>
        <v>#REF!</v>
      </c>
      <c r="M1196" s="601" t="e">
        <f t="shared" ca="1" si="426"/>
        <v>#REF!</v>
      </c>
      <c r="N1196" s="601" t="e">
        <f t="shared" ca="1" si="426"/>
        <v>#REF!</v>
      </c>
      <c r="O1196" s="601" t="e">
        <f t="shared" ca="1" si="426"/>
        <v>#REF!</v>
      </c>
      <c r="P1196" s="1333"/>
    </row>
    <row r="1197" spans="1:16" ht="15.75" customHeight="1">
      <c r="B1197" s="771"/>
      <c r="C1197" s="600" t="s">
        <v>133</v>
      </c>
      <c r="D1197" s="600"/>
      <c r="E1197" s="600"/>
      <c r="F1197" s="937">
        <f ca="1">SUBTOTAL(109,IX.a.Outputs[2007])</f>
        <v>0</v>
      </c>
      <c r="G1197" s="937" t="e">
        <f ca="1">SUBTOTAL(109,IX.a.Outputs[2010])</f>
        <v>#REF!</v>
      </c>
      <c r="H1197" s="937" t="e">
        <f ca="1">SUBTOTAL(109,IX.a.Outputs[2015])</f>
        <v>#REF!</v>
      </c>
      <c r="I1197" s="937" t="e">
        <f ca="1">SUBTOTAL(109,IX.a.Outputs[2020])</f>
        <v>#REF!</v>
      </c>
      <c r="J1197" s="937" t="e">
        <f ca="1">SUBTOTAL(109,IX.a.Outputs[2025])</f>
        <v>#REF!</v>
      </c>
      <c r="K1197" s="937" t="e">
        <f ca="1">SUBTOTAL(109,IX.a.Outputs[2030])</f>
        <v>#REF!</v>
      </c>
      <c r="L1197" s="937" t="e">
        <f ca="1">SUBTOTAL(109,IX.a.Outputs[2035])</f>
        <v>#REF!</v>
      </c>
      <c r="M1197" s="937" t="e">
        <f ca="1">SUBTOTAL(109,IX.a.Outputs[2040])</f>
        <v>#REF!</v>
      </c>
      <c r="N1197" s="937" t="e">
        <f ca="1">SUBTOTAL(109,IX.a.Outputs[2045])</f>
        <v>#REF!</v>
      </c>
      <c r="O1197" s="937" t="e">
        <f ca="1">SUBTOTAL(109,IX.a.Outputs[2050])</f>
        <v>#REF!</v>
      </c>
      <c r="P1197" s="1333"/>
    </row>
    <row r="1198" spans="1:16" ht="15">
      <c r="B1198" s="772"/>
      <c r="C1198" s="1460"/>
      <c r="D1198" s="1460"/>
      <c r="E1198" s="1460"/>
      <c r="F1198" s="1460"/>
      <c r="G1198" s="1460"/>
      <c r="H1198" s="1460"/>
      <c r="I1198" s="1460"/>
      <c r="J1198" s="1460"/>
      <c r="K1198" s="1460"/>
      <c r="L1198" s="1460"/>
      <c r="M1198" s="1460"/>
      <c r="N1198" s="1460"/>
      <c r="O1198" s="1460"/>
      <c r="P1198" s="1333"/>
    </row>
    <row r="1199" spans="1:16" ht="15">
      <c r="B1199" s="985"/>
      <c r="P1199" s="1461"/>
    </row>
    <row r="1200" spans="1:16" ht="15">
      <c r="B1200" s="1462" t="s">
        <v>701</v>
      </c>
      <c r="C1200" s="1463"/>
      <c r="D1200" s="1464"/>
      <c r="E1200" s="1464"/>
      <c r="F1200" s="1464"/>
      <c r="G1200" s="1464"/>
      <c r="H1200" s="1464"/>
      <c r="I1200" s="1464"/>
      <c r="J1200" s="1464"/>
      <c r="K1200" s="1464"/>
      <c r="L1200" s="1464"/>
      <c r="M1200" s="1464"/>
      <c r="N1200" s="1464"/>
      <c r="O1200" s="1464"/>
      <c r="P1200" s="1465"/>
    </row>
    <row r="1201" spans="2:16" ht="8.25" customHeight="1">
      <c r="B1201" s="1466"/>
      <c r="C1201" s="1467"/>
      <c r="D1201" s="1467"/>
      <c r="E1201" s="1467"/>
      <c r="F1201" s="1467"/>
      <c r="G1201" s="1467"/>
      <c r="H1201" s="1467"/>
      <c r="I1201" s="1467"/>
      <c r="J1201" s="1467"/>
      <c r="K1201" s="1467"/>
      <c r="L1201" s="1467"/>
      <c r="M1201" s="1467"/>
      <c r="N1201" s="1467"/>
      <c r="O1201" s="1467"/>
      <c r="P1201" s="1468"/>
    </row>
    <row r="1202" spans="2:16" ht="17">
      <c r="B1202" s="1469"/>
      <c r="C1202" s="779" t="s">
        <v>1801</v>
      </c>
      <c r="D1202" s="1470"/>
      <c r="E1202" s="1471"/>
      <c r="F1202" s="1470"/>
      <c r="G1202" s="1471"/>
      <c r="H1202" s="1470"/>
      <c r="I1202" s="1470"/>
      <c r="J1202" s="1470"/>
      <c r="K1202" s="1470"/>
      <c r="L1202" s="1470"/>
      <c r="M1202" s="1470"/>
      <c r="N1202" s="1470"/>
      <c r="O1202" s="1471" t="s">
        <v>811</v>
      </c>
      <c r="P1202" s="1472"/>
    </row>
    <row r="1203" spans="2:16" ht="5.25" customHeight="1">
      <c r="B1203" s="1469"/>
      <c r="C1203" s="1470"/>
      <c r="D1203" s="1470"/>
      <c r="E1203" s="1470"/>
      <c r="F1203" s="1470"/>
      <c r="G1203" s="1470"/>
      <c r="H1203" s="1470"/>
      <c r="I1203" s="1470"/>
      <c r="J1203" s="1470"/>
      <c r="K1203" s="1470"/>
      <c r="L1203" s="1470"/>
      <c r="M1203" s="1470"/>
      <c r="N1203" s="1470"/>
      <c r="O1203" s="1470"/>
      <c r="P1203" s="1472"/>
    </row>
    <row r="1204" spans="2:16" ht="18" customHeight="1">
      <c r="B1204" s="1469"/>
      <c r="C1204" s="1473" t="s">
        <v>809</v>
      </c>
      <c r="D1204" s="1473" t="s">
        <v>780</v>
      </c>
      <c r="E1204" s="1473" t="s">
        <v>422</v>
      </c>
      <c r="F1204" s="1473" t="s">
        <v>578</v>
      </c>
      <c r="G1204" s="1473" t="s">
        <v>579</v>
      </c>
      <c r="H1204" s="1473" t="s">
        <v>604</v>
      </c>
      <c r="I1204" s="1473" t="s">
        <v>605</v>
      </c>
      <c r="J1204" s="1473" t="s">
        <v>606</v>
      </c>
      <c r="K1204" s="1473" t="s">
        <v>607</v>
      </c>
      <c r="L1204" s="1473" t="s">
        <v>608</v>
      </c>
      <c r="M1204" s="1473" t="s">
        <v>609</v>
      </c>
      <c r="N1204" s="1473" t="s">
        <v>610</v>
      </c>
      <c r="O1204" s="1473" t="s">
        <v>611</v>
      </c>
      <c r="P1204" s="1472"/>
    </row>
    <row r="1205" spans="2:16" ht="15">
      <c r="B1205" s="780"/>
      <c r="C1205" s="1474" t="s">
        <v>792</v>
      </c>
      <c r="D1205" s="1475" t="s">
        <v>802</v>
      </c>
      <c r="E1205" s="1474" t="str">
        <f>INDEX(IPCC[Sector_description], MATCH(IX.a.NoCHP.Emissions[IPCC Sector], IPCC[Sector_code], 0))</f>
        <v>Fuel Combustion</v>
      </c>
      <c r="F1205" s="787">
        <f t="shared" ref="F1205:O1205" ca="1" si="427">F1221-F1213</f>
        <v>67.291769164453711</v>
      </c>
      <c r="G1205" s="787" t="e">
        <f t="shared" ca="1" si="427"/>
        <v>#REF!</v>
      </c>
      <c r="H1205" s="787" t="e">
        <f t="shared" ca="1" si="427"/>
        <v>#REF!</v>
      </c>
      <c r="I1205" s="787" t="e">
        <f t="shared" ca="1" si="427"/>
        <v>#REF!</v>
      </c>
      <c r="J1205" s="787" t="e">
        <f t="shared" ca="1" si="427"/>
        <v>#REF!</v>
      </c>
      <c r="K1205" s="787" t="e">
        <f t="shared" ca="1" si="427"/>
        <v>#REF!</v>
      </c>
      <c r="L1205" s="787" t="e">
        <f t="shared" ca="1" si="427"/>
        <v>#REF!</v>
      </c>
      <c r="M1205" s="787" t="e">
        <f t="shared" ca="1" si="427"/>
        <v>#REF!</v>
      </c>
      <c r="N1205" s="787" t="e">
        <f t="shared" ca="1" si="427"/>
        <v>#REF!</v>
      </c>
      <c r="O1205" s="787" t="e">
        <f t="shared" ca="1" si="427"/>
        <v>#REF!</v>
      </c>
      <c r="P1205" s="1472"/>
    </row>
    <row r="1206" spans="2:16" ht="15">
      <c r="B1206" s="780"/>
      <c r="C1206" s="1474" t="s">
        <v>793</v>
      </c>
      <c r="D1206" s="1475" t="s">
        <v>802</v>
      </c>
      <c r="E1206" s="1474" t="str">
        <f>INDEX(IPCC[Sector_description], MATCH(IX.a.NoCHP.Emissions[IPCC Sector], IPCC[Sector_code], 0))</f>
        <v>Fuel Combustion</v>
      </c>
      <c r="F1206" s="787">
        <f t="shared" ref="F1206:O1206" ca="1" si="428">F1222-F1214</f>
        <v>0.13655504882378258</v>
      </c>
      <c r="G1206" s="787" t="e">
        <f t="shared" ca="1" si="428"/>
        <v>#REF!</v>
      </c>
      <c r="H1206" s="787" t="e">
        <f t="shared" ca="1" si="428"/>
        <v>#REF!</v>
      </c>
      <c r="I1206" s="787" t="e">
        <f t="shared" ca="1" si="428"/>
        <v>#REF!</v>
      </c>
      <c r="J1206" s="787" t="e">
        <f t="shared" ca="1" si="428"/>
        <v>#REF!</v>
      </c>
      <c r="K1206" s="787" t="e">
        <f t="shared" ca="1" si="428"/>
        <v>#REF!</v>
      </c>
      <c r="L1206" s="787" t="e">
        <f t="shared" ca="1" si="428"/>
        <v>#REF!</v>
      </c>
      <c r="M1206" s="787" t="e">
        <f t="shared" ca="1" si="428"/>
        <v>#REF!</v>
      </c>
      <c r="N1206" s="787" t="e">
        <f t="shared" ca="1" si="428"/>
        <v>#REF!</v>
      </c>
      <c r="O1206" s="787" t="e">
        <f t="shared" ca="1" si="428"/>
        <v>#REF!</v>
      </c>
      <c r="P1206" s="1472"/>
    </row>
    <row r="1207" spans="2:16" ht="15">
      <c r="B1207" s="780"/>
      <c r="C1207" s="1474" t="s">
        <v>794</v>
      </c>
      <c r="D1207" s="1475" t="s">
        <v>802</v>
      </c>
      <c r="E1207" s="1474" t="str">
        <f>INDEX(IPCC[Sector_description], MATCH(IX.a.NoCHP.Emissions[IPCC Sector], IPCC[Sector_code], 0))</f>
        <v>Fuel Combustion</v>
      </c>
      <c r="F1207" s="787">
        <f t="shared" ref="F1207:O1207" ca="1" si="429">F1223-F1215</f>
        <v>0.22513176941521534</v>
      </c>
      <c r="G1207" s="787" t="e">
        <f t="shared" ca="1" si="429"/>
        <v>#REF!</v>
      </c>
      <c r="H1207" s="787" t="e">
        <f t="shared" ca="1" si="429"/>
        <v>#REF!</v>
      </c>
      <c r="I1207" s="787" t="e">
        <f t="shared" ca="1" si="429"/>
        <v>#REF!</v>
      </c>
      <c r="J1207" s="787" t="e">
        <f t="shared" ca="1" si="429"/>
        <v>#REF!</v>
      </c>
      <c r="K1207" s="787" t="e">
        <f t="shared" ca="1" si="429"/>
        <v>#REF!</v>
      </c>
      <c r="L1207" s="787" t="e">
        <f t="shared" ca="1" si="429"/>
        <v>#REF!</v>
      </c>
      <c r="M1207" s="787" t="e">
        <f t="shared" ca="1" si="429"/>
        <v>#REF!</v>
      </c>
      <c r="N1207" s="787" t="e">
        <f t="shared" ca="1" si="429"/>
        <v>#REF!</v>
      </c>
      <c r="O1207" s="787" t="e">
        <f t="shared" ca="1" si="429"/>
        <v>#REF!</v>
      </c>
      <c r="P1207" s="1472"/>
    </row>
    <row r="1208" spans="2:16" ht="15">
      <c r="B1208" s="780"/>
      <c r="C1208" s="1474" t="s">
        <v>133</v>
      </c>
      <c r="D1208" s="1474"/>
      <c r="E1208" s="1474"/>
      <c r="F1208" s="790">
        <f ca="1">SUBTOTAL(109,IX.a.NoCHP.Emissions[2007])</f>
        <v>67.653455982692705</v>
      </c>
      <c r="G1208" s="790" t="e">
        <f ca="1">SUBTOTAL(109,IX.a.NoCHP.Emissions[2010])</f>
        <v>#REF!</v>
      </c>
      <c r="H1208" s="790" t="e">
        <f ca="1">SUBTOTAL(109,IX.a.NoCHP.Emissions[2015])</f>
        <v>#REF!</v>
      </c>
      <c r="I1208" s="790" t="e">
        <f ca="1">SUBTOTAL(109,IX.a.NoCHP.Emissions[2020])</f>
        <v>#REF!</v>
      </c>
      <c r="J1208" s="790" t="e">
        <f ca="1">SUBTOTAL(109,IX.a.NoCHP.Emissions[2025])</f>
        <v>#REF!</v>
      </c>
      <c r="K1208" s="790" t="e">
        <f ca="1">SUBTOTAL(109,IX.a.NoCHP.Emissions[2030])</f>
        <v>#REF!</v>
      </c>
      <c r="L1208" s="790" t="e">
        <f ca="1">SUBTOTAL(109,IX.a.NoCHP.Emissions[2035])</f>
        <v>#REF!</v>
      </c>
      <c r="M1208" s="790" t="e">
        <f ca="1">SUBTOTAL(109,IX.a.NoCHP.Emissions[2040])</f>
        <v>#REF!</v>
      </c>
      <c r="N1208" s="790" t="e">
        <f ca="1">SUBTOTAL(109,IX.a.NoCHP.Emissions[2045])</f>
        <v>#REF!</v>
      </c>
      <c r="O1208" s="790" t="e">
        <f ca="1">SUBTOTAL(109,IX.a.NoCHP.Emissions[2050])</f>
        <v>#REF!</v>
      </c>
      <c r="P1208" s="1472"/>
    </row>
    <row r="1209" spans="2:16" ht="15">
      <c r="B1209" s="780"/>
      <c r="C1209" s="1474"/>
      <c r="D1209" s="1474"/>
      <c r="E1209" s="1474"/>
      <c r="F1209" s="790"/>
      <c r="G1209" s="790"/>
      <c r="H1209" s="790"/>
      <c r="I1209" s="790"/>
      <c r="J1209" s="790"/>
      <c r="K1209" s="790"/>
      <c r="L1209" s="790"/>
      <c r="M1209" s="790"/>
      <c r="N1209" s="790"/>
      <c r="O1209" s="790"/>
      <c r="P1209" s="1472"/>
    </row>
    <row r="1210" spans="2:16" ht="17">
      <c r="B1210" s="1469"/>
      <c r="C1210" s="779" t="s">
        <v>1802</v>
      </c>
      <c r="D1210" s="1470"/>
      <c r="E1210" s="1471"/>
      <c r="F1210" s="1470"/>
      <c r="G1210" s="1471"/>
      <c r="H1210" s="1470"/>
      <c r="I1210" s="1470"/>
      <c r="J1210" s="1470"/>
      <c r="K1210" s="1470"/>
      <c r="L1210" s="1470"/>
      <c r="M1210" s="1470"/>
      <c r="N1210" s="1470"/>
      <c r="O1210" s="1471" t="s">
        <v>811</v>
      </c>
      <c r="P1210" s="1472"/>
    </row>
    <row r="1211" spans="2:16" ht="5.25" customHeight="1">
      <c r="B1211" s="1469"/>
      <c r="C1211" s="1470"/>
      <c r="D1211" s="1470"/>
      <c r="E1211" s="1470"/>
      <c r="F1211" s="1470"/>
      <c r="G1211" s="1470"/>
      <c r="H1211" s="1470"/>
      <c r="I1211" s="1470"/>
      <c r="J1211" s="1470"/>
      <c r="K1211" s="1470"/>
      <c r="L1211" s="1470"/>
      <c r="M1211" s="1470"/>
      <c r="N1211" s="1470"/>
      <c r="O1211" s="1470"/>
      <c r="P1211" s="1472"/>
    </row>
    <row r="1212" spans="2:16" ht="18" customHeight="1">
      <c r="B1212" s="1469"/>
      <c r="C1212" s="1473" t="s">
        <v>809</v>
      </c>
      <c r="D1212" s="1473" t="s">
        <v>780</v>
      </c>
      <c r="E1212" s="1473" t="s">
        <v>422</v>
      </c>
      <c r="F1212" s="1473" t="s">
        <v>578</v>
      </c>
      <c r="G1212" s="1473" t="s">
        <v>579</v>
      </c>
      <c r="H1212" s="1473" t="s">
        <v>604</v>
      </c>
      <c r="I1212" s="1473" t="s">
        <v>605</v>
      </c>
      <c r="J1212" s="1473" t="s">
        <v>606</v>
      </c>
      <c r="K1212" s="1473" t="s">
        <v>607</v>
      </c>
      <c r="L1212" s="1473" t="s">
        <v>608</v>
      </c>
      <c r="M1212" s="1473" t="s">
        <v>609</v>
      </c>
      <c r="N1212" s="1473" t="s">
        <v>610</v>
      </c>
      <c r="O1212" s="1473" t="s">
        <v>611</v>
      </c>
      <c r="P1212" s="1472"/>
    </row>
    <row r="1213" spans="2:16" ht="15">
      <c r="B1213" s="780"/>
      <c r="C1213" s="1474" t="s">
        <v>792</v>
      </c>
      <c r="D1213" s="1475" t="s">
        <v>802</v>
      </c>
      <c r="E1213" s="1474" t="str">
        <f>INDEX(IPCC[Sector_description], MATCH(IX.a.CHP.Emissions[IPCC Sector], IPCC[Sector_code], 0))</f>
        <v>Fuel Combustion</v>
      </c>
      <c r="F1213" s="787">
        <f ca="1">F976</f>
        <v>0</v>
      </c>
      <c r="G1213" s="787" t="e">
        <f t="shared" ref="G1213:O1213" ca="1" si="430">G976</f>
        <v>#REF!</v>
      </c>
      <c r="H1213" s="787" t="e">
        <f t="shared" ca="1" si="430"/>
        <v>#REF!</v>
      </c>
      <c r="I1213" s="787" t="e">
        <f t="shared" ca="1" si="430"/>
        <v>#REF!</v>
      </c>
      <c r="J1213" s="787" t="e">
        <f t="shared" ca="1" si="430"/>
        <v>#REF!</v>
      </c>
      <c r="K1213" s="787" t="e">
        <f t="shared" ca="1" si="430"/>
        <v>#REF!</v>
      </c>
      <c r="L1213" s="787" t="e">
        <f t="shared" ca="1" si="430"/>
        <v>#REF!</v>
      </c>
      <c r="M1213" s="787" t="e">
        <f t="shared" ca="1" si="430"/>
        <v>#REF!</v>
      </c>
      <c r="N1213" s="787" t="e">
        <f t="shared" ca="1" si="430"/>
        <v>#REF!</v>
      </c>
      <c r="O1213" s="787" t="e">
        <f t="shared" ca="1" si="430"/>
        <v>#REF!</v>
      </c>
      <c r="P1213" s="1472"/>
    </row>
    <row r="1214" spans="2:16" ht="15">
      <c r="B1214" s="780"/>
      <c r="C1214" s="1474" t="s">
        <v>793</v>
      </c>
      <c r="D1214" s="1475" t="s">
        <v>802</v>
      </c>
      <c r="E1214" s="1474" t="str">
        <f>INDEX(IPCC[Sector_description], MATCH(IX.a.CHP.Emissions[IPCC Sector], IPCC[Sector_code], 0))</f>
        <v>Fuel Combustion</v>
      </c>
      <c r="F1214" s="787">
        <f t="shared" ref="F1214:O1215" ca="1" si="431">F977</f>
        <v>0</v>
      </c>
      <c r="G1214" s="787" t="e">
        <f t="shared" ca="1" si="431"/>
        <v>#REF!</v>
      </c>
      <c r="H1214" s="787" t="e">
        <f t="shared" ca="1" si="431"/>
        <v>#REF!</v>
      </c>
      <c r="I1214" s="787" t="e">
        <f t="shared" ca="1" si="431"/>
        <v>#REF!</v>
      </c>
      <c r="J1214" s="787" t="e">
        <f t="shared" ca="1" si="431"/>
        <v>#REF!</v>
      </c>
      <c r="K1214" s="787" t="e">
        <f t="shared" ca="1" si="431"/>
        <v>#REF!</v>
      </c>
      <c r="L1214" s="787" t="e">
        <f t="shared" ca="1" si="431"/>
        <v>#REF!</v>
      </c>
      <c r="M1214" s="787" t="e">
        <f t="shared" ca="1" si="431"/>
        <v>#REF!</v>
      </c>
      <c r="N1214" s="787" t="e">
        <f t="shared" ca="1" si="431"/>
        <v>#REF!</v>
      </c>
      <c r="O1214" s="787" t="e">
        <f t="shared" ca="1" si="431"/>
        <v>#REF!</v>
      </c>
      <c r="P1214" s="1472"/>
    </row>
    <row r="1215" spans="2:16" ht="15">
      <c r="B1215" s="780"/>
      <c r="C1215" s="1474" t="s">
        <v>794</v>
      </c>
      <c r="D1215" s="1475" t="s">
        <v>802</v>
      </c>
      <c r="E1215" s="1474" t="str">
        <f>INDEX(IPCC[Sector_description], MATCH(IX.a.CHP.Emissions[IPCC Sector], IPCC[Sector_code], 0))</f>
        <v>Fuel Combustion</v>
      </c>
      <c r="F1215" s="787">
        <f t="shared" ca="1" si="431"/>
        <v>0</v>
      </c>
      <c r="G1215" s="787" t="e">
        <f t="shared" ca="1" si="431"/>
        <v>#REF!</v>
      </c>
      <c r="H1215" s="787" t="e">
        <f t="shared" ca="1" si="431"/>
        <v>#REF!</v>
      </c>
      <c r="I1215" s="787" t="e">
        <f t="shared" ca="1" si="431"/>
        <v>#REF!</v>
      </c>
      <c r="J1215" s="787" t="e">
        <f t="shared" ca="1" si="431"/>
        <v>#REF!</v>
      </c>
      <c r="K1215" s="787" t="e">
        <f t="shared" ca="1" si="431"/>
        <v>#REF!</v>
      </c>
      <c r="L1215" s="787" t="e">
        <f t="shared" ca="1" si="431"/>
        <v>#REF!</v>
      </c>
      <c r="M1215" s="787" t="e">
        <f t="shared" ca="1" si="431"/>
        <v>#REF!</v>
      </c>
      <c r="N1215" s="787" t="e">
        <f t="shared" ca="1" si="431"/>
        <v>#REF!</v>
      </c>
      <c r="O1215" s="787" t="e">
        <f t="shared" ca="1" si="431"/>
        <v>#REF!</v>
      </c>
      <c r="P1215" s="1472"/>
    </row>
    <row r="1216" spans="2:16" ht="15">
      <c r="B1216" s="780"/>
      <c r="C1216" s="1474" t="s">
        <v>133</v>
      </c>
      <c r="D1216" s="1474"/>
      <c r="E1216" s="1474"/>
      <c r="F1216" s="790">
        <f ca="1">SUBTOTAL(109,IX.a.CHP.Emissions[2007])</f>
        <v>0</v>
      </c>
      <c r="G1216" s="790" t="e">
        <f ca="1">SUBTOTAL(109,IX.a.CHP.Emissions[2010])</f>
        <v>#REF!</v>
      </c>
      <c r="H1216" s="790" t="e">
        <f ca="1">SUBTOTAL(109,IX.a.CHP.Emissions[2015])</f>
        <v>#REF!</v>
      </c>
      <c r="I1216" s="790" t="e">
        <f ca="1">SUBTOTAL(109,IX.a.CHP.Emissions[2020])</f>
        <v>#REF!</v>
      </c>
      <c r="J1216" s="790" t="e">
        <f ca="1">SUBTOTAL(109,IX.a.CHP.Emissions[2025])</f>
        <v>#REF!</v>
      </c>
      <c r="K1216" s="790" t="e">
        <f ca="1">SUBTOTAL(109,IX.a.CHP.Emissions[2030])</f>
        <v>#REF!</v>
      </c>
      <c r="L1216" s="790" t="e">
        <f ca="1">SUBTOTAL(109,IX.a.CHP.Emissions[2035])</f>
        <v>#REF!</v>
      </c>
      <c r="M1216" s="790" t="e">
        <f ca="1">SUBTOTAL(109,IX.a.CHP.Emissions[2040])</f>
        <v>#REF!</v>
      </c>
      <c r="N1216" s="790" t="e">
        <f ca="1">SUBTOTAL(109,IX.a.CHP.Emissions[2045])</f>
        <v>#REF!</v>
      </c>
      <c r="O1216" s="790" t="e">
        <f ca="1">SUBTOTAL(109,IX.a.CHP.Emissions[2050])</f>
        <v>#REF!</v>
      </c>
      <c r="P1216" s="1472"/>
    </row>
    <row r="1217" spans="2:22" ht="15">
      <c r="B1217" s="780"/>
      <c r="C1217" s="1474"/>
      <c r="D1217" s="1474"/>
      <c r="E1217" s="1474"/>
      <c r="F1217" s="790"/>
      <c r="G1217" s="790"/>
      <c r="H1217" s="790"/>
      <c r="I1217" s="790"/>
      <c r="J1217" s="790"/>
      <c r="K1217" s="790"/>
      <c r="L1217" s="790"/>
      <c r="M1217" s="790"/>
      <c r="N1217" s="790"/>
      <c r="O1217" s="790"/>
      <c r="P1217" s="1472"/>
    </row>
    <row r="1218" spans="2:22" ht="17">
      <c r="B1218" s="1469"/>
      <c r="C1218" s="779" t="s">
        <v>1803</v>
      </c>
      <c r="D1218" s="1470"/>
      <c r="E1218" s="1471"/>
      <c r="F1218" s="1470"/>
      <c r="G1218" s="1471"/>
      <c r="H1218" s="1470"/>
      <c r="I1218" s="1470"/>
      <c r="J1218" s="1470"/>
      <c r="K1218" s="1470"/>
      <c r="L1218" s="1470"/>
      <c r="M1218" s="1470"/>
      <c r="N1218" s="1470"/>
      <c r="O1218" s="1471" t="s">
        <v>811</v>
      </c>
      <c r="P1218" s="1472"/>
    </row>
    <row r="1219" spans="2:22" ht="4.5" customHeight="1">
      <c r="B1219" s="1469"/>
      <c r="C1219" s="1470"/>
      <c r="D1219" s="1470"/>
      <c r="E1219" s="1470"/>
      <c r="F1219" s="1470"/>
      <c r="G1219" s="1470"/>
      <c r="H1219" s="1470"/>
      <c r="I1219" s="1470"/>
      <c r="J1219" s="1470"/>
      <c r="K1219" s="1470"/>
      <c r="L1219" s="1470"/>
      <c r="M1219" s="1470"/>
      <c r="N1219" s="1470"/>
      <c r="O1219" s="1470"/>
      <c r="P1219" s="1472"/>
    </row>
    <row r="1220" spans="2:22" ht="21.75" customHeight="1" collapsed="1">
      <c r="B1220" s="1469"/>
      <c r="C1220" s="1473" t="s">
        <v>809</v>
      </c>
      <c r="D1220" s="1473" t="s">
        <v>780</v>
      </c>
      <c r="E1220" s="1473" t="s">
        <v>422</v>
      </c>
      <c r="F1220" s="1473" t="s">
        <v>578</v>
      </c>
      <c r="G1220" s="1473" t="s">
        <v>579</v>
      </c>
      <c r="H1220" s="1473" t="s">
        <v>604</v>
      </c>
      <c r="I1220" s="1473" t="s">
        <v>605</v>
      </c>
      <c r="J1220" s="1473" t="s">
        <v>606</v>
      </c>
      <c r="K1220" s="1473" t="s">
        <v>607</v>
      </c>
      <c r="L1220" s="1473" t="s">
        <v>608</v>
      </c>
      <c r="M1220" s="1473" t="s">
        <v>609</v>
      </c>
      <c r="N1220" s="1473" t="s">
        <v>610</v>
      </c>
      <c r="O1220" s="1473" t="s">
        <v>611</v>
      </c>
      <c r="P1220" s="1472"/>
      <c r="S1220" s="1482"/>
      <c r="T1220" s="1483"/>
      <c r="U1220" s="1482"/>
      <c r="V1220" s="1482"/>
    </row>
    <row r="1221" spans="2:22" ht="15">
      <c r="B1221" s="780"/>
      <c r="C1221" s="1474" t="s">
        <v>792</v>
      </c>
      <c r="D1221" s="1475" t="s">
        <v>802</v>
      </c>
      <c r="E1221" s="1474" t="str">
        <f>INDEX(IPCC[Sector_description], MATCH(IX.a.Emissions[IPCC Sector], IPCC[Sector_code], 0))</f>
        <v>Fuel Combustion</v>
      </c>
      <c r="F1221" s="787">
        <f t="shared" ref="F1221:O1221" ca="1" si="432">F$912</f>
        <v>67.291769164453711</v>
      </c>
      <c r="G1221" s="787" t="e">
        <f t="shared" ca="1" si="432"/>
        <v>#REF!</v>
      </c>
      <c r="H1221" s="787" t="e">
        <f t="shared" ca="1" si="432"/>
        <v>#REF!</v>
      </c>
      <c r="I1221" s="787" t="e">
        <f t="shared" ca="1" si="432"/>
        <v>#REF!</v>
      </c>
      <c r="J1221" s="787" t="e">
        <f t="shared" ca="1" si="432"/>
        <v>#REF!</v>
      </c>
      <c r="K1221" s="787" t="e">
        <f t="shared" ca="1" si="432"/>
        <v>#REF!</v>
      </c>
      <c r="L1221" s="787" t="e">
        <f t="shared" ca="1" si="432"/>
        <v>#REF!</v>
      </c>
      <c r="M1221" s="787" t="e">
        <f t="shared" ca="1" si="432"/>
        <v>#REF!</v>
      </c>
      <c r="N1221" s="787" t="e">
        <f t="shared" ca="1" si="432"/>
        <v>#REF!</v>
      </c>
      <c r="O1221" s="787" t="e">
        <f t="shared" ca="1" si="432"/>
        <v>#REF!</v>
      </c>
      <c r="P1221" s="1472"/>
      <c r="T1221" s="16"/>
    </row>
    <row r="1222" spans="2:22" ht="15">
      <c r="B1222" s="780"/>
      <c r="C1222" s="1474" t="s">
        <v>793</v>
      </c>
      <c r="D1222" s="1475" t="s">
        <v>802</v>
      </c>
      <c r="E1222" s="1474" t="str">
        <f>INDEX(IPCC[Sector_description], MATCH(IX.a.Emissions[IPCC Sector], IPCC[Sector_code], 0))</f>
        <v>Fuel Combustion</v>
      </c>
      <c r="F1222" s="787">
        <f t="shared" ref="F1222:O1222" ca="1" si="433">F$913</f>
        <v>0.13655504882378258</v>
      </c>
      <c r="G1222" s="787" t="e">
        <f t="shared" ca="1" si="433"/>
        <v>#REF!</v>
      </c>
      <c r="H1222" s="787" t="e">
        <f t="shared" ca="1" si="433"/>
        <v>#REF!</v>
      </c>
      <c r="I1222" s="787" t="e">
        <f t="shared" ca="1" si="433"/>
        <v>#REF!</v>
      </c>
      <c r="J1222" s="787" t="e">
        <f t="shared" ca="1" si="433"/>
        <v>#REF!</v>
      </c>
      <c r="K1222" s="787" t="e">
        <f t="shared" ca="1" si="433"/>
        <v>#REF!</v>
      </c>
      <c r="L1222" s="787" t="e">
        <f t="shared" ca="1" si="433"/>
        <v>#REF!</v>
      </c>
      <c r="M1222" s="787" t="e">
        <f t="shared" ca="1" si="433"/>
        <v>#REF!</v>
      </c>
      <c r="N1222" s="787" t="e">
        <f t="shared" ca="1" si="433"/>
        <v>#REF!</v>
      </c>
      <c r="O1222" s="787" t="e">
        <f t="shared" ca="1" si="433"/>
        <v>#REF!</v>
      </c>
      <c r="P1222" s="1472"/>
      <c r="T1222" s="16"/>
    </row>
    <row r="1223" spans="2:22" ht="15.75" customHeight="1">
      <c r="B1223" s="780"/>
      <c r="C1223" s="1474" t="s">
        <v>794</v>
      </c>
      <c r="D1223" s="1475" t="s">
        <v>802</v>
      </c>
      <c r="E1223" s="1474" t="str">
        <f>INDEX(IPCC[Sector_description], MATCH(IX.a.Emissions[IPCC Sector], IPCC[Sector_code], 0))</f>
        <v>Fuel Combustion</v>
      </c>
      <c r="F1223" s="787">
        <f t="shared" ref="F1223:O1223" ca="1" si="434">F$914</f>
        <v>0.22513176941521534</v>
      </c>
      <c r="G1223" s="787" t="e">
        <f t="shared" ca="1" si="434"/>
        <v>#REF!</v>
      </c>
      <c r="H1223" s="787" t="e">
        <f t="shared" ca="1" si="434"/>
        <v>#REF!</v>
      </c>
      <c r="I1223" s="787" t="e">
        <f t="shared" ca="1" si="434"/>
        <v>#REF!</v>
      </c>
      <c r="J1223" s="787" t="e">
        <f t="shared" ca="1" si="434"/>
        <v>#REF!</v>
      </c>
      <c r="K1223" s="787" t="e">
        <f t="shared" ca="1" si="434"/>
        <v>#REF!</v>
      </c>
      <c r="L1223" s="787" t="e">
        <f t="shared" ca="1" si="434"/>
        <v>#REF!</v>
      </c>
      <c r="M1223" s="787" t="e">
        <f t="shared" ca="1" si="434"/>
        <v>#REF!</v>
      </c>
      <c r="N1223" s="787" t="e">
        <f t="shared" ca="1" si="434"/>
        <v>#REF!</v>
      </c>
      <c r="O1223" s="787" t="e">
        <f t="shared" ca="1" si="434"/>
        <v>#REF!</v>
      </c>
      <c r="P1223" s="1472"/>
      <c r="T1223" s="16"/>
    </row>
    <row r="1224" spans="2:22" ht="15">
      <c r="B1224" s="780"/>
      <c r="C1224" s="1474" t="s">
        <v>133</v>
      </c>
      <c r="D1224" s="1474"/>
      <c r="E1224" s="1474"/>
      <c r="F1224" s="790">
        <f ca="1">SUBTOTAL(109,IX.a.Emissions[2007])</f>
        <v>67.653455982692705</v>
      </c>
      <c r="G1224" s="790" t="e">
        <f ca="1">SUBTOTAL(109,IX.a.Emissions[2010])</f>
        <v>#REF!</v>
      </c>
      <c r="H1224" s="790" t="e">
        <f ca="1">SUBTOTAL(109,IX.a.Emissions[2015])</f>
        <v>#REF!</v>
      </c>
      <c r="I1224" s="790" t="e">
        <f ca="1">SUBTOTAL(109,IX.a.Emissions[2020])</f>
        <v>#REF!</v>
      </c>
      <c r="J1224" s="790" t="e">
        <f ca="1">SUBTOTAL(109,IX.a.Emissions[2025])</f>
        <v>#REF!</v>
      </c>
      <c r="K1224" s="790" t="e">
        <f ca="1">SUBTOTAL(109,IX.a.Emissions[2030])</f>
        <v>#REF!</v>
      </c>
      <c r="L1224" s="790" t="e">
        <f ca="1">SUBTOTAL(109,IX.a.Emissions[2035])</f>
        <v>#REF!</v>
      </c>
      <c r="M1224" s="790" t="e">
        <f ca="1">SUBTOTAL(109,IX.a.Emissions[2040])</f>
        <v>#REF!</v>
      </c>
      <c r="N1224" s="790" t="e">
        <f ca="1">SUBTOTAL(109,IX.a.Emissions[2045])</f>
        <v>#REF!</v>
      </c>
      <c r="O1224" s="790" t="e">
        <f ca="1">SUBTOTAL(109,IX.a.Emissions[2050])</f>
        <v>#REF!</v>
      </c>
      <c r="P1224" s="1472"/>
    </row>
    <row r="1225" spans="2:22" ht="15">
      <c r="B1225" s="1604"/>
      <c r="C1225" s="1474"/>
      <c r="D1225" s="1474"/>
      <c r="E1225" s="1474"/>
      <c r="F1225" s="790"/>
      <c r="G1225" s="790"/>
      <c r="H1225" s="790"/>
      <c r="I1225" s="790"/>
      <c r="J1225" s="790"/>
      <c r="K1225" s="790"/>
      <c r="L1225" s="790"/>
      <c r="M1225" s="790"/>
      <c r="N1225" s="790"/>
      <c r="O1225" s="790"/>
      <c r="P1225" s="1470"/>
    </row>
    <row r="1226" spans="2:22" ht="15">
      <c r="B1226" s="1604"/>
      <c r="C1226" s="1602" t="s">
        <v>1804</v>
      </c>
      <c r="D1226" s="1474"/>
      <c r="E1226" s="1474"/>
      <c r="F1226" s="790"/>
      <c r="G1226" s="790"/>
      <c r="H1226" s="790"/>
      <c r="I1226" s="790"/>
      <c r="J1226" s="790"/>
      <c r="K1226" s="790"/>
      <c r="L1226" s="790"/>
      <c r="M1226" s="790"/>
      <c r="N1226" s="790"/>
      <c r="O1226" s="1714" t="s">
        <v>1805</v>
      </c>
      <c r="P1226" s="1470"/>
    </row>
    <row r="1227" spans="2:22" ht="4.5" customHeight="1">
      <c r="B1227" s="1604"/>
      <c r="C1227" s="1474"/>
      <c r="D1227" s="1474"/>
      <c r="E1227" s="1474"/>
      <c r="F1227" s="790"/>
      <c r="G1227" s="790"/>
      <c r="H1227" s="790"/>
      <c r="I1227" s="790"/>
      <c r="J1227" s="790"/>
      <c r="K1227" s="790"/>
      <c r="L1227" s="790"/>
      <c r="M1227" s="790"/>
      <c r="N1227" s="790"/>
      <c r="O1227" s="790"/>
      <c r="P1227" s="1470"/>
    </row>
    <row r="1228" spans="2:22">
      <c r="B1228" s="1603"/>
      <c r="C1228" s="1696" t="s">
        <v>72</v>
      </c>
      <c r="D1228" s="1697" t="s">
        <v>400</v>
      </c>
      <c r="E1228" s="1697" t="s">
        <v>422</v>
      </c>
      <c r="F1228" s="1697" t="s">
        <v>578</v>
      </c>
      <c r="G1228" s="1697" t="s">
        <v>579</v>
      </c>
      <c r="H1228" s="1697" t="s">
        <v>604</v>
      </c>
      <c r="I1228" s="1697" t="s">
        <v>605</v>
      </c>
      <c r="J1228" s="1697" t="s">
        <v>606</v>
      </c>
      <c r="K1228" s="1697" t="s">
        <v>607</v>
      </c>
      <c r="L1228" s="1697" t="s">
        <v>608</v>
      </c>
      <c r="M1228" s="1697" t="s">
        <v>609</v>
      </c>
      <c r="N1228" s="1697" t="s">
        <v>610</v>
      </c>
      <c r="O1228" s="1698" t="s">
        <v>611</v>
      </c>
      <c r="P1228" s="1603"/>
    </row>
    <row r="1229" spans="2:22">
      <c r="B1229" s="1603"/>
      <c r="C1229" s="1699" t="str">
        <f>INDEX(AirQualityVectors[Code],MATCH(D1229,AirQualityVectors[Description],0))</f>
        <v>AQ.01</v>
      </c>
      <c r="D1229" s="1700" t="s">
        <v>1760</v>
      </c>
      <c r="E1229" s="1701"/>
      <c r="F1229" s="1702" t="e">
        <f t="shared" ref="F1229:O1229" ca="1" si="435">F937</f>
        <v>#REF!</v>
      </c>
      <c r="G1229" s="1702" t="e">
        <f t="shared" ca="1" si="435"/>
        <v>#REF!</v>
      </c>
      <c r="H1229" s="1702" t="e">
        <f t="shared" ca="1" si="435"/>
        <v>#REF!</v>
      </c>
      <c r="I1229" s="1702" t="e">
        <f t="shared" ca="1" si="435"/>
        <v>#REF!</v>
      </c>
      <c r="J1229" s="1702" t="e">
        <f t="shared" ca="1" si="435"/>
        <v>#REF!</v>
      </c>
      <c r="K1229" s="1702" t="e">
        <f t="shared" ca="1" si="435"/>
        <v>#REF!</v>
      </c>
      <c r="L1229" s="1702" t="e">
        <f t="shared" ca="1" si="435"/>
        <v>#REF!</v>
      </c>
      <c r="M1229" s="1702" t="e">
        <f t="shared" ca="1" si="435"/>
        <v>#REF!</v>
      </c>
      <c r="N1229" s="1702" t="e">
        <f t="shared" ca="1" si="435"/>
        <v>#REF!</v>
      </c>
      <c r="O1229" s="1703" t="e">
        <f t="shared" ca="1" si="435"/>
        <v>#REF!</v>
      </c>
      <c r="P1229" s="1603"/>
    </row>
    <row r="1230" spans="2:22">
      <c r="B1230" s="1603"/>
      <c r="C1230" s="1704" t="str">
        <f>INDEX(AirQualityVectors[Code],MATCH(D1230,AirQualityVectors[Description],0))</f>
        <v>AQ.02</v>
      </c>
      <c r="D1230" s="1705" t="s">
        <v>1762</v>
      </c>
      <c r="E1230" s="1706"/>
      <c r="F1230" s="1707" t="e">
        <f t="shared" ref="F1230:O1230" ca="1" si="436">F938</f>
        <v>#REF!</v>
      </c>
      <c r="G1230" s="1707" t="e">
        <f t="shared" ca="1" si="436"/>
        <v>#REF!</v>
      </c>
      <c r="H1230" s="1707" t="e">
        <f t="shared" ca="1" si="436"/>
        <v>#REF!</v>
      </c>
      <c r="I1230" s="1707" t="e">
        <f t="shared" ca="1" si="436"/>
        <v>#REF!</v>
      </c>
      <c r="J1230" s="1707" t="e">
        <f t="shared" ca="1" si="436"/>
        <v>#REF!</v>
      </c>
      <c r="K1230" s="1707" t="e">
        <f t="shared" ca="1" si="436"/>
        <v>#REF!</v>
      </c>
      <c r="L1230" s="1707" t="e">
        <f t="shared" ca="1" si="436"/>
        <v>#REF!</v>
      </c>
      <c r="M1230" s="1707" t="e">
        <f t="shared" ca="1" si="436"/>
        <v>#REF!</v>
      </c>
      <c r="N1230" s="1707" t="e">
        <f t="shared" ca="1" si="436"/>
        <v>#REF!</v>
      </c>
      <c r="O1230" s="1708" t="e">
        <f t="shared" ca="1" si="436"/>
        <v>#REF!</v>
      </c>
      <c r="P1230" s="1603"/>
    </row>
    <row r="1231" spans="2:22">
      <c r="B1231" s="1603"/>
      <c r="C1231" s="1704" t="str">
        <f>INDEX(AirQualityVectors[Code],MATCH(D1231,AirQualityVectors[Description],0))</f>
        <v>AQ.03</v>
      </c>
      <c r="D1231" s="1705" t="s">
        <v>1763</v>
      </c>
      <c r="E1231" s="1706"/>
      <c r="F1231" s="1707" t="e">
        <f t="shared" ref="F1231:O1231" ca="1" si="437">F939</f>
        <v>#REF!</v>
      </c>
      <c r="G1231" s="1707" t="e">
        <f t="shared" ca="1" si="437"/>
        <v>#REF!</v>
      </c>
      <c r="H1231" s="1707" t="e">
        <f t="shared" ca="1" si="437"/>
        <v>#REF!</v>
      </c>
      <c r="I1231" s="1707" t="e">
        <f t="shared" ca="1" si="437"/>
        <v>#REF!</v>
      </c>
      <c r="J1231" s="1707" t="e">
        <f t="shared" ca="1" si="437"/>
        <v>#REF!</v>
      </c>
      <c r="K1231" s="1707" t="e">
        <f t="shared" ca="1" si="437"/>
        <v>#REF!</v>
      </c>
      <c r="L1231" s="1707" t="e">
        <f t="shared" ca="1" si="437"/>
        <v>#REF!</v>
      </c>
      <c r="M1231" s="1707" t="e">
        <f t="shared" ca="1" si="437"/>
        <v>#REF!</v>
      </c>
      <c r="N1231" s="1707" t="e">
        <f t="shared" ca="1" si="437"/>
        <v>#REF!</v>
      </c>
      <c r="O1231" s="1708" t="e">
        <f t="shared" ca="1" si="437"/>
        <v>#REF!</v>
      </c>
      <c r="P1231" s="1603"/>
    </row>
    <row r="1232" spans="2:22">
      <c r="B1232" s="1603"/>
      <c r="C1232" s="1709" t="str">
        <f>INDEX(AirQualityVectors[Code],MATCH(D1232,AirQualityVectors[Description],0))</f>
        <v>AQ.04</v>
      </c>
      <c r="D1232" s="1710" t="s">
        <v>1761</v>
      </c>
      <c r="E1232" s="1711"/>
      <c r="F1232" s="1712" t="e">
        <f t="shared" ref="F1232:O1232" ca="1" si="438">F940</f>
        <v>#REF!</v>
      </c>
      <c r="G1232" s="1712" t="e">
        <f t="shared" ca="1" si="438"/>
        <v>#REF!</v>
      </c>
      <c r="H1232" s="1712" t="e">
        <f t="shared" ca="1" si="438"/>
        <v>#REF!</v>
      </c>
      <c r="I1232" s="1712" t="e">
        <f t="shared" ca="1" si="438"/>
        <v>#REF!</v>
      </c>
      <c r="J1232" s="1712" t="e">
        <f t="shared" ca="1" si="438"/>
        <v>#REF!</v>
      </c>
      <c r="K1232" s="1712" t="e">
        <f t="shared" ca="1" si="438"/>
        <v>#REF!</v>
      </c>
      <c r="L1232" s="1712" t="e">
        <f t="shared" ca="1" si="438"/>
        <v>#REF!</v>
      </c>
      <c r="M1232" s="1712" t="e">
        <f t="shared" ca="1" si="438"/>
        <v>#REF!</v>
      </c>
      <c r="N1232" s="1712" t="e">
        <f t="shared" ca="1" si="438"/>
        <v>#REF!</v>
      </c>
      <c r="O1232" s="1713" t="e">
        <f t="shared" ca="1" si="438"/>
        <v>#REF!</v>
      </c>
      <c r="P1232" s="1603"/>
    </row>
    <row r="1233" spans="2:16" ht="15">
      <c r="B1233" s="788"/>
      <c r="C1233" s="1476"/>
      <c r="D1233" s="1476"/>
      <c r="E1233" s="1476"/>
      <c r="F1233" s="1476"/>
      <c r="G1233" s="1476"/>
      <c r="H1233" s="1476"/>
      <c r="I1233" s="1476"/>
      <c r="J1233" s="1476"/>
      <c r="K1233" s="1476"/>
      <c r="L1233" s="1476"/>
      <c r="M1233" s="1476"/>
      <c r="N1233" s="1476"/>
      <c r="O1233" s="1476"/>
      <c r="P1233" s="1477"/>
    </row>
    <row r="1235" spans="2:16" ht="15">
      <c r="B1235" s="1478" t="s">
        <v>1291</v>
      </c>
      <c r="C1235" s="1479"/>
      <c r="D1235" s="1480"/>
      <c r="E1235" s="1480"/>
      <c r="F1235" s="1480"/>
      <c r="G1235" s="1480"/>
      <c r="H1235" s="1480"/>
      <c r="I1235" s="1480"/>
      <c r="J1235" s="1480"/>
      <c r="K1235" s="1480"/>
      <c r="L1235" s="1480"/>
      <c r="M1235" s="1480"/>
      <c r="N1235" s="1480"/>
      <c r="O1235" s="1480"/>
      <c r="P1235" s="1481"/>
    </row>
    <row r="1236" spans="2:16" ht="9" customHeight="1">
      <c r="B1236" s="1484"/>
      <c r="C1236" s="1485"/>
      <c r="D1236" s="1485"/>
      <c r="E1236" s="1485"/>
      <c r="F1236" s="1485"/>
      <c r="G1236" s="1485"/>
      <c r="H1236" s="1485"/>
      <c r="I1236" s="1485"/>
      <c r="J1236" s="1485"/>
      <c r="K1236" s="1485"/>
      <c r="L1236" s="1485"/>
      <c r="M1236" s="1485"/>
      <c r="N1236" s="1485"/>
      <c r="O1236" s="1485"/>
      <c r="P1236" s="1486"/>
    </row>
    <row r="1237" spans="2:16" ht="12.75" customHeight="1">
      <c r="B1237" s="1487"/>
      <c r="C1237" s="1220" t="s">
        <v>1296</v>
      </c>
      <c r="D1237" s="1488"/>
      <c r="E1237" s="1489"/>
      <c r="F1237" s="1488"/>
      <c r="G1237" s="1489"/>
      <c r="H1237" s="1488"/>
      <c r="I1237" s="1488"/>
      <c r="J1237" s="1488"/>
      <c r="K1237" s="1488"/>
      <c r="L1237" s="1488"/>
      <c r="M1237" s="1488"/>
      <c r="N1237" s="1488"/>
      <c r="O1237" s="1489"/>
      <c r="P1237" s="1490"/>
    </row>
    <row r="1238" spans="2:16" ht="5.25" customHeight="1">
      <c r="B1238" s="1487"/>
      <c r="C1238" s="1488"/>
      <c r="D1238" s="1488"/>
      <c r="E1238" s="1488"/>
      <c r="F1238" s="1488"/>
      <c r="G1238" s="1488"/>
      <c r="H1238" s="1488"/>
      <c r="I1238" s="1488"/>
      <c r="J1238" s="1488"/>
      <c r="K1238" s="1488"/>
      <c r="L1238" s="1488"/>
      <c r="M1238" s="1488"/>
      <c r="N1238" s="1488"/>
      <c r="O1238" s="1488"/>
      <c r="P1238" s="1490"/>
    </row>
    <row r="1239" spans="2:16" ht="15.75" customHeight="1">
      <c r="B1239" s="1300"/>
      <c r="C1239" s="1491" t="s">
        <v>72</v>
      </c>
      <c r="D1239" s="1491" t="s">
        <v>1292</v>
      </c>
      <c r="E1239" s="1491" t="s">
        <v>422</v>
      </c>
      <c r="F1239" s="1491" t="s">
        <v>578</v>
      </c>
      <c r="G1239" s="1491" t="s">
        <v>579</v>
      </c>
      <c r="H1239" s="1491" t="s">
        <v>604</v>
      </c>
      <c r="I1239" s="1491" t="s">
        <v>605</v>
      </c>
      <c r="J1239" s="1491" t="s">
        <v>606</v>
      </c>
      <c r="K1239" s="1491" t="s">
        <v>607</v>
      </c>
      <c r="L1239" s="1491" t="s">
        <v>608</v>
      </c>
      <c r="M1239" s="1491" t="s">
        <v>609</v>
      </c>
      <c r="N1239" s="1491" t="s">
        <v>610</v>
      </c>
      <c r="O1239" s="1491" t="s">
        <v>611</v>
      </c>
      <c r="P1239" s="1490"/>
    </row>
    <row r="1240" spans="2:16" ht="15.75" customHeight="1">
      <c r="B1240" s="1300"/>
      <c r="C1240" s="1301" t="s">
        <v>1299</v>
      </c>
      <c r="D1240" s="1301" t="str">
        <f>INDEX(Vectors[Description], MATCH(IX.a.info[Vector], Vectors[Code], 0))</f>
        <v>Number of units</v>
      </c>
      <c r="E1240" s="1301"/>
      <c r="F1240" s="1214">
        <f>F665</f>
        <v>26042600</v>
      </c>
      <c r="G1240" s="1214">
        <f t="shared" ref="G1240:O1240" si="439">G665</f>
        <v>26917400</v>
      </c>
      <c r="H1240" s="1214">
        <f t="shared" si="439"/>
        <v>28469000</v>
      </c>
      <c r="I1240" s="1214">
        <f t="shared" si="439"/>
        <v>30004800</v>
      </c>
      <c r="J1240" s="1214">
        <f t="shared" si="439"/>
        <v>31434800</v>
      </c>
      <c r="K1240" s="1214">
        <f t="shared" si="439"/>
        <v>32744800</v>
      </c>
      <c r="L1240" s="1214">
        <f t="shared" si="439"/>
        <v>34415113.888514474</v>
      </c>
      <c r="M1240" s="1214">
        <f t="shared" si="439"/>
        <v>36170630.572164804</v>
      </c>
      <c r="N1240" s="1214">
        <f t="shared" si="439"/>
        <v>38015696.24979952</v>
      </c>
      <c r="O1240" s="1214">
        <f t="shared" si="439"/>
        <v>39954878.82008817</v>
      </c>
      <c r="P1240" s="1490"/>
    </row>
    <row r="1241" spans="2:16" ht="15">
      <c r="B1241" s="1300"/>
      <c r="C1241" s="1301" t="s">
        <v>1623</v>
      </c>
      <c r="D1241" s="1301" t="str">
        <f>INDEX(Vectors[Description], MATCH(IX.a.info[Vector], Vectors[Code], 0))</f>
        <v>Additional electricity at peak</v>
      </c>
      <c r="E1241" s="1301" t="str">
        <f>Preferences.PowerUnits</f>
        <v>GW</v>
      </c>
      <c r="F1241" s="1214">
        <f ca="1">F1054</f>
        <v>0</v>
      </c>
      <c r="G1241" s="1214" t="e">
        <f t="shared" ref="G1241:O1241" ca="1" si="440">G1054</f>
        <v>#REF!</v>
      </c>
      <c r="H1241" s="1214" t="e">
        <f t="shared" ca="1" si="440"/>
        <v>#REF!</v>
      </c>
      <c r="I1241" s="1214" t="e">
        <f t="shared" ca="1" si="440"/>
        <v>#REF!</v>
      </c>
      <c r="J1241" s="1214" t="e">
        <f t="shared" ca="1" si="440"/>
        <v>#REF!</v>
      </c>
      <c r="K1241" s="1214" t="e">
        <f t="shared" ca="1" si="440"/>
        <v>#REF!</v>
      </c>
      <c r="L1241" s="1214" t="e">
        <f t="shared" ca="1" si="440"/>
        <v>#REF!</v>
      </c>
      <c r="M1241" s="1214" t="e">
        <f t="shared" ca="1" si="440"/>
        <v>#REF!</v>
      </c>
      <c r="N1241" s="1214" t="e">
        <f t="shared" ca="1" si="440"/>
        <v>#REF!</v>
      </c>
      <c r="O1241" s="1214" t="e">
        <f t="shared" ca="1" si="440"/>
        <v>#REF!</v>
      </c>
      <c r="P1241" s="1490"/>
    </row>
    <row r="1242" spans="2:16" ht="15">
      <c r="B1242" s="1300"/>
      <c r="C1242" s="1301" t="s">
        <v>1626</v>
      </c>
      <c r="D1242" s="1301" t="str">
        <f>INDEX(Vectors[Description], MATCH(IX.a.info[Vector], Vectors[Code], 0))</f>
        <v>Temperature related additional electricity demand</v>
      </c>
      <c r="E1242" s="1301" t="str">
        <f>Preferences.PowerUnits</f>
        <v>GW</v>
      </c>
      <c r="F1242" s="1214">
        <f>F1088</f>
        <v>0.64273136800000008</v>
      </c>
      <c r="G1242" s="1214">
        <f t="shared" ref="G1242:O1242" si="441">G1088</f>
        <v>0.52549377477999393</v>
      </c>
      <c r="H1242" s="1214">
        <f t="shared" si="441"/>
        <v>0.37838582813935667</v>
      </c>
      <c r="I1242" s="1214">
        <f t="shared" si="441"/>
        <v>0.54952071599798635</v>
      </c>
      <c r="J1242" s="1214">
        <f t="shared" si="441"/>
        <v>0.72567654054924491</v>
      </c>
      <c r="K1242" s="1214">
        <f t="shared" si="441"/>
        <v>0.89477309799187521</v>
      </c>
      <c r="L1242" s="1214">
        <f t="shared" si="441"/>
        <v>1.070173167593607</v>
      </c>
      <c r="M1242" s="1214">
        <f t="shared" si="441"/>
        <v>1.2462493796217025</v>
      </c>
      <c r="N1242" s="1214">
        <f t="shared" si="441"/>
        <v>1.4454127965075241</v>
      </c>
      <c r="O1242" s="1214">
        <f t="shared" si="441"/>
        <v>1.6607502901629119</v>
      </c>
      <c r="P1242" s="1490"/>
    </row>
    <row r="1243" spans="2:16" ht="15">
      <c r="B1243" s="1221"/>
      <c r="C1243" s="1492"/>
      <c r="D1243" s="1492"/>
      <c r="E1243" s="1492"/>
      <c r="F1243" s="1492"/>
      <c r="G1243" s="1492"/>
      <c r="H1243" s="1492"/>
      <c r="I1243" s="1492"/>
      <c r="J1243" s="1492"/>
      <c r="K1243" s="1492"/>
      <c r="L1243" s="1492"/>
      <c r="M1243" s="1492"/>
      <c r="N1243" s="1492"/>
      <c r="O1243" s="1492"/>
      <c r="P1243" s="1493"/>
    </row>
    <row r="1245" spans="2:16" ht="15.75" customHeight="1">
      <c r="B1245" s="1478" t="s">
        <v>1564</v>
      </c>
      <c r="C1245" s="1480"/>
      <c r="D1245" s="1480"/>
      <c r="E1245" s="1480"/>
      <c r="F1245" s="1480"/>
      <c r="G1245" s="1480"/>
      <c r="H1245" s="1480"/>
      <c r="I1245" s="1480"/>
      <c r="J1245" s="1480"/>
      <c r="K1245" s="1480"/>
      <c r="L1245" s="1480"/>
      <c r="M1245" s="1480"/>
      <c r="N1245" s="1480"/>
      <c r="O1245" s="1480"/>
      <c r="P1245" s="1481"/>
    </row>
    <row r="1246" spans="2:16" ht="5.25" customHeight="1">
      <c r="B1246" s="1487"/>
      <c r="C1246" s="1488"/>
      <c r="D1246" s="1488"/>
      <c r="E1246" s="1488"/>
      <c r="F1246" s="1488"/>
      <c r="G1246" s="1488"/>
      <c r="H1246" s="1488"/>
      <c r="I1246" s="1488"/>
      <c r="J1246" s="1488"/>
      <c r="K1246" s="1488"/>
      <c r="L1246" s="1488"/>
      <c r="M1246" s="1488"/>
      <c r="N1246" s="1488"/>
      <c r="O1246" s="1488"/>
      <c r="P1246" s="1490"/>
    </row>
    <row r="1247" spans="2:16">
      <c r="B1247" s="1487"/>
      <c r="C1247" s="1302" t="s">
        <v>1583</v>
      </c>
      <c r="D1247" s="1494"/>
      <c r="E1247" s="1494"/>
      <c r="F1247" s="1494"/>
      <c r="G1247" s="1494"/>
      <c r="H1247" s="1494"/>
      <c r="I1247" s="1494"/>
      <c r="J1247" s="1494"/>
      <c r="K1247" s="1494"/>
      <c r="L1247" s="1494"/>
      <c r="M1247" s="1494"/>
      <c r="N1247" s="1494"/>
      <c r="O1247" s="1494"/>
      <c r="P1247" s="1490"/>
    </row>
    <row r="1248" spans="2:16" ht="6" customHeight="1">
      <c r="B1248" s="1487"/>
      <c r="C1248" s="1488"/>
      <c r="D1248" s="1488"/>
      <c r="E1248" s="1488"/>
      <c r="F1248" s="1488"/>
      <c r="G1248" s="1488"/>
      <c r="H1248" s="1488"/>
      <c r="I1248" s="1488"/>
      <c r="J1248" s="1488"/>
      <c r="K1248" s="1488"/>
      <c r="L1248" s="1488"/>
      <c r="M1248" s="1488"/>
      <c r="N1248" s="1488"/>
      <c r="O1248" s="1488"/>
      <c r="P1248" s="1490"/>
    </row>
    <row r="1249" spans="2:16" ht="15">
      <c r="B1249" s="1300"/>
      <c r="C1249" s="1491" t="s">
        <v>72</v>
      </c>
      <c r="D1249" s="1491" t="s">
        <v>400</v>
      </c>
      <c r="E1249" s="1491" t="s">
        <v>422</v>
      </c>
      <c r="F1249" s="1491" t="s">
        <v>578</v>
      </c>
      <c r="G1249" s="1491" t="s">
        <v>579</v>
      </c>
      <c r="H1249" s="1491" t="s">
        <v>604</v>
      </c>
      <c r="I1249" s="1491" t="s">
        <v>605</v>
      </c>
      <c r="J1249" s="1491" t="s">
        <v>606</v>
      </c>
      <c r="K1249" s="1491" t="s">
        <v>607</v>
      </c>
      <c r="L1249" s="1491" t="s">
        <v>608</v>
      </c>
      <c r="M1249" s="1491" t="s">
        <v>609</v>
      </c>
      <c r="N1249" s="1491" t="s">
        <v>610</v>
      </c>
      <c r="O1249" s="1491" t="s">
        <v>611</v>
      </c>
      <c r="P1249" s="1495"/>
    </row>
    <row r="1250" spans="2:16" ht="15">
      <c r="B1250" s="1300"/>
      <c r="C1250" s="1301" t="s">
        <v>1532</v>
      </c>
      <c r="D1250" s="1301" t="str">
        <f>INDEX(CostVectors[Description], MATCH(C1250, CostVectors[Code], 0))</f>
        <v>High estimate of capital costs</v>
      </c>
      <c r="E1250" s="1301"/>
      <c r="F1250" s="1288"/>
      <c r="G1250" s="1214">
        <f t="shared" ref="G1250:O1250" si="442">G1099+G1120</f>
        <v>28998.497943863593</v>
      </c>
      <c r="H1250" s="1214">
        <f t="shared" si="442"/>
        <v>30214.843691429909</v>
      </c>
      <c r="I1250" s="1214">
        <f t="shared" si="442"/>
        <v>29010.52885647412</v>
      </c>
      <c r="J1250" s="1214">
        <f t="shared" si="442"/>
        <v>25519.326237493391</v>
      </c>
      <c r="K1250" s="1214">
        <f t="shared" si="442"/>
        <v>23939.42623749339</v>
      </c>
      <c r="L1250" s="1214">
        <f t="shared" si="442"/>
        <v>29075.520676696029</v>
      </c>
      <c r="M1250" s="1214">
        <f t="shared" si="442"/>
        <v>30385.281780794016</v>
      </c>
      <c r="N1250" s="1214">
        <f t="shared" si="442"/>
        <v>30619.718939677154</v>
      </c>
      <c r="O1250" s="1214">
        <f t="shared" si="442"/>
        <v>32066.510034266666</v>
      </c>
      <c r="P1250" s="1495"/>
    </row>
    <row r="1251" spans="2:16">
      <c r="B1251" s="1303"/>
      <c r="C1251" s="1678" t="s">
        <v>1779</v>
      </c>
      <c r="D1251" s="1301" t="str">
        <f>INDEX(CostVectors[Description], MATCH(C1251,CostVectors[Code], 0))</f>
        <v>Point estimate of capital costs</v>
      </c>
      <c r="E1251" s="1678"/>
      <c r="F1251" s="1679"/>
      <c r="G1251" s="1680">
        <f>G1108+G1121</f>
        <v>20554.977130326035</v>
      </c>
      <c r="H1251" s="1680">
        <f t="shared" ref="H1251:O1251" si="443">H1108+H1121</f>
        <v>21491.117237892351</v>
      </c>
      <c r="I1251" s="1680">
        <f t="shared" si="443"/>
        <v>21050.709496307198</v>
      </c>
      <c r="J1251" s="1680">
        <f t="shared" si="443"/>
        <v>19216.841820959849</v>
      </c>
      <c r="K1251" s="1680">
        <f t="shared" si="443"/>
        <v>17959.692820959852</v>
      </c>
      <c r="L1251" s="1680">
        <f t="shared" si="443"/>
        <v>22046.55653901109</v>
      </c>
      <c r="M1251" s="1680">
        <f t="shared" si="443"/>
        <v>23088.752160414777</v>
      </c>
      <c r="N1251" s="1680">
        <f t="shared" si="443"/>
        <v>23738.18031939552</v>
      </c>
      <c r="O1251" s="1680">
        <f t="shared" si="443"/>
        <v>24889.412661804603</v>
      </c>
      <c r="P1251" s="1494"/>
    </row>
    <row r="1252" spans="2:16">
      <c r="B1252" s="1303"/>
      <c r="C1252" s="1301" t="s">
        <v>1525</v>
      </c>
      <c r="D1252" s="1301" t="str">
        <f>INDEX(CostVectors[Description], MATCH(C1252,CostVectors[Code], 0))</f>
        <v>Low estimate of capital costs</v>
      </c>
      <c r="E1252" s="1301"/>
      <c r="F1252" s="1288"/>
      <c r="G1252" s="1214">
        <f t="shared" ref="G1252:O1252" si="444">G1117+G1122</f>
        <v>15993.041689427897</v>
      </c>
      <c r="H1252" s="1214">
        <f t="shared" si="444"/>
        <v>16877.441941655263</v>
      </c>
      <c r="I1252" s="1214">
        <f t="shared" si="444"/>
        <v>16545.435622306843</v>
      </c>
      <c r="J1252" s="1214">
        <f t="shared" si="444"/>
        <v>15511.722428052228</v>
      </c>
      <c r="K1252" s="1214">
        <f t="shared" si="444"/>
        <v>14428.362428052227</v>
      </c>
      <c r="L1252" s="1214">
        <f t="shared" si="444"/>
        <v>17950.255757791179</v>
      </c>
      <c r="M1252" s="1214">
        <f t="shared" si="444"/>
        <v>18848.377657744088</v>
      </c>
      <c r="N1252" s="1214">
        <f t="shared" si="444"/>
        <v>19537.523513821372</v>
      </c>
      <c r="O1252" s="1214">
        <f t="shared" si="444"/>
        <v>20529.608835825609</v>
      </c>
      <c r="P1252" s="1496"/>
    </row>
    <row r="1253" spans="2:16">
      <c r="B1253" s="1487"/>
      <c r="C1253" s="1488"/>
      <c r="D1253" s="1488"/>
      <c r="E1253" s="1488"/>
      <c r="F1253" s="1488"/>
      <c r="G1253" s="1488"/>
      <c r="H1253" s="1488"/>
      <c r="I1253" s="1488"/>
      <c r="J1253" s="1488"/>
      <c r="K1253" s="1488"/>
      <c r="L1253" s="1488"/>
      <c r="M1253" s="1488"/>
      <c r="N1253" s="1488"/>
      <c r="O1253" s="1488"/>
      <c r="P1253" s="1496"/>
    </row>
    <row r="1254" spans="2:16">
      <c r="B1254" s="1487"/>
      <c r="C1254" s="1302" t="s">
        <v>1710</v>
      </c>
      <c r="D1254" s="1494"/>
      <c r="E1254" s="1494"/>
      <c r="F1254" s="1494"/>
      <c r="G1254" s="1494"/>
      <c r="H1254" s="1494"/>
      <c r="I1254" s="1494"/>
      <c r="J1254" s="1494"/>
      <c r="K1254" s="1494"/>
      <c r="L1254" s="1494"/>
      <c r="M1254" s="1494"/>
      <c r="N1254" s="1494"/>
      <c r="O1254" s="1494"/>
      <c r="P1254" s="1490"/>
    </row>
    <row r="1255" spans="2:16" ht="8.25" customHeight="1">
      <c r="B1255" s="1300"/>
      <c r="C1255" s="1488"/>
      <c r="D1255" s="1488"/>
      <c r="E1255" s="1488"/>
      <c r="F1255" s="1488"/>
      <c r="G1255" s="1488"/>
      <c r="H1255" s="1488"/>
      <c r="I1255" s="1488"/>
      <c r="J1255" s="1488"/>
      <c r="K1255" s="1488"/>
      <c r="L1255" s="1488"/>
      <c r="M1255" s="1488"/>
      <c r="N1255" s="1488"/>
      <c r="O1255" s="1488"/>
      <c r="P1255" s="1495"/>
    </row>
    <row r="1256" spans="2:16" ht="15">
      <c r="B1256" s="1300"/>
      <c r="C1256" s="1491" t="s">
        <v>72</v>
      </c>
      <c r="D1256" s="1491" t="s">
        <v>400</v>
      </c>
      <c r="E1256" s="1491" t="s">
        <v>422</v>
      </c>
      <c r="F1256" s="1491" t="s">
        <v>578</v>
      </c>
      <c r="G1256" s="1491" t="s">
        <v>579</v>
      </c>
      <c r="H1256" s="1491" t="s">
        <v>604</v>
      </c>
      <c r="I1256" s="1491" t="s">
        <v>605</v>
      </c>
      <c r="J1256" s="1491" t="s">
        <v>606</v>
      </c>
      <c r="K1256" s="1491" t="s">
        <v>607</v>
      </c>
      <c r="L1256" s="1491" t="s">
        <v>608</v>
      </c>
      <c r="M1256" s="1491" t="s">
        <v>609</v>
      </c>
      <c r="N1256" s="1491" t="s">
        <v>610</v>
      </c>
      <c r="O1256" s="1491" t="s">
        <v>611</v>
      </c>
      <c r="P1256" s="1495"/>
    </row>
    <row r="1257" spans="2:16" ht="15">
      <c r="B1257" s="1300"/>
      <c r="C1257" s="1301" t="s">
        <v>1532</v>
      </c>
      <c r="D1257" s="1301" t="str">
        <f>INDEX(CostVectors[Description], MATCH(C1257, CostVectors[Code], 0))</f>
        <v>High estimate of capital costs</v>
      </c>
      <c r="E1257" s="1301"/>
      <c r="F1257" s="1214">
        <f t="shared" ref="F1257:O1257" si="445">F1127+F1142+F1150</f>
        <v>0</v>
      </c>
      <c r="G1257" s="1214">
        <f t="shared" si="445"/>
        <v>10814.627431891329</v>
      </c>
      <c r="H1257" s="1214">
        <f t="shared" si="445"/>
        <v>6807.8135979346498</v>
      </c>
      <c r="I1257" s="1214">
        <f t="shared" si="445"/>
        <v>15647.700612548349</v>
      </c>
      <c r="J1257" s="1214">
        <f t="shared" si="445"/>
        <v>17882.568497671778</v>
      </c>
      <c r="K1257" s="1214">
        <f t="shared" si="445"/>
        <v>21210.72730207958</v>
      </c>
      <c r="L1257" s="1214">
        <f t="shared" si="445"/>
        <v>25469.220241538904</v>
      </c>
      <c r="M1257" s="1214">
        <f t="shared" si="445"/>
        <v>29793.486270316389</v>
      </c>
      <c r="N1257" s="1214">
        <f t="shared" si="445"/>
        <v>35549.932298926913</v>
      </c>
      <c r="O1257" s="1214">
        <f t="shared" si="445"/>
        <v>42162.318136945869</v>
      </c>
      <c r="P1257" s="1495"/>
    </row>
    <row r="1258" spans="2:16">
      <c r="B1258" s="1303"/>
      <c r="C1258" s="1301" t="s">
        <v>1534</v>
      </c>
      <c r="D1258" s="1301" t="str">
        <f>INDEX(CostVectors[Description], MATCH(C1258, CostVectors[Code], 0))</f>
        <v>High estimate of operating costs</v>
      </c>
      <c r="E1258" s="1301"/>
      <c r="F1258" s="1214">
        <f t="shared" ref="F1258:O1258" si="446">F1128</f>
        <v>5354.3585599999988</v>
      </c>
      <c r="G1258" s="1214">
        <f t="shared" si="446"/>
        <v>5434.3774400000002</v>
      </c>
      <c r="H1258" s="1214">
        <f t="shared" si="446"/>
        <v>5600.1308904657362</v>
      </c>
      <c r="I1258" s="1214">
        <f t="shared" si="446"/>
        <v>5621.8652737867133</v>
      </c>
      <c r="J1258" s="1214">
        <f t="shared" si="446"/>
        <v>5596.0631921698359</v>
      </c>
      <c r="K1258" s="1214">
        <f t="shared" si="446"/>
        <v>5523.2952984959566</v>
      </c>
      <c r="L1258" s="1214">
        <f t="shared" si="446"/>
        <v>5483.4552646824841</v>
      </c>
      <c r="M1258" s="1214">
        <f t="shared" si="446"/>
        <v>5425.1789930117757</v>
      </c>
      <c r="N1258" s="1214">
        <f t="shared" si="446"/>
        <v>5346.6892814227258</v>
      </c>
      <c r="O1258" s="1214">
        <f t="shared" si="446"/>
        <v>5246.0755890775754</v>
      </c>
      <c r="P1258" s="1496"/>
    </row>
    <row r="1259" spans="2:16">
      <c r="B1259" s="1303"/>
      <c r="C1259" s="1678" t="s">
        <v>1779</v>
      </c>
      <c r="D1259" s="1301" t="str">
        <f>INDEX(CostVectors[Description], MATCH(C1259, CostVectors[Code], 0))</f>
        <v>Point estimate of capital costs</v>
      </c>
      <c r="E1259" s="1678"/>
      <c r="F1259" s="1214">
        <f>F1132+F1144+F1151</f>
        <v>0</v>
      </c>
      <c r="G1259" s="1214">
        <f>G1132+G1144+G1151</f>
        <v>9273.1839955564355</v>
      </c>
      <c r="H1259" s="1214">
        <f t="shared" ref="H1259:O1259" si="447">H1132+H1144+H1151</f>
        <v>5943.7802346040316</v>
      </c>
      <c r="I1259" s="1214">
        <f t="shared" si="447"/>
        <v>12042.411631726271</v>
      </c>
      <c r="J1259" s="1214">
        <f t="shared" si="447"/>
        <v>13514.506642767992</v>
      </c>
      <c r="K1259" s="1214">
        <f t="shared" si="447"/>
        <v>15474.695806103155</v>
      </c>
      <c r="L1259" s="1214">
        <f t="shared" si="447"/>
        <v>17920.299931679579</v>
      </c>
      <c r="M1259" s="1214">
        <f t="shared" si="447"/>
        <v>20184.673085788323</v>
      </c>
      <c r="N1259" s="1214">
        <f t="shared" si="447"/>
        <v>23360.608423648369</v>
      </c>
      <c r="O1259" s="1214">
        <f t="shared" si="447"/>
        <v>26925.221671959222</v>
      </c>
      <c r="P1259" s="1496"/>
    </row>
    <row r="1260" spans="2:16">
      <c r="B1260" s="1303"/>
      <c r="C1260" s="1678" t="s">
        <v>1781</v>
      </c>
      <c r="D1260" s="1301" t="str">
        <f>INDEX(CostVectors[Description], MATCH(C1260, CostVectors[Code], 0))</f>
        <v>Point estimate of operating costs</v>
      </c>
      <c r="E1260" s="1678"/>
      <c r="F1260" s="1214">
        <f>F1133</f>
        <v>4880.3832399999992</v>
      </c>
      <c r="G1260" s="1214">
        <f>G1133</f>
        <v>5015.4607599999999</v>
      </c>
      <c r="H1260" s="1214">
        <f t="shared" ref="H1260:O1260" si="448">H1133</f>
        <v>5261.6723587404285</v>
      </c>
      <c r="I1260" s="1214">
        <f t="shared" si="448"/>
        <v>5129.9962867045124</v>
      </c>
      <c r="J1260" s="1214">
        <f t="shared" si="448"/>
        <v>4939.1591570452447</v>
      </c>
      <c r="K1260" s="1214">
        <f t="shared" si="448"/>
        <v>4691.5220043412655</v>
      </c>
      <c r="L1260" s="1214">
        <f t="shared" si="448"/>
        <v>4454.2357807669268</v>
      </c>
      <c r="M1260" s="1214">
        <f t="shared" si="448"/>
        <v>4180.5341343532382</v>
      </c>
      <c r="N1260" s="1214">
        <f t="shared" si="448"/>
        <v>3867.3193847493167</v>
      </c>
      <c r="O1260" s="1214">
        <f t="shared" si="448"/>
        <v>3511.272579792796</v>
      </c>
      <c r="P1260" s="1496"/>
    </row>
    <row r="1261" spans="2:16">
      <c r="B1261" s="1303"/>
      <c r="C1261" s="1301" t="s">
        <v>1525</v>
      </c>
      <c r="D1261" s="1301" t="str">
        <f>INDEX(CostVectors[Description], MATCH(C1261, CostVectors[Code], 0))</f>
        <v>Low estimate of capital costs</v>
      </c>
      <c r="E1261" s="1301"/>
      <c r="F1261" s="1214">
        <f t="shared" ref="F1261" si="449">F1137+F1146+F1152</f>
        <v>0</v>
      </c>
      <c r="G1261" s="1214">
        <f t="shared" ref="G1261:O1261" si="450">G1137+G1146+G1152</f>
        <v>8443.1759913761089</v>
      </c>
      <c r="H1261" s="1214">
        <f t="shared" si="450"/>
        <v>5478.5315005029288</v>
      </c>
      <c r="I1261" s="1214">
        <f t="shared" si="450"/>
        <v>10101.102180514383</v>
      </c>
      <c r="J1261" s="1214">
        <f t="shared" si="450"/>
        <v>11162.473336281337</v>
      </c>
      <c r="K1261" s="1214">
        <f t="shared" si="450"/>
        <v>12386.063462115848</v>
      </c>
      <c r="L1261" s="1214">
        <f t="shared" si="450"/>
        <v>13855.49668790917</v>
      </c>
      <c r="M1261" s="1214">
        <f t="shared" si="450"/>
        <v>15010.696755657827</v>
      </c>
      <c r="N1261" s="1214">
        <f t="shared" si="450"/>
        <v>16797.126336959918</v>
      </c>
      <c r="O1261" s="1214">
        <f t="shared" si="450"/>
        <v>18720.631267735644</v>
      </c>
      <c r="P1261" s="1681"/>
    </row>
    <row r="1262" spans="2:16">
      <c r="B1262" s="1303"/>
      <c r="C1262" s="1301" t="s">
        <v>1527</v>
      </c>
      <c r="D1262" s="1301" t="str">
        <f>INDEX(CostVectors[Description], MATCH(C1262, CostVectors[Code], 0))</f>
        <v>Low estimate of operating costs</v>
      </c>
      <c r="E1262" s="1301"/>
      <c r="F1262" s="1214">
        <f>F1138</f>
        <v>4625.165759999999</v>
      </c>
      <c r="G1262" s="1214">
        <f t="shared" ref="G1262:O1262" si="451">G1138</f>
        <v>4789.8902399999997</v>
      </c>
      <c r="H1262" s="1214">
        <f t="shared" si="451"/>
        <v>5079.4254570421845</v>
      </c>
      <c r="I1262" s="1214">
        <f t="shared" si="451"/>
        <v>4865.1437551987119</v>
      </c>
      <c r="J1262" s="1214">
        <f t="shared" si="451"/>
        <v>4585.4415996704638</v>
      </c>
      <c r="K1262" s="1214">
        <f t="shared" si="451"/>
        <v>4243.6440767195081</v>
      </c>
      <c r="L1262" s="1214">
        <f t="shared" si="451"/>
        <v>3900.0406740431649</v>
      </c>
      <c r="M1262" s="1214">
        <f t="shared" si="451"/>
        <v>3510.3407489217179</v>
      </c>
      <c r="N1262" s="1214">
        <f t="shared" si="451"/>
        <v>3070.7355942328654</v>
      </c>
      <c r="O1262" s="1214">
        <f t="shared" si="451"/>
        <v>2577.1478824856067</v>
      </c>
      <c r="P1262" s="1681"/>
    </row>
    <row r="1263" spans="2:16">
      <c r="B1263" s="1494"/>
      <c r="C1263" s="1492"/>
      <c r="D1263" s="1492"/>
      <c r="E1263" s="1492"/>
      <c r="F1263" s="1492"/>
      <c r="G1263" s="1492"/>
      <c r="H1263" s="1492"/>
      <c r="I1263" s="1492"/>
      <c r="J1263" s="1492"/>
      <c r="K1263" s="1492"/>
      <c r="L1263" s="1492"/>
      <c r="M1263" s="1492"/>
      <c r="N1263" s="1492"/>
      <c r="O1263" s="1492"/>
      <c r="P1263" s="1488"/>
    </row>
  </sheetData>
  <hyperlinks>
    <hyperlink ref="E2" r:id="rId1"/>
  </hyperlinks>
  <pageMargins left="0.7" right="0.7" top="0.75" bottom="0.75" header="0.3" footer="0.3"/>
  <pageSetup paperSize="9" orientation="portrait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>
    <tabColor theme="6" tint="0.39997558519241921"/>
    <pageSetUpPr autoPageBreaks="0"/>
  </sheetPr>
  <dimension ref="A1:DH148"/>
  <sheetViews>
    <sheetView workbookViewId="0">
      <selection activeCell="G9" sqref="G9"/>
    </sheetView>
  </sheetViews>
  <sheetFormatPr baseColWidth="10" defaultColWidth="8.83203125" defaultRowHeight="13" outlineLevelRow="2" outlineLevelCol="2" x14ac:dyDescent="0"/>
  <cols>
    <col min="1" max="1" width="1.6640625" customWidth="1"/>
    <col min="2" max="2" width="1.5" style="115" customWidth="1"/>
    <col min="3" max="3" width="4.5" style="492" customWidth="1"/>
    <col min="4" max="4" width="3.83203125" style="493" customWidth="1"/>
    <col min="5" max="5" width="41.6640625" style="493" customWidth="1"/>
    <col min="6" max="6" width="1.1640625" customWidth="1" outlineLevel="1"/>
    <col min="7" max="10" width="10" style="493" customWidth="1" outlineLevel="2"/>
    <col min="11" max="11" width="10" style="507" customWidth="1" outlineLevel="2"/>
    <col min="12" max="16" width="10" style="493" customWidth="1" outlineLevel="2"/>
    <col min="17" max="17" width="10" style="493" customWidth="1" outlineLevel="1"/>
    <col min="18" max="18" width="1.1640625" customWidth="1" outlineLevel="1"/>
    <col min="19" max="19" width="11.6640625" style="493" customWidth="1" outlineLevel="2"/>
    <col min="20" max="36" width="10" style="493" customWidth="1" outlineLevel="2"/>
    <col min="37" max="37" width="10" style="493" customWidth="1" outlineLevel="1"/>
    <col min="38" max="38" width="1.1640625" customWidth="1" outlineLevel="1"/>
    <col min="39" max="57" width="10" style="493" customWidth="1" outlineLevel="2"/>
    <col min="58" max="58" width="10" style="493" customWidth="1" outlineLevel="1"/>
    <col min="59" max="59" width="1.1640625" customWidth="1" outlineLevel="1"/>
    <col min="60" max="61" width="10" style="493" customWidth="1" outlineLevel="2"/>
    <col min="62" max="62" width="10" style="493" customWidth="1" outlineLevel="1"/>
    <col min="63" max="63" width="1.1640625" customWidth="1" outlineLevel="1"/>
    <col min="64" max="64" width="11" style="493" customWidth="1" outlineLevel="1"/>
    <col min="65" max="65" width="5.33203125" style="493" customWidth="1"/>
    <col min="66" max="66" width="8.83203125" style="115"/>
    <col min="67" max="67" width="7.5" style="115" customWidth="1"/>
    <col min="68" max="110" width="7.5" customWidth="1"/>
    <col min="111" max="111" width="2.5" customWidth="1"/>
  </cols>
  <sheetData>
    <row r="1" spans="1:112" ht="6" customHeight="1"/>
    <row r="2" spans="1:112" ht="21" customHeight="1">
      <c r="D2" s="485"/>
      <c r="E2" s="612">
        <v>2007</v>
      </c>
      <c r="G2"/>
      <c r="H2"/>
      <c r="I2"/>
      <c r="J2"/>
      <c r="K2"/>
      <c r="L2"/>
      <c r="M2"/>
      <c r="N2" s="115"/>
      <c r="O2" s="115"/>
      <c r="P2"/>
      <c r="Q2"/>
      <c r="S2" s="1008"/>
      <c r="T2" s="1008"/>
      <c r="U2" s="1008"/>
      <c r="V2" s="1008"/>
      <c r="W2" s="1008"/>
      <c r="X2"/>
      <c r="Y2"/>
      <c r="Z2"/>
      <c r="AA2"/>
      <c r="AB2"/>
      <c r="AC2"/>
      <c r="AD2" s="115"/>
      <c r="AE2" s="115"/>
      <c r="AF2"/>
      <c r="AG2" s="115"/>
      <c r="AH2" s="115"/>
      <c r="AI2" s="115"/>
      <c r="AJ2"/>
      <c r="AK2"/>
      <c r="AM2" s="115"/>
      <c r="AN2" s="115"/>
      <c r="AO2" s="115"/>
      <c r="AP2"/>
      <c r="AQ2"/>
      <c r="AR2"/>
      <c r="AS2" s="115"/>
      <c r="AT2" s="115"/>
      <c r="AU2" s="115"/>
      <c r="AV2"/>
      <c r="AW2"/>
      <c r="AX2"/>
      <c r="AY2"/>
      <c r="AZ2"/>
      <c r="BA2"/>
      <c r="BB2"/>
      <c r="BC2"/>
      <c r="BD2" s="115"/>
      <c r="BE2"/>
      <c r="BF2"/>
      <c r="BH2"/>
      <c r="BI2"/>
      <c r="BJ2"/>
      <c r="BL2"/>
      <c r="BM2" s="512"/>
    </row>
    <row r="3" spans="1:112" ht="39" customHeight="1">
      <c r="A3" s="528"/>
      <c r="B3" s="528"/>
      <c r="C3" s="528"/>
      <c r="D3" s="486"/>
      <c r="E3" s="545" t="str">
        <f>Preferences.EnergyUnits</f>
        <v>TWh</v>
      </c>
      <c r="G3" s="641" t="s">
        <v>624</v>
      </c>
      <c r="H3" s="641"/>
      <c r="I3" s="641"/>
      <c r="J3" s="641"/>
      <c r="K3" s="641"/>
      <c r="L3" s="641"/>
      <c r="M3" s="641"/>
      <c r="N3" s="641"/>
      <c r="O3" s="641"/>
      <c r="P3" s="641"/>
      <c r="Q3" s="641"/>
      <c r="S3" s="743" t="s">
        <v>577</v>
      </c>
      <c r="T3" s="744"/>
      <c r="U3" s="744"/>
      <c r="V3" s="744"/>
      <c r="W3" s="744"/>
      <c r="X3" s="748"/>
      <c r="Y3" s="744"/>
      <c r="Z3" s="744"/>
      <c r="AA3" s="744"/>
      <c r="AB3" s="744"/>
      <c r="AC3" s="744"/>
      <c r="AD3" s="744"/>
      <c r="AE3" s="744"/>
      <c r="AF3" s="744"/>
      <c r="AG3" s="744"/>
      <c r="AH3" s="744"/>
      <c r="AI3" s="744"/>
      <c r="AJ3" s="744"/>
      <c r="AK3" s="747"/>
      <c r="AM3" s="745" t="s">
        <v>800</v>
      </c>
      <c r="AN3" s="746"/>
      <c r="AO3" s="746"/>
      <c r="AP3" s="749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50"/>
      <c r="BH3" s="671" t="s">
        <v>725</v>
      </c>
      <c r="BI3" s="650"/>
      <c r="BJ3" s="650"/>
      <c r="BL3" s="489"/>
      <c r="BM3" s="489"/>
      <c r="BN3" s="528"/>
      <c r="BO3" s="752" t="s">
        <v>804</v>
      </c>
      <c r="BP3" s="753"/>
      <c r="BQ3" s="753"/>
      <c r="BR3" s="753"/>
      <c r="BS3" s="753"/>
      <c r="BT3" s="753"/>
      <c r="BU3" s="753"/>
      <c r="BV3" s="753"/>
      <c r="BW3" s="753"/>
      <c r="BX3" s="753"/>
      <c r="BY3" s="753"/>
      <c r="BZ3" s="753"/>
      <c r="CA3" s="753"/>
      <c r="CB3" s="753"/>
      <c r="CC3" s="753"/>
      <c r="CD3" s="753"/>
      <c r="CE3" s="753"/>
      <c r="CF3" s="753"/>
      <c r="CG3" s="753"/>
      <c r="CH3" s="753"/>
      <c r="CI3" s="753"/>
      <c r="CJ3" s="753"/>
      <c r="CK3" s="753"/>
      <c r="CL3" s="753"/>
      <c r="CM3" s="753"/>
      <c r="CN3" s="753"/>
      <c r="CO3" s="753"/>
      <c r="CP3" s="753"/>
      <c r="CQ3" s="753"/>
      <c r="CR3" s="753"/>
      <c r="CS3" s="753"/>
      <c r="CT3" s="753"/>
      <c r="CU3" s="753"/>
      <c r="CV3" s="753"/>
      <c r="CW3" s="753"/>
      <c r="CX3" s="753"/>
      <c r="CY3" s="753"/>
      <c r="CZ3" s="753"/>
      <c r="DA3" s="753"/>
      <c r="DB3" s="753"/>
      <c r="DC3" s="791"/>
      <c r="DD3" s="791"/>
      <c r="DE3" s="791"/>
      <c r="DF3" s="791"/>
    </row>
    <row r="4" spans="1:112" ht="36.75" customHeight="1">
      <c r="C4" s="490"/>
      <c r="D4" s="490"/>
      <c r="G4" s="613" t="str">
        <f>INDEX(Vectors[Description], MATCH(G$5,Vectors[Code],FALSE))</f>
        <v>Heating &amp; cooling</v>
      </c>
      <c r="H4" s="613" t="str">
        <f>INDEX(Vectors[Description], MATCH(H$5,Vectors[Code],FALSE))</f>
        <v>Lighting &amp; appliances</v>
      </c>
      <c r="I4" s="613" t="str">
        <f>INDEX(Vectors[Description], MATCH(I$5,Vectors[Code],FALSE))</f>
        <v>Industry</v>
      </c>
      <c r="J4" s="613" t="str">
        <f>INDEX(Vectors[Description], MATCH(J$5,Vectors[Code],FALSE))</f>
        <v>Road transport</v>
      </c>
      <c r="K4" s="613" t="str">
        <f>INDEX(Vectors[Description], MATCH(K$5,Vectors[Code],FALSE))</f>
        <v>Rail transport</v>
      </c>
      <c r="L4" s="613" t="str">
        <f>INDEX(Vectors[Description], MATCH(L$5,Vectors[Code],FALSE))</f>
        <v>Domestic aviation</v>
      </c>
      <c r="M4" s="613" t="str">
        <f>INDEX(Vectors[Description], MATCH(M$5,Vectors[Code],FALSE))</f>
        <v>National navigation</v>
      </c>
      <c r="N4" s="613" t="str">
        <f>INDEX(Vectors[Description], MATCH(N$5,Vectors[Code],FALSE))</f>
        <v>International aviation</v>
      </c>
      <c r="O4" s="613" t="str">
        <f>INDEX(Vectors[Description], MATCH(O$5,Vectors[Code],FALSE))</f>
        <v>International shipping</v>
      </c>
      <c r="P4" s="613" t="str">
        <f>INDEX(Vectors[Description], MATCH(P$5,Vectors[Code],FALSE))</f>
        <v>Food consumption [UNUSED]</v>
      </c>
      <c r="Q4" s="630" t="s">
        <v>730</v>
      </c>
      <c r="S4" s="614" t="str">
        <f>INDEX(Vectors[Description], MATCH(S$5,Vectors[Code],FALSE))</f>
        <v>Electricity (delivered to end user)</v>
      </c>
      <c r="T4" s="614" t="str">
        <f>INDEX(Vectors[Description], MATCH(T$5,Vectors[Code],FALSE))</f>
        <v>Electricity (supplied to grid)</v>
      </c>
      <c r="U4" s="614" t="str">
        <f>INDEX(Vectors[Description], MATCH(U$5,Vectors[Code],FALSE))</f>
        <v>Solid hydrocarbons</v>
      </c>
      <c r="V4" s="614" t="str">
        <f>INDEX(Vectors[Description], MATCH(V$5,Vectors[Code],FALSE))</f>
        <v>Liquid hydrocarbons</v>
      </c>
      <c r="W4" s="614" t="str">
        <f>INDEX(Vectors[Description], MATCH(W$5,Vectors[Code],FALSE))</f>
        <v>Gaseous hydrocarbons</v>
      </c>
      <c r="X4" s="614" t="str">
        <f>INDEX(Vectors[Description], MATCH(X$5,Vectors[Code],FALSE))</f>
        <v>Coal and fossil waste</v>
      </c>
      <c r="Y4" s="614" t="str">
        <f>INDEX(Vectors[Description], MATCH(Y$5,Vectors[Code],FALSE))</f>
        <v>Oil and petroleum products</v>
      </c>
      <c r="Z4" s="614" t="str">
        <f>INDEX(Vectors[Description], MATCH(Z$5,Vectors[Code],FALSE))</f>
        <v>Natural gas</v>
      </c>
      <c r="AA4" s="614" t="str">
        <f>INDEX(Vectors[Description], MATCH(AA$5,Vectors[Code],FALSE))</f>
        <v>Blast furnace gas</v>
      </c>
      <c r="AB4" s="614" t="str">
        <f>INDEX(Vectors[Description], MATCH(AB$5,Vectors[Code],FALSE))</f>
        <v>Heat transport</v>
      </c>
      <c r="AC4" s="614" t="str">
        <f>INDEX(Vectors[Description], MATCH(AC$5,Vectors[Code],FALSE))</f>
        <v>Edible biomass</v>
      </c>
      <c r="AD4" s="614" t="str">
        <f>INDEX(Vectors[Description], MATCH(AD$5,Vectors[Code],FALSE))</f>
        <v>Energy crops (second generation)</v>
      </c>
      <c r="AE4" s="614" t="str">
        <f>INDEX(Vectors[Description], MATCH(AE$5,Vectors[Code],FALSE))</f>
        <v>Energy crops (first generation)</v>
      </c>
      <c r="AF4" s="614" t="str">
        <f>INDEX(Vectors[Description], MATCH(AF$5,Vectors[Code],FALSE))</f>
        <v>Dry biomass and waste</v>
      </c>
      <c r="AG4" s="614" t="str">
        <f>INDEX(Vectors[Description], MATCH(AG$5,Vectors[Code],FALSE))</f>
        <v>Wet biomass and waste</v>
      </c>
      <c r="AH4" s="614" t="str">
        <f>INDEX(Vectors[Description], MATCH(AH$5,Vectors[Code],FALSE))</f>
        <v>Gaseous waste</v>
      </c>
      <c r="AI4" s="614" t="str">
        <f>INDEX(Vectors[Description], MATCH(AI$5,Vectors[Code],FALSE))</f>
        <v>Domestic solar thermal</v>
      </c>
      <c r="AJ4" s="614" t="str">
        <f>INDEX(Vectors[Description], MATCH(AJ$5,Vectors[Code],FALSE))</f>
        <v>H2</v>
      </c>
      <c r="AK4" s="644" t="s">
        <v>575</v>
      </c>
      <c r="AM4" s="628" t="str">
        <f>INDEX(Vectors[Description], MATCH(AM$5,Vectors[Code],FALSE))</f>
        <v>Coal reserves</v>
      </c>
      <c r="AN4" s="628" t="str">
        <f>INDEX(Vectors[Description], MATCH(AN$5,Vectors[Code],FALSE))</f>
        <v>Oil reserves</v>
      </c>
      <c r="AO4" s="628" t="str">
        <f>INDEX(Vectors[Description], MATCH(AO$5,Vectors[Code],FALSE))</f>
        <v>Gas reserves</v>
      </c>
      <c r="AP4" s="628" t="str">
        <f>INDEX(Vectors[Description], MATCH(AP$5,Vectors[Code],FALSE))</f>
        <v>Biomass oversupply (imports)</v>
      </c>
      <c r="AQ4" s="628" t="str">
        <f>INDEX(Vectors[Description], MATCH(AQ$5,Vectors[Code],FALSE))</f>
        <v>Electricity oversupply (imports)</v>
      </c>
      <c r="AR4" s="628" t="str">
        <f>INDEX(Vectors[Description], MATCH(AR$5,Vectors[Code],FALSE))</f>
        <v>Petroleum products oversupply</v>
      </c>
      <c r="AS4" s="628" t="str">
        <f>INDEX(Vectors[Description], MATCH(AS$5,Vectors[Code],FALSE))</f>
        <v>Coal oversupply (imports)</v>
      </c>
      <c r="AT4" s="628" t="str">
        <f>INDEX(Vectors[Description], MATCH(AT$5,Vectors[Code],FALSE))</f>
        <v>Oil and petroleum products oversupply (imports)</v>
      </c>
      <c r="AU4" s="628" t="str">
        <f>INDEX(Vectors[Description], MATCH(AU$5,Vectors[Code],FALSE))</f>
        <v>Gas oversupply (imports)</v>
      </c>
      <c r="AV4" s="628" t="str">
        <f>INDEX(Vectors[Description], MATCH(AV$5,Vectors[Code],FALSE))</f>
        <v>Nuclear fission</v>
      </c>
      <c r="AW4" s="628" t="str">
        <f>INDEX(Vectors[Description], MATCH(AW$5,Vectors[Code],FALSE))</f>
        <v>Solar</v>
      </c>
      <c r="AX4" s="628" t="str">
        <f>INDEX(Vectors[Description], MATCH(AX$5,Vectors[Code],FALSE))</f>
        <v>Wind</v>
      </c>
      <c r="AY4" s="628" t="str">
        <f>INDEX(Vectors[Description], MATCH(AY$5,Vectors[Code],FALSE))</f>
        <v>Tidal</v>
      </c>
      <c r="AZ4" s="628" t="str">
        <f>INDEX(Vectors[Description], MATCH(AZ$5,Vectors[Code],FALSE))</f>
        <v>Wave</v>
      </c>
      <c r="BA4" s="628" t="str">
        <f>INDEX(Vectors[Description], MATCH(BA$5,Vectors[Code],FALSE))</f>
        <v>Geothermal</v>
      </c>
      <c r="BB4" s="628" t="str">
        <f>INDEX(Vectors[Description], MATCH(BB$5,Vectors[Code],FALSE))</f>
        <v>Hydro</v>
      </c>
      <c r="BC4" s="628" t="str">
        <f>INDEX(Vectors[Description], MATCH(BC$5,Vectors[Code],FALSE))</f>
        <v>Environmental heat</v>
      </c>
      <c r="BD4" s="628" t="str">
        <f>INDEX(Vectors[Description], MATCH(BD$5,Vectors[Code],FALSE))</f>
        <v>Agriculture</v>
      </c>
      <c r="BE4" s="628" t="str">
        <f>INDEX(Vectors[Description], MATCH(BE$5,Vectors[Code],FALSE))</f>
        <v>Waste</v>
      </c>
      <c r="BF4" s="646" t="s">
        <v>576</v>
      </c>
      <c r="BH4" s="633" t="str">
        <f>INDEX(Vectors[Description], MATCH(BH$5,Vectors[Code],FALSE))</f>
        <v>Conversion losses</v>
      </c>
      <c r="BI4" s="633" t="str">
        <f>INDEX(Vectors[Description], MATCH(BI$5,Vectors[Code],FALSE))</f>
        <v>Distribution losses and own use</v>
      </c>
      <c r="BJ4" s="648" t="s">
        <v>724</v>
      </c>
      <c r="BL4" s="491" t="str">
        <f>INDEX(Vectors[Description], MATCH(BL$5,Vectors[Code],FALSE))</f>
        <v>Unallocated</v>
      </c>
      <c r="BM4" s="491"/>
      <c r="BO4" s="757" t="str">
        <f>INDEX(IPCC[Sector_description], MATCH(BO$5, IPCC[Sector_code], 0))</f>
        <v>Fuel Combustion</v>
      </c>
      <c r="BP4" s="758"/>
      <c r="BQ4" s="758"/>
      <c r="BR4" s="759"/>
      <c r="BS4" s="757" t="str">
        <f>INDEX(IPCC[Sector_description], MATCH(BS$5, IPCC[Sector_code], 0))</f>
        <v>Fugitive Emissions from Fuels</v>
      </c>
      <c r="BT4" s="758"/>
      <c r="BU4" s="758"/>
      <c r="BV4" s="759"/>
      <c r="BW4" s="757" t="str">
        <f>INDEX(IPCC[Sector_description], MATCH(BW$5, IPCC[Sector_code], 0))</f>
        <v>Industrial Processes</v>
      </c>
      <c r="BX4" s="758"/>
      <c r="BY4" s="758"/>
      <c r="BZ4" s="759"/>
      <c r="CA4" s="757" t="str">
        <f>INDEX(IPCC[Sector_description], MATCH(CA$5, IPCC[Sector_code], 0))</f>
        <v>Solvent and Other Product Use</v>
      </c>
      <c r="CB4" s="758"/>
      <c r="CC4" s="758"/>
      <c r="CD4" s="759"/>
      <c r="CE4" s="757" t="str">
        <f>INDEX(IPCC[Sector_description], MATCH(CE$5, IPCC[Sector_code], 0))</f>
        <v>Agriculture</v>
      </c>
      <c r="CF4" s="758"/>
      <c r="CG4" s="758"/>
      <c r="CH4" s="759"/>
      <c r="CI4" s="757" t="str">
        <f>INDEX(IPCC[Sector_description], MATCH(CI$5, IPCC[Sector_code], 0))</f>
        <v>LULUCF</v>
      </c>
      <c r="CJ4" s="758"/>
      <c r="CK4" s="758"/>
      <c r="CL4" s="759"/>
      <c r="CM4" s="757" t="str">
        <f>INDEX(IPCC[Sector_description], MATCH(CM$5, IPCC[Sector_code], 0))</f>
        <v>Waste</v>
      </c>
      <c r="CN4" s="758"/>
      <c r="CO4" s="758"/>
      <c r="CP4" s="759"/>
      <c r="CQ4" s="757" t="str">
        <f>INDEX(IPCC[Sector_description], MATCH(CQ$5, IPCC[Sector_code], 0))</f>
        <v>Other</v>
      </c>
      <c r="CR4" s="758"/>
      <c r="CS4" s="758"/>
      <c r="CT4" s="759"/>
      <c r="CU4" s="757" t="str">
        <f>INDEX(IPCC[Sector_description], MATCH(CU$5, IPCC[Sector_code], 0))</f>
        <v>Int'l Aviation &amp; Shipping</v>
      </c>
      <c r="CV4" s="758"/>
      <c r="CW4" s="758"/>
      <c r="CX4" s="759"/>
      <c r="CY4" s="757" t="str">
        <f>INDEX(IPCC[Sector_description], MATCH(CY$5, IPCC[Sector_code], 0))</f>
        <v>Bioenergy credit</v>
      </c>
      <c r="CZ4" s="758"/>
      <c r="DA4" s="758"/>
      <c r="DB4" s="759"/>
      <c r="DC4" s="757" t="str">
        <f>INDEX(IPCC[Sector_description], MATCH(DC$5, IPCC[Sector_code], 0))</f>
        <v>Carbon capture</v>
      </c>
      <c r="DD4" s="758"/>
      <c r="DE4" s="758"/>
      <c r="DF4" s="759"/>
      <c r="DH4" s="942" t="s">
        <v>133</v>
      </c>
    </row>
    <row r="5" spans="1:112" ht="14">
      <c r="D5" s="599" t="s">
        <v>185</v>
      </c>
      <c r="G5" s="631" t="s">
        <v>6</v>
      </c>
      <c r="H5" s="631" t="s">
        <v>51</v>
      </c>
      <c r="I5" s="631" t="s">
        <v>13</v>
      </c>
      <c r="J5" s="631" t="s">
        <v>33</v>
      </c>
      <c r="K5" s="631" t="s">
        <v>34</v>
      </c>
      <c r="L5" s="631" t="s">
        <v>35</v>
      </c>
      <c r="M5" s="631" t="s">
        <v>36</v>
      </c>
      <c r="N5" s="631" t="s">
        <v>746</v>
      </c>
      <c r="O5" s="631" t="s">
        <v>747</v>
      </c>
      <c r="P5" s="631" t="s">
        <v>37</v>
      </c>
      <c r="Q5" s="631"/>
      <c r="S5" s="632" t="s">
        <v>40</v>
      </c>
      <c r="T5" s="632" t="s">
        <v>41</v>
      </c>
      <c r="U5" s="632" t="s">
        <v>42</v>
      </c>
      <c r="V5" s="632" t="s">
        <v>44</v>
      </c>
      <c r="W5" s="632" t="s">
        <v>45</v>
      </c>
      <c r="X5" s="632" t="s">
        <v>58</v>
      </c>
      <c r="Y5" s="632" t="s">
        <v>59</v>
      </c>
      <c r="Z5" s="632" t="s">
        <v>60</v>
      </c>
      <c r="AA5" s="632" t="s">
        <v>101</v>
      </c>
      <c r="AB5" s="632" t="s">
        <v>625</v>
      </c>
      <c r="AC5" s="632" t="s">
        <v>626</v>
      </c>
      <c r="AD5" s="632" t="s">
        <v>1087</v>
      </c>
      <c r="AE5" s="632" t="s">
        <v>1178</v>
      </c>
      <c r="AF5" s="632" t="s">
        <v>627</v>
      </c>
      <c r="AG5" s="632" t="s">
        <v>721</v>
      </c>
      <c r="AH5" s="632" t="s">
        <v>1181</v>
      </c>
      <c r="AI5" s="632" t="s">
        <v>960</v>
      </c>
      <c r="AJ5" s="632" t="s">
        <v>988</v>
      </c>
      <c r="AK5" s="632"/>
      <c r="AM5" s="629" t="s">
        <v>761</v>
      </c>
      <c r="AN5" s="629" t="s">
        <v>762</v>
      </c>
      <c r="AO5" s="629" t="s">
        <v>763</v>
      </c>
      <c r="AP5" s="629" t="s">
        <v>53</v>
      </c>
      <c r="AQ5" s="629" t="s">
        <v>54</v>
      </c>
      <c r="AR5" s="629" t="s">
        <v>636</v>
      </c>
      <c r="AS5" s="629" t="s">
        <v>757</v>
      </c>
      <c r="AT5" s="629" t="s">
        <v>758</v>
      </c>
      <c r="AU5" s="629" t="s">
        <v>759</v>
      </c>
      <c r="AV5" s="629" t="s">
        <v>7</v>
      </c>
      <c r="AW5" s="629" t="s">
        <v>30</v>
      </c>
      <c r="AX5" s="629" t="s">
        <v>8</v>
      </c>
      <c r="AY5" s="629" t="s">
        <v>9</v>
      </c>
      <c r="AZ5" s="629" t="s">
        <v>10</v>
      </c>
      <c r="BA5" s="629" t="s">
        <v>11</v>
      </c>
      <c r="BB5" s="629" t="s">
        <v>12</v>
      </c>
      <c r="BC5" s="629" t="s">
        <v>98</v>
      </c>
      <c r="BD5" s="629" t="s">
        <v>775</v>
      </c>
      <c r="BE5" s="629" t="s">
        <v>49</v>
      </c>
      <c r="BF5" s="629"/>
      <c r="BH5" s="634" t="s">
        <v>31</v>
      </c>
      <c r="BI5" s="634" t="s">
        <v>32</v>
      </c>
      <c r="BJ5" s="634"/>
      <c r="BL5" s="488" t="s">
        <v>55</v>
      </c>
      <c r="BM5" s="488"/>
      <c r="BO5" s="760" t="s">
        <v>802</v>
      </c>
      <c r="BP5" s="761" t="s">
        <v>802</v>
      </c>
      <c r="BQ5" s="761" t="s">
        <v>802</v>
      </c>
      <c r="BR5" s="762" t="s">
        <v>802</v>
      </c>
      <c r="BS5" s="760" t="s">
        <v>801</v>
      </c>
      <c r="BT5" s="761" t="s">
        <v>801</v>
      </c>
      <c r="BU5" s="761" t="s">
        <v>801</v>
      </c>
      <c r="BV5" s="762" t="s">
        <v>801</v>
      </c>
      <c r="BW5" s="760">
        <v>2</v>
      </c>
      <c r="BX5" s="761">
        <v>2</v>
      </c>
      <c r="BY5" s="761">
        <v>2</v>
      </c>
      <c r="BZ5" s="762">
        <v>2</v>
      </c>
      <c r="CA5" s="760">
        <v>3</v>
      </c>
      <c r="CB5" s="761">
        <v>3</v>
      </c>
      <c r="CC5" s="761">
        <v>3</v>
      </c>
      <c r="CD5" s="762">
        <v>3</v>
      </c>
      <c r="CE5" s="760">
        <v>4</v>
      </c>
      <c r="CF5" s="761">
        <v>4</v>
      </c>
      <c r="CG5" s="761">
        <v>4</v>
      </c>
      <c r="CH5" s="762">
        <v>4</v>
      </c>
      <c r="CI5" s="760">
        <v>5</v>
      </c>
      <c r="CJ5" s="761">
        <v>5</v>
      </c>
      <c r="CK5" s="761">
        <v>5</v>
      </c>
      <c r="CL5" s="762">
        <v>5</v>
      </c>
      <c r="CM5" s="760">
        <v>6</v>
      </c>
      <c r="CN5" s="761">
        <v>6</v>
      </c>
      <c r="CO5" s="761">
        <v>6</v>
      </c>
      <c r="CP5" s="762">
        <v>6</v>
      </c>
      <c r="CQ5" s="760">
        <v>7</v>
      </c>
      <c r="CR5" s="761">
        <v>7</v>
      </c>
      <c r="CS5" s="761">
        <v>7</v>
      </c>
      <c r="CT5" s="762">
        <v>7</v>
      </c>
      <c r="CU5" s="760" t="s">
        <v>787</v>
      </c>
      <c r="CV5" s="761" t="s">
        <v>787</v>
      </c>
      <c r="CW5" s="761" t="s">
        <v>787</v>
      </c>
      <c r="CX5" s="762" t="s">
        <v>787</v>
      </c>
      <c r="CY5" s="760" t="s">
        <v>788</v>
      </c>
      <c r="CZ5" s="761" t="s">
        <v>788</v>
      </c>
      <c r="DA5" s="761" t="s">
        <v>788</v>
      </c>
      <c r="DB5" s="762" t="s">
        <v>788</v>
      </c>
      <c r="DC5" s="760" t="s">
        <v>812</v>
      </c>
      <c r="DD5" s="761" t="s">
        <v>812</v>
      </c>
      <c r="DE5" s="761" t="s">
        <v>812</v>
      </c>
      <c r="DF5" s="762" t="s">
        <v>812</v>
      </c>
    </row>
    <row r="6" spans="1:112" ht="15.75" customHeight="1">
      <c r="G6" s="602"/>
      <c r="H6" s="602"/>
      <c r="I6" s="602"/>
      <c r="J6" s="602"/>
      <c r="K6" s="603"/>
      <c r="L6" s="602"/>
      <c r="M6" s="602"/>
      <c r="N6" s="602"/>
      <c r="O6" s="602"/>
      <c r="P6" s="602"/>
      <c r="Q6" s="602"/>
      <c r="S6" s="615"/>
      <c r="T6" s="615"/>
      <c r="U6" s="615"/>
      <c r="V6" s="615"/>
      <c r="W6" s="615"/>
      <c r="X6" s="615"/>
      <c r="Y6" s="615"/>
      <c r="Z6" s="615"/>
      <c r="AA6" s="615"/>
      <c r="AB6" s="615"/>
      <c r="AC6" s="615"/>
      <c r="AD6" s="615"/>
      <c r="AE6" s="615"/>
      <c r="AF6" s="615"/>
      <c r="AG6" s="615"/>
      <c r="AH6" s="615"/>
      <c r="AI6" s="615"/>
      <c r="AJ6" s="615"/>
      <c r="AK6" s="615"/>
      <c r="AM6" s="621"/>
      <c r="AN6" s="621"/>
      <c r="AO6" s="621"/>
      <c r="AP6" s="621"/>
      <c r="AQ6" s="621"/>
      <c r="AR6" s="621"/>
      <c r="AS6" s="621"/>
      <c r="AT6" s="621"/>
      <c r="AU6" s="621"/>
      <c r="AV6" s="621"/>
      <c r="AW6" s="621"/>
      <c r="AX6" s="621"/>
      <c r="AY6" s="621"/>
      <c r="AZ6" s="621"/>
      <c r="BA6" s="621"/>
      <c r="BB6" s="621"/>
      <c r="BC6" s="621"/>
      <c r="BD6" s="621"/>
      <c r="BE6" s="621"/>
      <c r="BF6" s="621"/>
      <c r="BH6" s="635"/>
      <c r="BI6" s="635"/>
      <c r="BJ6" s="635"/>
      <c r="BL6" s="494"/>
      <c r="BM6" s="494"/>
      <c r="BO6" s="754" t="s">
        <v>792</v>
      </c>
      <c r="BP6" s="754" t="s">
        <v>793</v>
      </c>
      <c r="BQ6" s="754" t="s">
        <v>794</v>
      </c>
      <c r="BR6" s="754" t="s">
        <v>795</v>
      </c>
      <c r="BS6" s="754" t="s">
        <v>792</v>
      </c>
      <c r="BT6" s="754" t="s">
        <v>793</v>
      </c>
      <c r="BU6" s="754" t="s">
        <v>794</v>
      </c>
      <c r="BV6" s="754" t="s">
        <v>795</v>
      </c>
      <c r="BW6" s="754" t="s">
        <v>792</v>
      </c>
      <c r="BX6" s="754" t="s">
        <v>793</v>
      </c>
      <c r="BY6" s="754" t="s">
        <v>794</v>
      </c>
      <c r="BZ6" s="754" t="s">
        <v>795</v>
      </c>
      <c r="CA6" s="754" t="s">
        <v>792</v>
      </c>
      <c r="CB6" s="754" t="s">
        <v>793</v>
      </c>
      <c r="CC6" s="754" t="s">
        <v>794</v>
      </c>
      <c r="CD6" s="754" t="s">
        <v>795</v>
      </c>
      <c r="CE6" s="754" t="s">
        <v>792</v>
      </c>
      <c r="CF6" s="754" t="s">
        <v>793</v>
      </c>
      <c r="CG6" s="754" t="s">
        <v>794</v>
      </c>
      <c r="CH6" s="754" t="s">
        <v>795</v>
      </c>
      <c r="CI6" s="754" t="s">
        <v>792</v>
      </c>
      <c r="CJ6" s="754" t="s">
        <v>793</v>
      </c>
      <c r="CK6" s="754" t="s">
        <v>794</v>
      </c>
      <c r="CL6" s="754" t="s">
        <v>795</v>
      </c>
      <c r="CM6" s="754" t="s">
        <v>792</v>
      </c>
      <c r="CN6" s="754" t="s">
        <v>793</v>
      </c>
      <c r="CO6" s="754" t="s">
        <v>794</v>
      </c>
      <c r="CP6" s="754" t="s">
        <v>795</v>
      </c>
      <c r="CQ6" s="754" t="s">
        <v>792</v>
      </c>
      <c r="CR6" s="754" t="s">
        <v>793</v>
      </c>
      <c r="CS6" s="754" t="s">
        <v>794</v>
      </c>
      <c r="CT6" s="754" t="s">
        <v>795</v>
      </c>
      <c r="CU6" s="754" t="s">
        <v>792</v>
      </c>
      <c r="CV6" s="754" t="s">
        <v>793</v>
      </c>
      <c r="CW6" s="754" t="s">
        <v>794</v>
      </c>
      <c r="CX6" s="754" t="s">
        <v>795</v>
      </c>
      <c r="CY6" s="754" t="s">
        <v>792</v>
      </c>
      <c r="CZ6" s="754" t="s">
        <v>793</v>
      </c>
      <c r="DA6" s="754" t="s">
        <v>794</v>
      </c>
      <c r="DB6" s="754" t="s">
        <v>795</v>
      </c>
      <c r="DC6" s="754" t="s">
        <v>792</v>
      </c>
      <c r="DD6" s="754" t="s">
        <v>793</v>
      </c>
      <c r="DE6" s="754" t="s">
        <v>794</v>
      </c>
      <c r="DF6" s="754" t="s">
        <v>795</v>
      </c>
    </row>
    <row r="7" spans="1:112" ht="18" customHeight="1">
      <c r="C7" s="487" t="s">
        <v>526</v>
      </c>
      <c r="D7" s="487"/>
      <c r="E7" s="509"/>
      <c r="G7" s="604"/>
      <c r="H7" s="604"/>
      <c r="I7" s="604"/>
      <c r="J7" s="604"/>
      <c r="K7" s="604"/>
      <c r="L7" s="604"/>
      <c r="M7" s="604"/>
      <c r="N7" s="604"/>
      <c r="O7" s="604"/>
      <c r="P7" s="604"/>
      <c r="Q7" s="604"/>
      <c r="S7" s="616"/>
      <c r="T7" s="616"/>
      <c r="U7" s="616"/>
      <c r="V7" s="616"/>
      <c r="W7" s="616"/>
      <c r="X7" s="616"/>
      <c r="Y7" s="616"/>
      <c r="Z7" s="616"/>
      <c r="AA7" s="616"/>
      <c r="AB7" s="616"/>
      <c r="AC7" s="616"/>
      <c r="AD7" s="616"/>
      <c r="AE7" s="616"/>
      <c r="AF7" s="616"/>
      <c r="AG7" s="616"/>
      <c r="AH7" s="616"/>
      <c r="AI7" s="616"/>
      <c r="AJ7" s="616"/>
      <c r="AK7" s="616"/>
      <c r="AM7" s="622"/>
      <c r="AN7" s="622"/>
      <c r="AO7" s="622"/>
      <c r="AP7" s="622"/>
      <c r="AQ7" s="622"/>
      <c r="AR7" s="622"/>
      <c r="AS7" s="622"/>
      <c r="AT7" s="622"/>
      <c r="AU7" s="622"/>
      <c r="AV7" s="622"/>
      <c r="AW7" s="622"/>
      <c r="AX7" s="622"/>
      <c r="AY7" s="622"/>
      <c r="AZ7" s="622"/>
      <c r="BA7" s="622"/>
      <c r="BB7" s="622"/>
      <c r="BC7" s="622"/>
      <c r="BD7" s="622"/>
      <c r="BE7" s="622"/>
      <c r="BF7" s="622"/>
      <c r="BH7" s="636"/>
      <c r="BI7" s="636"/>
      <c r="BJ7" s="636"/>
      <c r="BL7" s="496"/>
      <c r="BM7" s="496"/>
      <c r="BO7" s="755"/>
      <c r="BP7" s="755"/>
      <c r="BQ7" s="755"/>
      <c r="BR7" s="755"/>
      <c r="BS7" s="755"/>
      <c r="BT7" s="755"/>
      <c r="BU7" s="755"/>
      <c r="BV7" s="755"/>
      <c r="BW7" s="755"/>
      <c r="BX7" s="755"/>
      <c r="BY7" s="755"/>
      <c r="BZ7" s="755"/>
      <c r="CA7" s="755"/>
      <c r="CB7" s="755"/>
      <c r="CC7" s="755"/>
      <c r="CD7" s="755"/>
      <c r="CE7" s="755"/>
      <c r="CF7" s="755"/>
      <c r="CG7" s="755"/>
      <c r="CH7" s="755"/>
      <c r="CI7" s="755"/>
      <c r="CJ7" s="755"/>
      <c r="CK7" s="755"/>
      <c r="CL7" s="755"/>
      <c r="CM7" s="755"/>
      <c r="CN7" s="755"/>
      <c r="CO7" s="755"/>
      <c r="CP7" s="755"/>
      <c r="CQ7" s="755"/>
      <c r="CR7" s="755"/>
      <c r="CS7" s="755"/>
      <c r="CT7" s="755"/>
      <c r="CU7" s="755"/>
      <c r="CV7" s="755"/>
      <c r="CW7" s="755"/>
      <c r="CX7" s="755"/>
      <c r="CY7" s="755"/>
      <c r="CZ7" s="755"/>
      <c r="DA7" s="755"/>
      <c r="DB7" s="755"/>
      <c r="DC7" s="755"/>
      <c r="DD7" s="755"/>
      <c r="DE7" s="755"/>
      <c r="DF7" s="755"/>
    </row>
    <row r="8" spans="1:112" ht="6" customHeight="1" outlineLevel="1">
      <c r="G8" s="605"/>
      <c r="H8" s="605"/>
      <c r="I8" s="605"/>
      <c r="J8" s="605"/>
      <c r="K8" s="606"/>
      <c r="L8" s="605"/>
      <c r="M8" s="605"/>
      <c r="N8" s="605"/>
      <c r="O8" s="605"/>
      <c r="P8" s="605"/>
      <c r="Q8" s="605"/>
      <c r="S8" s="617"/>
      <c r="T8" s="617"/>
      <c r="U8" s="617"/>
      <c r="V8" s="617"/>
      <c r="W8" s="617"/>
      <c r="X8" s="617"/>
      <c r="Y8" s="617"/>
      <c r="Z8" s="617"/>
      <c r="AA8" s="617"/>
      <c r="AB8" s="617"/>
      <c r="AC8" s="617"/>
      <c r="AD8" s="617"/>
      <c r="AE8" s="617"/>
      <c r="AF8" s="617"/>
      <c r="AG8" s="617"/>
      <c r="AH8" s="617"/>
      <c r="AI8" s="617"/>
      <c r="AJ8" s="617"/>
      <c r="AK8" s="617"/>
      <c r="AM8" s="623"/>
      <c r="AN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  <c r="BD8" s="623"/>
      <c r="BE8" s="623"/>
      <c r="BF8" s="623"/>
      <c r="BH8" s="637"/>
      <c r="BI8" s="637"/>
      <c r="BJ8" s="637"/>
      <c r="BL8" s="497"/>
      <c r="BM8" s="497"/>
      <c r="BO8" s="756"/>
      <c r="BP8" s="756"/>
      <c r="BQ8" s="756"/>
      <c r="BR8" s="756"/>
      <c r="BS8" s="756"/>
      <c r="BT8" s="756"/>
      <c r="BU8" s="756"/>
      <c r="BV8" s="756"/>
      <c r="BW8" s="756"/>
      <c r="BX8" s="756"/>
      <c r="BY8" s="756"/>
      <c r="BZ8" s="756"/>
      <c r="CA8" s="756"/>
      <c r="CB8" s="756"/>
      <c r="CC8" s="756"/>
      <c r="CD8" s="756"/>
      <c r="CE8" s="756"/>
      <c r="CF8" s="756"/>
      <c r="CG8" s="756"/>
      <c r="CH8" s="756"/>
      <c r="CI8" s="756"/>
      <c r="CJ8" s="756"/>
      <c r="CK8" s="756"/>
      <c r="CL8" s="756"/>
      <c r="CM8" s="756"/>
      <c r="CN8" s="756"/>
      <c r="CO8" s="756"/>
      <c r="CP8" s="756"/>
      <c r="CQ8" s="756"/>
      <c r="CR8" s="756"/>
      <c r="CS8" s="756"/>
      <c r="CT8" s="756"/>
      <c r="CU8" s="756"/>
      <c r="CV8" s="756"/>
      <c r="CW8" s="756"/>
      <c r="CX8" s="756"/>
      <c r="CY8" s="756"/>
      <c r="CZ8" s="756"/>
      <c r="DA8" s="756"/>
      <c r="DB8" s="756"/>
      <c r="DC8" s="756"/>
      <c r="DD8" s="756"/>
      <c r="DE8" s="756"/>
      <c r="DF8" s="756"/>
    </row>
    <row r="9" spans="1:112" s="522" customFormat="1" ht="10.5" customHeight="1" outlineLevel="2">
      <c r="A9" s="943"/>
      <c r="B9" s="943"/>
      <c r="C9" s="524" t="s">
        <v>653</v>
      </c>
      <c r="D9" s="943" t="str">
        <f>INDEX(Modules[Module], MATCH($C9, Modules[Code], 0))</f>
        <v>Domestic space heating and hot water</v>
      </c>
      <c r="E9" s="503"/>
      <c r="G9" s="663">
        <f ca="1">IFERROR(INDEX(INDIRECT($C9&amp;".Outputs["&amp;this.Year&amp;"]"), MATCH(G$5, INDIRECT($C9&amp;".Outputs[Vector]"), 0)), 0)</f>
        <v>382.53018590696547</v>
      </c>
      <c r="H9" s="663">
        <f t="shared" ref="G9:P13" ca="1" si="0">IFERROR(INDEX(INDIRECT($C9&amp;".Outputs["&amp;this.Year&amp;"]"), MATCH(H$5, INDIRECT($C9&amp;".Outputs[Vector]"), 0)), 0)</f>
        <v>0</v>
      </c>
      <c r="I9" s="663">
        <f t="shared" ca="1" si="0"/>
        <v>0</v>
      </c>
      <c r="J9" s="663">
        <f t="shared" ca="1" si="0"/>
        <v>0</v>
      </c>
      <c r="K9" s="663">
        <f t="shared" ca="1" si="0"/>
        <v>0</v>
      </c>
      <c r="L9" s="663">
        <f t="shared" ca="1" si="0"/>
        <v>0</v>
      </c>
      <c r="M9" s="663">
        <f t="shared" ca="1" si="0"/>
        <v>0</v>
      </c>
      <c r="N9" s="663">
        <f t="shared" ca="1" si="0"/>
        <v>0</v>
      </c>
      <c r="O9" s="663">
        <f t="shared" ca="1" si="0"/>
        <v>0</v>
      </c>
      <c r="P9" s="663">
        <f t="shared" ca="1" si="0"/>
        <v>0</v>
      </c>
      <c r="Q9" s="665">
        <f t="shared" ref="Q9:Q15" ca="1" si="1">SUM(G9:P9)</f>
        <v>382.53018590696547</v>
      </c>
      <c r="S9" s="672">
        <f t="shared" ref="S9:BE13" ca="1" si="2">IFERROR(INDEX(INDIRECT($C9&amp;".Outputs["&amp;this.Year&amp;"]"), MATCH(S$5, INDIRECT($C9&amp;".Outputs[Vector]"), 0)), 0)</f>
        <v>-31.008546529888466</v>
      </c>
      <c r="T9" s="672">
        <f t="shared" ca="1" si="2"/>
        <v>0</v>
      </c>
      <c r="U9" s="672">
        <f t="shared" ca="1" si="2"/>
        <v>-14.256803002247571</v>
      </c>
      <c r="V9" s="672">
        <f t="shared" ca="1" si="2"/>
        <v>-12.787029496861225</v>
      </c>
      <c r="W9" s="672">
        <f t="shared" ca="1" si="2"/>
        <v>-324.47780687796825</v>
      </c>
      <c r="X9" s="672">
        <f t="shared" ref="X9:Z10" ca="1" si="3">IFERROR(INDEX(INDIRECT($C9&amp;".Outputs["&amp;this.Year&amp;"]"), MATCH(X$5, INDIRECT($C9&amp;".Outputs[Vector]"), 0)), 0)</f>
        <v>0</v>
      </c>
      <c r="Y9" s="672">
        <f t="shared" ca="1" si="3"/>
        <v>0</v>
      </c>
      <c r="Z9" s="672">
        <f t="shared" ca="1" si="3"/>
        <v>0</v>
      </c>
      <c r="AA9" s="672">
        <f t="shared" ca="1" si="2"/>
        <v>0</v>
      </c>
      <c r="AB9" s="672">
        <f t="shared" ca="1" si="2"/>
        <v>0</v>
      </c>
      <c r="AC9" s="672">
        <f t="shared" ca="1" si="2"/>
        <v>0</v>
      </c>
      <c r="AD9" s="672">
        <f t="shared" ca="1" si="2"/>
        <v>0</v>
      </c>
      <c r="AE9" s="672">
        <f t="shared" ca="1" si="2"/>
        <v>0</v>
      </c>
      <c r="AF9" s="672">
        <f t="shared" ca="1" si="2"/>
        <v>0</v>
      </c>
      <c r="AG9" s="672">
        <f t="shared" ca="1" si="2"/>
        <v>0</v>
      </c>
      <c r="AH9" s="672">
        <f t="shared" ca="1" si="2"/>
        <v>0</v>
      </c>
      <c r="AI9" s="672">
        <f t="shared" ca="1" si="2"/>
        <v>0</v>
      </c>
      <c r="AJ9" s="672">
        <f t="shared" ca="1" si="2"/>
        <v>0</v>
      </c>
      <c r="AK9" s="673">
        <f t="shared" ref="AK9:AK15" ca="1" si="4">SUM(S9:AJ9)</f>
        <v>-382.53018590696553</v>
      </c>
      <c r="AM9" s="684">
        <f t="shared" ref="AM9:AU10" ca="1" si="5">IFERROR(INDEX(INDIRECT($C9&amp;".Outputs["&amp;this.Year&amp;"]"), MATCH(AM$5, INDIRECT($C9&amp;".Outputs[Vector]"), 0)), 0)</f>
        <v>0</v>
      </c>
      <c r="AN9" s="684">
        <f t="shared" ca="1" si="5"/>
        <v>0</v>
      </c>
      <c r="AO9" s="684">
        <f t="shared" ca="1" si="5"/>
        <v>0</v>
      </c>
      <c r="AP9" s="684">
        <f t="shared" ca="1" si="5"/>
        <v>0</v>
      </c>
      <c r="AQ9" s="684">
        <f t="shared" ca="1" si="5"/>
        <v>0</v>
      </c>
      <c r="AR9" s="684">
        <f t="shared" ca="1" si="5"/>
        <v>0</v>
      </c>
      <c r="AS9" s="684">
        <f t="shared" ca="1" si="5"/>
        <v>0</v>
      </c>
      <c r="AT9" s="684">
        <f t="shared" ca="1" si="5"/>
        <v>0</v>
      </c>
      <c r="AU9" s="684">
        <f t="shared" ca="1" si="5"/>
        <v>0</v>
      </c>
      <c r="AV9" s="684">
        <f t="shared" ca="1" si="2"/>
        <v>0</v>
      </c>
      <c r="AW9" s="684">
        <f t="shared" ca="1" si="2"/>
        <v>0</v>
      </c>
      <c r="AX9" s="684">
        <f t="shared" ca="1" si="2"/>
        <v>0</v>
      </c>
      <c r="AY9" s="684">
        <f t="shared" ca="1" si="2"/>
        <v>0</v>
      </c>
      <c r="AZ9" s="684">
        <f t="shared" ca="1" si="2"/>
        <v>0</v>
      </c>
      <c r="BA9" s="684">
        <f t="shared" ca="1" si="2"/>
        <v>0</v>
      </c>
      <c r="BB9" s="684">
        <f t="shared" ca="1" si="2"/>
        <v>0</v>
      </c>
      <c r="BC9" s="684">
        <f t="shared" ca="1" si="2"/>
        <v>0</v>
      </c>
      <c r="BD9" s="684">
        <f t="shared" ca="1" si="2"/>
        <v>0</v>
      </c>
      <c r="BE9" s="684">
        <f t="shared" ca="1" si="2"/>
        <v>0</v>
      </c>
      <c r="BF9" s="624">
        <f t="shared" ref="BF9:BF15" ca="1" si="6">SUM(AM9:BE9)</f>
        <v>0</v>
      </c>
      <c r="BH9" s="678">
        <f t="shared" ref="BH9:BI13" ca="1" si="7">IFERROR(INDEX(INDIRECT($C9&amp;".Outputs["&amp;this.Year&amp;"]"), MATCH(BH$5, INDIRECT($C9&amp;".Outputs[Vector]"), 0)), 0)</f>
        <v>0</v>
      </c>
      <c r="BI9" s="678">
        <f t="shared" ca="1" si="7"/>
        <v>0</v>
      </c>
      <c r="BJ9" s="680">
        <f t="shared" ref="BJ9:BJ15" ca="1" si="8">SUM(BH9:BI9)</f>
        <v>0</v>
      </c>
      <c r="BL9" s="506">
        <f t="shared" ref="BL9:BL44" ca="1" si="9">Q9+AK9+BF9+BJ9</f>
        <v>-5.6843418860808015E-14</v>
      </c>
      <c r="BM9" s="506"/>
      <c r="BN9" s="555"/>
      <c r="BO9" s="944">
        <f t="shared" ref="BO9:BX10" ca="1" si="10">IFERROR(SUMIFS(INDIRECT($C9&amp;".Emissions["&amp;this.Year&amp;"]"), INDIRECT($C9&amp;".Emissions[GHG]"), BO$6, INDIRECT($C9&amp;".Emissions[IPCC Sector]"), BO$5),0)</f>
        <v>67.291769164453711</v>
      </c>
      <c r="BP9" s="945">
        <f t="shared" ca="1" si="10"/>
        <v>0.13655504882378258</v>
      </c>
      <c r="BQ9" s="945">
        <f t="shared" ca="1" si="10"/>
        <v>0.22513176941521534</v>
      </c>
      <c r="BR9" s="945">
        <f t="shared" ca="1" si="10"/>
        <v>0</v>
      </c>
      <c r="BS9" s="945">
        <f t="shared" ca="1" si="10"/>
        <v>0</v>
      </c>
      <c r="BT9" s="945">
        <f t="shared" ca="1" si="10"/>
        <v>0</v>
      </c>
      <c r="BU9" s="945">
        <f t="shared" ca="1" si="10"/>
        <v>0</v>
      </c>
      <c r="BV9" s="945">
        <f t="shared" ca="1" si="10"/>
        <v>0</v>
      </c>
      <c r="BW9" s="945">
        <f t="shared" ca="1" si="10"/>
        <v>0</v>
      </c>
      <c r="BX9" s="945">
        <f t="shared" ca="1" si="10"/>
        <v>0</v>
      </c>
      <c r="BY9" s="945">
        <f t="shared" ref="BY9:CH10" ca="1" si="11">IFERROR(SUMIFS(INDIRECT($C9&amp;".Emissions["&amp;this.Year&amp;"]"), INDIRECT($C9&amp;".Emissions[GHG]"), BY$6, INDIRECT($C9&amp;".Emissions[IPCC Sector]"), BY$5),0)</f>
        <v>0</v>
      </c>
      <c r="BZ9" s="945">
        <f t="shared" ca="1" si="11"/>
        <v>0</v>
      </c>
      <c r="CA9" s="945">
        <f t="shared" ca="1" si="11"/>
        <v>0</v>
      </c>
      <c r="CB9" s="945">
        <f t="shared" ca="1" si="11"/>
        <v>0</v>
      </c>
      <c r="CC9" s="945">
        <f t="shared" ca="1" si="11"/>
        <v>0</v>
      </c>
      <c r="CD9" s="945">
        <f t="shared" ca="1" si="11"/>
        <v>0</v>
      </c>
      <c r="CE9" s="945">
        <f t="shared" ca="1" si="11"/>
        <v>0</v>
      </c>
      <c r="CF9" s="945">
        <f t="shared" ca="1" si="11"/>
        <v>0</v>
      </c>
      <c r="CG9" s="945">
        <f t="shared" ca="1" si="11"/>
        <v>0</v>
      </c>
      <c r="CH9" s="945">
        <f t="shared" ca="1" si="11"/>
        <v>0</v>
      </c>
      <c r="CI9" s="945">
        <f t="shared" ref="CI9:CR10" ca="1" si="12">IFERROR(SUMIFS(INDIRECT($C9&amp;".Emissions["&amp;this.Year&amp;"]"), INDIRECT($C9&amp;".Emissions[GHG]"), CI$6, INDIRECT($C9&amp;".Emissions[IPCC Sector]"), CI$5),0)</f>
        <v>0</v>
      </c>
      <c r="CJ9" s="945">
        <f t="shared" ca="1" si="12"/>
        <v>0</v>
      </c>
      <c r="CK9" s="945">
        <f t="shared" ca="1" si="12"/>
        <v>0</v>
      </c>
      <c r="CL9" s="945">
        <f t="shared" ca="1" si="12"/>
        <v>0</v>
      </c>
      <c r="CM9" s="945">
        <f t="shared" ca="1" si="12"/>
        <v>0</v>
      </c>
      <c r="CN9" s="945">
        <f t="shared" ca="1" si="12"/>
        <v>0</v>
      </c>
      <c r="CO9" s="945">
        <f t="shared" ca="1" si="12"/>
        <v>0</v>
      </c>
      <c r="CP9" s="945">
        <f t="shared" ca="1" si="12"/>
        <v>0</v>
      </c>
      <c r="CQ9" s="945">
        <f t="shared" ca="1" si="12"/>
        <v>0</v>
      </c>
      <c r="CR9" s="945">
        <f t="shared" ca="1" si="12"/>
        <v>0</v>
      </c>
      <c r="CS9" s="945">
        <f t="shared" ref="CS9:DF10" ca="1" si="13">IFERROR(SUMIFS(INDIRECT($C9&amp;".Emissions["&amp;this.Year&amp;"]"), INDIRECT($C9&amp;".Emissions[GHG]"), CS$6, INDIRECT($C9&amp;".Emissions[IPCC Sector]"), CS$5),0)</f>
        <v>0</v>
      </c>
      <c r="CT9" s="945">
        <f t="shared" ca="1" si="13"/>
        <v>0</v>
      </c>
      <c r="CU9" s="945">
        <f t="shared" ca="1" si="13"/>
        <v>0</v>
      </c>
      <c r="CV9" s="945">
        <f t="shared" ca="1" si="13"/>
        <v>0</v>
      </c>
      <c r="CW9" s="945">
        <f t="shared" ca="1" si="13"/>
        <v>0</v>
      </c>
      <c r="CX9" s="945">
        <f t="shared" ca="1" si="13"/>
        <v>0</v>
      </c>
      <c r="CY9" s="945">
        <f t="shared" ca="1" si="13"/>
        <v>0</v>
      </c>
      <c r="CZ9" s="945">
        <f t="shared" ca="1" si="13"/>
        <v>0</v>
      </c>
      <c r="DA9" s="945">
        <f t="shared" ca="1" si="13"/>
        <v>0</v>
      </c>
      <c r="DB9" s="945">
        <f t="shared" ca="1" si="13"/>
        <v>0</v>
      </c>
      <c r="DC9" s="945">
        <f t="shared" ca="1" si="13"/>
        <v>0</v>
      </c>
      <c r="DD9" s="945">
        <f t="shared" ca="1" si="13"/>
        <v>0</v>
      </c>
      <c r="DE9" s="945">
        <f t="shared" ca="1" si="13"/>
        <v>0</v>
      </c>
      <c r="DF9" s="945">
        <f t="shared" ca="1" si="13"/>
        <v>0</v>
      </c>
      <c r="DH9" s="553"/>
    </row>
    <row r="10" spans="1:112" s="522" customFormat="1" ht="10.5" customHeight="1" outlineLevel="2">
      <c r="A10" s="946"/>
      <c r="B10" s="946"/>
      <c r="C10" s="655" t="s">
        <v>698</v>
      </c>
      <c r="D10" s="946" t="str">
        <f>INDEX(Modules[Module], MATCH($C10, Modules[Code], 0))</f>
        <v>Domestic hot water [UNUSED - See IX.a]</v>
      </c>
      <c r="E10" s="652"/>
      <c r="G10" s="664">
        <f t="shared" ca="1" si="0"/>
        <v>0</v>
      </c>
      <c r="H10" s="664">
        <f t="shared" ca="1" si="0"/>
        <v>0</v>
      </c>
      <c r="I10" s="664">
        <f t="shared" ca="1" si="0"/>
        <v>0</v>
      </c>
      <c r="J10" s="664">
        <f t="shared" ca="1" si="0"/>
        <v>0</v>
      </c>
      <c r="K10" s="664">
        <f t="shared" ca="1" si="0"/>
        <v>0</v>
      </c>
      <c r="L10" s="664">
        <f t="shared" ca="1" si="0"/>
        <v>0</v>
      </c>
      <c r="M10" s="664">
        <f t="shared" ca="1" si="0"/>
        <v>0</v>
      </c>
      <c r="N10" s="664">
        <f t="shared" ca="1" si="0"/>
        <v>0</v>
      </c>
      <c r="O10" s="664">
        <f t="shared" ca="1" si="0"/>
        <v>0</v>
      </c>
      <c r="P10" s="664">
        <f t="shared" ca="1" si="0"/>
        <v>0</v>
      </c>
      <c r="Q10" s="670">
        <f t="shared" ca="1" si="1"/>
        <v>0</v>
      </c>
      <c r="S10" s="674">
        <f t="shared" ca="1" si="2"/>
        <v>0</v>
      </c>
      <c r="T10" s="674">
        <f t="shared" ca="1" si="2"/>
        <v>0</v>
      </c>
      <c r="U10" s="674">
        <f t="shared" ca="1" si="2"/>
        <v>0</v>
      </c>
      <c r="V10" s="674">
        <f t="shared" ca="1" si="2"/>
        <v>0</v>
      </c>
      <c r="W10" s="674">
        <f t="shared" ca="1" si="2"/>
        <v>0</v>
      </c>
      <c r="X10" s="674">
        <f t="shared" ca="1" si="3"/>
        <v>0</v>
      </c>
      <c r="Y10" s="674">
        <f t="shared" ca="1" si="3"/>
        <v>0</v>
      </c>
      <c r="Z10" s="674">
        <f t="shared" ca="1" si="3"/>
        <v>0</v>
      </c>
      <c r="AA10" s="674">
        <f t="shared" ca="1" si="2"/>
        <v>0</v>
      </c>
      <c r="AB10" s="674">
        <f t="shared" ca="1" si="2"/>
        <v>0</v>
      </c>
      <c r="AC10" s="674">
        <f t="shared" ca="1" si="2"/>
        <v>0</v>
      </c>
      <c r="AD10" s="674">
        <f t="shared" ca="1" si="2"/>
        <v>0</v>
      </c>
      <c r="AE10" s="674">
        <f t="shared" ca="1" si="2"/>
        <v>0</v>
      </c>
      <c r="AF10" s="674">
        <f t="shared" ca="1" si="2"/>
        <v>0</v>
      </c>
      <c r="AG10" s="674">
        <f t="shared" ca="1" si="2"/>
        <v>0</v>
      </c>
      <c r="AH10" s="674">
        <f t="shared" ca="1" si="2"/>
        <v>0</v>
      </c>
      <c r="AI10" s="674">
        <f t="shared" ca="1" si="2"/>
        <v>0</v>
      </c>
      <c r="AJ10" s="674">
        <f t="shared" ca="1" si="2"/>
        <v>0</v>
      </c>
      <c r="AK10" s="675">
        <f t="shared" ca="1" si="4"/>
        <v>0</v>
      </c>
      <c r="AM10" s="685">
        <f t="shared" ca="1" si="5"/>
        <v>0</v>
      </c>
      <c r="AN10" s="685">
        <f t="shared" ca="1" si="5"/>
        <v>0</v>
      </c>
      <c r="AO10" s="685">
        <f t="shared" ca="1" si="5"/>
        <v>0</v>
      </c>
      <c r="AP10" s="685">
        <f t="shared" ca="1" si="5"/>
        <v>0</v>
      </c>
      <c r="AQ10" s="685">
        <f t="shared" ca="1" si="5"/>
        <v>0</v>
      </c>
      <c r="AR10" s="685">
        <f t="shared" ca="1" si="5"/>
        <v>0</v>
      </c>
      <c r="AS10" s="685">
        <f t="shared" ca="1" si="5"/>
        <v>0</v>
      </c>
      <c r="AT10" s="685">
        <f t="shared" ca="1" si="5"/>
        <v>0</v>
      </c>
      <c r="AU10" s="685">
        <f t="shared" ca="1" si="5"/>
        <v>0</v>
      </c>
      <c r="AV10" s="685">
        <f t="shared" ca="1" si="2"/>
        <v>0</v>
      </c>
      <c r="AW10" s="685">
        <f t="shared" ca="1" si="2"/>
        <v>0</v>
      </c>
      <c r="AX10" s="685">
        <f t="shared" ca="1" si="2"/>
        <v>0</v>
      </c>
      <c r="AY10" s="685">
        <f t="shared" ca="1" si="2"/>
        <v>0</v>
      </c>
      <c r="AZ10" s="685">
        <f t="shared" ca="1" si="2"/>
        <v>0</v>
      </c>
      <c r="BA10" s="685">
        <f t="shared" ca="1" si="2"/>
        <v>0</v>
      </c>
      <c r="BB10" s="685">
        <f t="shared" ca="1" si="2"/>
        <v>0</v>
      </c>
      <c r="BC10" s="685">
        <f t="shared" ca="1" si="2"/>
        <v>0</v>
      </c>
      <c r="BD10" s="685">
        <f t="shared" ca="1" si="2"/>
        <v>0</v>
      </c>
      <c r="BE10" s="685">
        <f t="shared" ca="1" si="2"/>
        <v>0</v>
      </c>
      <c r="BF10" s="654">
        <f t="shared" ca="1" si="6"/>
        <v>0</v>
      </c>
      <c r="BH10" s="679">
        <f t="shared" ca="1" si="7"/>
        <v>0</v>
      </c>
      <c r="BI10" s="679">
        <f t="shared" ca="1" si="7"/>
        <v>0</v>
      </c>
      <c r="BJ10" s="690">
        <f t="shared" ca="1" si="8"/>
        <v>0</v>
      </c>
      <c r="BL10" s="653">
        <f t="shared" ca="1" si="9"/>
        <v>0</v>
      </c>
      <c r="BM10" s="653"/>
      <c r="BN10" s="555"/>
      <c r="BO10" s="944">
        <f t="shared" ca="1" si="10"/>
        <v>0</v>
      </c>
      <c r="BP10" s="945">
        <f t="shared" ca="1" si="10"/>
        <v>0</v>
      </c>
      <c r="BQ10" s="945">
        <f t="shared" ca="1" si="10"/>
        <v>0</v>
      </c>
      <c r="BR10" s="945">
        <f t="shared" ca="1" si="10"/>
        <v>0</v>
      </c>
      <c r="BS10" s="945">
        <f t="shared" ca="1" si="10"/>
        <v>0</v>
      </c>
      <c r="BT10" s="945">
        <f t="shared" ca="1" si="10"/>
        <v>0</v>
      </c>
      <c r="BU10" s="945">
        <f t="shared" ca="1" si="10"/>
        <v>0</v>
      </c>
      <c r="BV10" s="945">
        <f t="shared" ca="1" si="10"/>
        <v>0</v>
      </c>
      <c r="BW10" s="945">
        <f t="shared" ca="1" si="10"/>
        <v>0</v>
      </c>
      <c r="BX10" s="945">
        <f t="shared" ca="1" si="10"/>
        <v>0</v>
      </c>
      <c r="BY10" s="945">
        <f t="shared" ca="1" si="11"/>
        <v>0</v>
      </c>
      <c r="BZ10" s="945">
        <f t="shared" ca="1" si="11"/>
        <v>0</v>
      </c>
      <c r="CA10" s="945">
        <f t="shared" ca="1" si="11"/>
        <v>0</v>
      </c>
      <c r="CB10" s="945">
        <f t="shared" ca="1" si="11"/>
        <v>0</v>
      </c>
      <c r="CC10" s="945">
        <f t="shared" ca="1" si="11"/>
        <v>0</v>
      </c>
      <c r="CD10" s="945">
        <f t="shared" ca="1" si="11"/>
        <v>0</v>
      </c>
      <c r="CE10" s="945">
        <f t="shared" ca="1" si="11"/>
        <v>0</v>
      </c>
      <c r="CF10" s="945">
        <f t="shared" ca="1" si="11"/>
        <v>0</v>
      </c>
      <c r="CG10" s="945">
        <f t="shared" ca="1" si="11"/>
        <v>0</v>
      </c>
      <c r="CH10" s="945">
        <f t="shared" ca="1" si="11"/>
        <v>0</v>
      </c>
      <c r="CI10" s="945">
        <f t="shared" ca="1" si="12"/>
        <v>0</v>
      </c>
      <c r="CJ10" s="945">
        <f t="shared" ca="1" si="12"/>
        <v>0</v>
      </c>
      <c r="CK10" s="945">
        <f t="shared" ca="1" si="12"/>
        <v>0</v>
      </c>
      <c r="CL10" s="945">
        <f t="shared" ca="1" si="12"/>
        <v>0</v>
      </c>
      <c r="CM10" s="945">
        <f t="shared" ca="1" si="12"/>
        <v>0</v>
      </c>
      <c r="CN10" s="945">
        <f t="shared" ca="1" si="12"/>
        <v>0</v>
      </c>
      <c r="CO10" s="945">
        <f t="shared" ca="1" si="12"/>
        <v>0</v>
      </c>
      <c r="CP10" s="945">
        <f t="shared" ca="1" si="12"/>
        <v>0</v>
      </c>
      <c r="CQ10" s="945">
        <f t="shared" ca="1" si="12"/>
        <v>0</v>
      </c>
      <c r="CR10" s="945">
        <f t="shared" ca="1" si="12"/>
        <v>0</v>
      </c>
      <c r="CS10" s="945">
        <f t="shared" ca="1" si="13"/>
        <v>0</v>
      </c>
      <c r="CT10" s="945">
        <f t="shared" ca="1" si="13"/>
        <v>0</v>
      </c>
      <c r="CU10" s="945">
        <f t="shared" ca="1" si="13"/>
        <v>0</v>
      </c>
      <c r="CV10" s="945">
        <f t="shared" ca="1" si="13"/>
        <v>0</v>
      </c>
      <c r="CW10" s="945">
        <f t="shared" ca="1" si="13"/>
        <v>0</v>
      </c>
      <c r="CX10" s="945">
        <f t="shared" ca="1" si="13"/>
        <v>0</v>
      </c>
      <c r="CY10" s="945">
        <f t="shared" ca="1" si="13"/>
        <v>0</v>
      </c>
      <c r="CZ10" s="945">
        <f t="shared" ca="1" si="13"/>
        <v>0</v>
      </c>
      <c r="DA10" s="945">
        <f t="shared" ca="1" si="13"/>
        <v>0</v>
      </c>
      <c r="DB10" s="945">
        <f t="shared" ca="1" si="13"/>
        <v>0</v>
      </c>
      <c r="DC10" s="945">
        <f t="shared" ca="1" si="13"/>
        <v>0</v>
      </c>
      <c r="DD10" s="945">
        <f t="shared" ca="1" si="13"/>
        <v>0</v>
      </c>
      <c r="DE10" s="945">
        <f t="shared" ca="1" si="13"/>
        <v>0</v>
      </c>
      <c r="DF10" s="945">
        <f t="shared" ca="1" si="13"/>
        <v>0</v>
      </c>
      <c r="DH10" s="553"/>
    </row>
    <row r="11" spans="1:112" s="522" customFormat="1" ht="12.75" customHeight="1" outlineLevel="1">
      <c r="A11" s="947"/>
      <c r="B11" s="947"/>
      <c r="C11" s="524"/>
      <c r="D11" s="947" t="s">
        <v>728</v>
      </c>
      <c r="E11" s="503"/>
      <c r="G11" s="665">
        <f ca="1">SUM(G9:G10)</f>
        <v>382.53018590696547</v>
      </c>
      <c r="H11" s="665">
        <f t="shared" ref="H11:P11" ca="1" si="14">SUM(H9:H10)</f>
        <v>0</v>
      </c>
      <c r="I11" s="665">
        <f t="shared" ca="1" si="14"/>
        <v>0</v>
      </c>
      <c r="J11" s="665">
        <f t="shared" ca="1" si="14"/>
        <v>0</v>
      </c>
      <c r="K11" s="665">
        <f t="shared" ca="1" si="14"/>
        <v>0</v>
      </c>
      <c r="L11" s="665">
        <f t="shared" ca="1" si="14"/>
        <v>0</v>
      </c>
      <c r="M11" s="665">
        <f t="shared" ca="1" si="14"/>
        <v>0</v>
      </c>
      <c r="N11" s="665">
        <f ca="1">SUM(N9:N10)</f>
        <v>0</v>
      </c>
      <c r="O11" s="665">
        <f ca="1">SUM(O9:O10)</f>
        <v>0</v>
      </c>
      <c r="P11" s="665">
        <f t="shared" ca="1" si="14"/>
        <v>0</v>
      </c>
      <c r="Q11" s="665">
        <f t="shared" ca="1" si="1"/>
        <v>382.53018590696547</v>
      </c>
      <c r="S11" s="673">
        <f ca="1">SUM(S9:S10)</f>
        <v>-31.008546529888466</v>
      </c>
      <c r="T11" s="673">
        <f t="shared" ref="T11:AJ11" ca="1" si="15">SUM(T9:T10)</f>
        <v>0</v>
      </c>
      <c r="U11" s="673">
        <f t="shared" ca="1" si="15"/>
        <v>-14.256803002247571</v>
      </c>
      <c r="V11" s="673">
        <f t="shared" ca="1" si="15"/>
        <v>-12.787029496861225</v>
      </c>
      <c r="W11" s="673">
        <f t="shared" ca="1" si="15"/>
        <v>-324.47780687796825</v>
      </c>
      <c r="X11" s="673">
        <f ca="1">SUM(X9:X10)</f>
        <v>0</v>
      </c>
      <c r="Y11" s="673">
        <f ca="1">SUM(Y9:Y10)</f>
        <v>0</v>
      </c>
      <c r="Z11" s="673">
        <f ca="1">SUM(Z9:Z10)</f>
        <v>0</v>
      </c>
      <c r="AA11" s="673">
        <f t="shared" ca="1" si="15"/>
        <v>0</v>
      </c>
      <c r="AB11" s="673">
        <f t="shared" ca="1" si="15"/>
        <v>0</v>
      </c>
      <c r="AC11" s="673">
        <f t="shared" ca="1" si="15"/>
        <v>0</v>
      </c>
      <c r="AD11" s="673">
        <f ca="1">SUM(AD9:AD10)</f>
        <v>0</v>
      </c>
      <c r="AE11" s="673">
        <f ca="1">SUM(AE9:AE10)</f>
        <v>0</v>
      </c>
      <c r="AF11" s="673">
        <f t="shared" ca="1" si="15"/>
        <v>0</v>
      </c>
      <c r="AG11" s="673">
        <f ca="1">SUM(AG9:AG10)</f>
        <v>0</v>
      </c>
      <c r="AH11" s="673">
        <f ca="1">SUM(AH9:AH10)</f>
        <v>0</v>
      </c>
      <c r="AI11" s="673">
        <f ca="1">SUM(AI9:AI10)</f>
        <v>0</v>
      </c>
      <c r="AJ11" s="673">
        <f t="shared" ca="1" si="15"/>
        <v>0</v>
      </c>
      <c r="AK11" s="673">
        <f t="shared" ca="1" si="4"/>
        <v>-382.53018590696553</v>
      </c>
      <c r="AM11" s="686">
        <f t="shared" ref="AM11:AU11" ca="1" si="16">SUM(AM9:AM10)</f>
        <v>0</v>
      </c>
      <c r="AN11" s="686">
        <f t="shared" ca="1" si="16"/>
        <v>0</v>
      </c>
      <c r="AO11" s="686">
        <f t="shared" ca="1" si="16"/>
        <v>0</v>
      </c>
      <c r="AP11" s="686">
        <f t="shared" ca="1" si="16"/>
        <v>0</v>
      </c>
      <c r="AQ11" s="686">
        <f t="shared" ca="1" si="16"/>
        <v>0</v>
      </c>
      <c r="AR11" s="686">
        <f t="shared" ca="1" si="16"/>
        <v>0</v>
      </c>
      <c r="AS11" s="686">
        <f t="shared" ca="1" si="16"/>
        <v>0</v>
      </c>
      <c r="AT11" s="686">
        <f t="shared" ca="1" si="16"/>
        <v>0</v>
      </c>
      <c r="AU11" s="686">
        <f t="shared" ca="1" si="16"/>
        <v>0</v>
      </c>
      <c r="AV11" s="686">
        <f t="shared" ref="AV11:BE11" ca="1" si="17">SUM(AV9:AV10)</f>
        <v>0</v>
      </c>
      <c r="AW11" s="686">
        <f t="shared" ca="1" si="17"/>
        <v>0</v>
      </c>
      <c r="AX11" s="686">
        <f t="shared" ca="1" si="17"/>
        <v>0</v>
      </c>
      <c r="AY11" s="686">
        <f t="shared" ca="1" si="17"/>
        <v>0</v>
      </c>
      <c r="AZ11" s="686">
        <f t="shared" ca="1" si="17"/>
        <v>0</v>
      </c>
      <c r="BA11" s="686">
        <f t="shared" ca="1" si="17"/>
        <v>0</v>
      </c>
      <c r="BB11" s="686">
        <f t="shared" ca="1" si="17"/>
        <v>0</v>
      </c>
      <c r="BC11" s="686">
        <f t="shared" ca="1" si="17"/>
        <v>0</v>
      </c>
      <c r="BD11" s="686">
        <f ca="1">SUM(BD9:BD10)</f>
        <v>0</v>
      </c>
      <c r="BE11" s="686">
        <f t="shared" ca="1" si="17"/>
        <v>0</v>
      </c>
      <c r="BF11" s="626">
        <f t="shared" ca="1" si="6"/>
        <v>0</v>
      </c>
      <c r="BH11" s="680">
        <f ca="1">SUM(BH9:BH10)</f>
        <v>0</v>
      </c>
      <c r="BI11" s="680">
        <f ca="1">SUM(BI9:BI10)</f>
        <v>0</v>
      </c>
      <c r="BJ11" s="680">
        <f t="shared" ca="1" si="8"/>
        <v>0</v>
      </c>
      <c r="BL11" s="547">
        <f t="shared" ca="1" si="9"/>
        <v>-5.6843418860808015E-14</v>
      </c>
      <c r="BM11" s="547"/>
      <c r="BN11" s="555"/>
      <c r="BO11" s="944">
        <f t="shared" ref="BO11:DF11" ca="1" si="18">SUM(BO9:BO10)</f>
        <v>67.291769164453711</v>
      </c>
      <c r="BP11" s="945">
        <f t="shared" ca="1" si="18"/>
        <v>0.13655504882378258</v>
      </c>
      <c r="BQ11" s="945">
        <f t="shared" ca="1" si="18"/>
        <v>0.22513176941521534</v>
      </c>
      <c r="BR11" s="945">
        <f t="shared" ca="1" si="18"/>
        <v>0</v>
      </c>
      <c r="BS11" s="945">
        <f t="shared" ca="1" si="18"/>
        <v>0</v>
      </c>
      <c r="BT11" s="945">
        <f t="shared" ca="1" si="18"/>
        <v>0</v>
      </c>
      <c r="BU11" s="945">
        <f t="shared" ca="1" si="18"/>
        <v>0</v>
      </c>
      <c r="BV11" s="945">
        <f t="shared" ca="1" si="18"/>
        <v>0</v>
      </c>
      <c r="BW11" s="945">
        <f t="shared" ca="1" si="18"/>
        <v>0</v>
      </c>
      <c r="BX11" s="945">
        <f t="shared" ca="1" si="18"/>
        <v>0</v>
      </c>
      <c r="BY11" s="945">
        <f t="shared" ca="1" si="18"/>
        <v>0</v>
      </c>
      <c r="BZ11" s="945">
        <f t="shared" ca="1" si="18"/>
        <v>0</v>
      </c>
      <c r="CA11" s="945">
        <f t="shared" ca="1" si="18"/>
        <v>0</v>
      </c>
      <c r="CB11" s="945">
        <f t="shared" ca="1" si="18"/>
        <v>0</v>
      </c>
      <c r="CC11" s="945">
        <f t="shared" ca="1" si="18"/>
        <v>0</v>
      </c>
      <c r="CD11" s="945">
        <f t="shared" ca="1" si="18"/>
        <v>0</v>
      </c>
      <c r="CE11" s="945">
        <f t="shared" ca="1" si="18"/>
        <v>0</v>
      </c>
      <c r="CF11" s="945">
        <f t="shared" ca="1" si="18"/>
        <v>0</v>
      </c>
      <c r="CG11" s="945">
        <f t="shared" ca="1" si="18"/>
        <v>0</v>
      </c>
      <c r="CH11" s="945">
        <f t="shared" ca="1" si="18"/>
        <v>0</v>
      </c>
      <c r="CI11" s="945">
        <f t="shared" ca="1" si="18"/>
        <v>0</v>
      </c>
      <c r="CJ11" s="945">
        <f t="shared" ca="1" si="18"/>
        <v>0</v>
      </c>
      <c r="CK11" s="945">
        <f t="shared" ca="1" si="18"/>
        <v>0</v>
      </c>
      <c r="CL11" s="945">
        <f t="shared" ca="1" si="18"/>
        <v>0</v>
      </c>
      <c r="CM11" s="945">
        <f t="shared" ca="1" si="18"/>
        <v>0</v>
      </c>
      <c r="CN11" s="945">
        <f t="shared" ca="1" si="18"/>
        <v>0</v>
      </c>
      <c r="CO11" s="945">
        <f t="shared" ca="1" si="18"/>
        <v>0</v>
      </c>
      <c r="CP11" s="945">
        <f t="shared" ca="1" si="18"/>
        <v>0</v>
      </c>
      <c r="CQ11" s="945">
        <f t="shared" ca="1" si="18"/>
        <v>0</v>
      </c>
      <c r="CR11" s="945">
        <f t="shared" ca="1" si="18"/>
        <v>0</v>
      </c>
      <c r="CS11" s="945">
        <f t="shared" ca="1" si="18"/>
        <v>0</v>
      </c>
      <c r="CT11" s="945">
        <f t="shared" ca="1" si="18"/>
        <v>0</v>
      </c>
      <c r="CU11" s="945">
        <f t="shared" ca="1" si="18"/>
        <v>0</v>
      </c>
      <c r="CV11" s="945">
        <f t="shared" ca="1" si="18"/>
        <v>0</v>
      </c>
      <c r="CW11" s="945">
        <f t="shared" ca="1" si="18"/>
        <v>0</v>
      </c>
      <c r="CX11" s="945">
        <f t="shared" ca="1" si="18"/>
        <v>0</v>
      </c>
      <c r="CY11" s="945">
        <f t="shared" ca="1" si="18"/>
        <v>0</v>
      </c>
      <c r="CZ11" s="945">
        <f t="shared" ca="1" si="18"/>
        <v>0</v>
      </c>
      <c r="DA11" s="945">
        <f t="shared" ca="1" si="18"/>
        <v>0</v>
      </c>
      <c r="DB11" s="945">
        <f t="shared" ca="1" si="18"/>
        <v>0</v>
      </c>
      <c r="DC11" s="945">
        <f t="shared" ca="1" si="18"/>
        <v>0</v>
      </c>
      <c r="DD11" s="945">
        <f t="shared" ca="1" si="18"/>
        <v>0</v>
      </c>
      <c r="DE11" s="945">
        <f t="shared" ca="1" si="18"/>
        <v>0</v>
      </c>
      <c r="DF11" s="945">
        <f t="shared" ca="1" si="18"/>
        <v>0</v>
      </c>
      <c r="DH11" s="553"/>
    </row>
    <row r="12" spans="1:112" s="522" customFormat="1" ht="10.5" customHeight="1" outlineLevel="2">
      <c r="A12" s="943"/>
      <c r="B12" s="943"/>
      <c r="C12" s="524" t="s">
        <v>726</v>
      </c>
      <c r="D12" s="943" t="str">
        <f>INDEX(Modules[Module], MATCH($C12, Modules[Code], 0))</f>
        <v>Commercial heating and cooling</v>
      </c>
      <c r="E12" s="652"/>
      <c r="G12" s="663">
        <f t="shared" ca="1" si="0"/>
        <v>0</v>
      </c>
      <c r="H12" s="663">
        <f t="shared" ca="1" si="0"/>
        <v>0</v>
      </c>
      <c r="I12" s="663">
        <f t="shared" ca="1" si="0"/>
        <v>0</v>
      </c>
      <c r="J12" s="663">
        <f t="shared" ca="1" si="0"/>
        <v>0</v>
      </c>
      <c r="K12" s="663">
        <f t="shared" ca="1" si="0"/>
        <v>0</v>
      </c>
      <c r="L12" s="663">
        <f t="shared" ca="1" si="0"/>
        <v>0</v>
      </c>
      <c r="M12" s="663">
        <f t="shared" ca="1" si="0"/>
        <v>0</v>
      </c>
      <c r="N12" s="663">
        <f t="shared" ca="1" si="0"/>
        <v>0</v>
      </c>
      <c r="O12" s="663">
        <f t="shared" ca="1" si="0"/>
        <v>0</v>
      </c>
      <c r="P12" s="663">
        <f t="shared" ca="1" si="0"/>
        <v>0</v>
      </c>
      <c r="Q12" s="665">
        <f t="shared" ca="1" si="1"/>
        <v>0</v>
      </c>
      <c r="S12" s="672">
        <f t="shared" ca="1" si="2"/>
        <v>0</v>
      </c>
      <c r="T12" s="672">
        <f t="shared" ca="1" si="2"/>
        <v>0</v>
      </c>
      <c r="U12" s="672">
        <f t="shared" ca="1" si="2"/>
        <v>0</v>
      </c>
      <c r="V12" s="672">
        <f t="shared" ca="1" si="2"/>
        <v>0</v>
      </c>
      <c r="W12" s="672">
        <f t="shared" ca="1" si="2"/>
        <v>0</v>
      </c>
      <c r="X12" s="672">
        <f t="shared" ref="X12:Z13" ca="1" si="19">IFERROR(INDEX(INDIRECT($C12&amp;".Outputs["&amp;this.Year&amp;"]"), MATCH(X$5, INDIRECT($C12&amp;".Outputs[Vector]"), 0)), 0)</f>
        <v>0</v>
      </c>
      <c r="Y12" s="672">
        <f t="shared" ca="1" si="19"/>
        <v>0</v>
      </c>
      <c r="Z12" s="672">
        <f t="shared" ca="1" si="19"/>
        <v>0</v>
      </c>
      <c r="AA12" s="672">
        <f t="shared" ca="1" si="2"/>
        <v>0</v>
      </c>
      <c r="AB12" s="672">
        <f t="shared" ca="1" si="2"/>
        <v>0</v>
      </c>
      <c r="AC12" s="672">
        <f t="shared" ca="1" si="2"/>
        <v>0</v>
      </c>
      <c r="AD12" s="672">
        <f t="shared" ca="1" si="2"/>
        <v>0</v>
      </c>
      <c r="AE12" s="672">
        <f t="shared" ca="1" si="2"/>
        <v>0</v>
      </c>
      <c r="AF12" s="672">
        <f t="shared" ca="1" si="2"/>
        <v>0</v>
      </c>
      <c r="AG12" s="672">
        <f t="shared" ca="1" si="2"/>
        <v>0</v>
      </c>
      <c r="AH12" s="672">
        <f t="shared" ca="1" si="2"/>
        <v>0</v>
      </c>
      <c r="AI12" s="672">
        <f t="shared" ca="1" si="2"/>
        <v>0</v>
      </c>
      <c r="AJ12" s="672">
        <f t="shared" ca="1" si="2"/>
        <v>0</v>
      </c>
      <c r="AK12" s="673">
        <f t="shared" ca="1" si="4"/>
        <v>0</v>
      </c>
      <c r="AM12" s="684">
        <f t="shared" ref="AM12:AU13" ca="1" si="20">IFERROR(INDEX(INDIRECT($C12&amp;".Outputs["&amp;this.Year&amp;"]"), MATCH(AM$5, INDIRECT($C12&amp;".Outputs[Vector]"), 0)), 0)</f>
        <v>0</v>
      </c>
      <c r="AN12" s="684">
        <f t="shared" ca="1" si="20"/>
        <v>0</v>
      </c>
      <c r="AO12" s="684">
        <f t="shared" ca="1" si="20"/>
        <v>0</v>
      </c>
      <c r="AP12" s="684">
        <f t="shared" ca="1" si="20"/>
        <v>0</v>
      </c>
      <c r="AQ12" s="684">
        <f t="shared" ca="1" si="20"/>
        <v>0</v>
      </c>
      <c r="AR12" s="684">
        <f t="shared" ca="1" si="20"/>
        <v>0</v>
      </c>
      <c r="AS12" s="684">
        <f t="shared" ca="1" si="20"/>
        <v>0</v>
      </c>
      <c r="AT12" s="684">
        <f t="shared" ca="1" si="20"/>
        <v>0</v>
      </c>
      <c r="AU12" s="684">
        <f t="shared" ca="1" si="20"/>
        <v>0</v>
      </c>
      <c r="AV12" s="684">
        <f t="shared" ca="1" si="2"/>
        <v>0</v>
      </c>
      <c r="AW12" s="684">
        <f t="shared" ca="1" si="2"/>
        <v>0</v>
      </c>
      <c r="AX12" s="684">
        <f t="shared" ca="1" si="2"/>
        <v>0</v>
      </c>
      <c r="AY12" s="684">
        <f t="shared" ca="1" si="2"/>
        <v>0</v>
      </c>
      <c r="AZ12" s="684">
        <f t="shared" ca="1" si="2"/>
        <v>0</v>
      </c>
      <c r="BA12" s="684">
        <f t="shared" ca="1" si="2"/>
        <v>0</v>
      </c>
      <c r="BB12" s="684">
        <f t="shared" ca="1" si="2"/>
        <v>0</v>
      </c>
      <c r="BC12" s="684">
        <f t="shared" ca="1" si="2"/>
        <v>0</v>
      </c>
      <c r="BD12" s="684">
        <f t="shared" ca="1" si="2"/>
        <v>0</v>
      </c>
      <c r="BE12" s="684">
        <f t="shared" ca="1" si="2"/>
        <v>0</v>
      </c>
      <c r="BF12" s="624">
        <f t="shared" ca="1" si="6"/>
        <v>0</v>
      </c>
      <c r="BH12" s="678">
        <f t="shared" ca="1" si="7"/>
        <v>0</v>
      </c>
      <c r="BI12" s="678">
        <f t="shared" ca="1" si="7"/>
        <v>0</v>
      </c>
      <c r="BJ12" s="680">
        <f t="shared" ca="1" si="8"/>
        <v>0</v>
      </c>
      <c r="BL12" s="506">
        <f t="shared" ca="1" si="9"/>
        <v>0</v>
      </c>
      <c r="BM12" s="506"/>
      <c r="BN12" s="555"/>
      <c r="BO12" s="944">
        <f t="shared" ref="BO12:BX13" ca="1" si="21">IFERROR(SUMIFS(INDIRECT($C12&amp;".Emissions["&amp;this.Year&amp;"]"), INDIRECT($C12&amp;".Emissions[GHG]"), BO$6, INDIRECT($C12&amp;".Emissions[IPCC Sector]"), BO$5),0)</f>
        <v>0</v>
      </c>
      <c r="BP12" s="945">
        <f t="shared" ca="1" si="21"/>
        <v>0</v>
      </c>
      <c r="BQ12" s="945">
        <f t="shared" ca="1" si="21"/>
        <v>0</v>
      </c>
      <c r="BR12" s="945">
        <f t="shared" ca="1" si="21"/>
        <v>0</v>
      </c>
      <c r="BS12" s="945">
        <f t="shared" ca="1" si="21"/>
        <v>0</v>
      </c>
      <c r="BT12" s="945">
        <f t="shared" ca="1" si="21"/>
        <v>0</v>
      </c>
      <c r="BU12" s="945">
        <f t="shared" ca="1" si="21"/>
        <v>0</v>
      </c>
      <c r="BV12" s="945">
        <f t="shared" ca="1" si="21"/>
        <v>0</v>
      </c>
      <c r="BW12" s="945">
        <f t="shared" ca="1" si="21"/>
        <v>0</v>
      </c>
      <c r="BX12" s="945">
        <f t="shared" ca="1" si="21"/>
        <v>0</v>
      </c>
      <c r="BY12" s="945">
        <f t="shared" ref="BY12:CH13" ca="1" si="22">IFERROR(SUMIFS(INDIRECT($C12&amp;".Emissions["&amp;this.Year&amp;"]"), INDIRECT($C12&amp;".Emissions[GHG]"), BY$6, INDIRECT($C12&amp;".Emissions[IPCC Sector]"), BY$5),0)</f>
        <v>0</v>
      </c>
      <c r="BZ12" s="945">
        <f t="shared" ca="1" si="22"/>
        <v>0</v>
      </c>
      <c r="CA12" s="945">
        <f t="shared" ca="1" si="22"/>
        <v>0</v>
      </c>
      <c r="CB12" s="945">
        <f t="shared" ca="1" si="22"/>
        <v>0</v>
      </c>
      <c r="CC12" s="945">
        <f t="shared" ca="1" si="22"/>
        <v>0</v>
      </c>
      <c r="CD12" s="945">
        <f t="shared" ca="1" si="22"/>
        <v>0</v>
      </c>
      <c r="CE12" s="945">
        <f t="shared" ca="1" si="22"/>
        <v>0</v>
      </c>
      <c r="CF12" s="945">
        <f t="shared" ca="1" si="22"/>
        <v>0</v>
      </c>
      <c r="CG12" s="945">
        <f t="shared" ca="1" si="22"/>
        <v>0</v>
      </c>
      <c r="CH12" s="945">
        <f t="shared" ca="1" si="22"/>
        <v>0</v>
      </c>
      <c r="CI12" s="945">
        <f t="shared" ref="CI12:CR13" ca="1" si="23">IFERROR(SUMIFS(INDIRECT($C12&amp;".Emissions["&amp;this.Year&amp;"]"), INDIRECT($C12&amp;".Emissions[GHG]"), CI$6, INDIRECT($C12&amp;".Emissions[IPCC Sector]"), CI$5),0)</f>
        <v>0</v>
      </c>
      <c r="CJ12" s="945">
        <f t="shared" ca="1" si="23"/>
        <v>0</v>
      </c>
      <c r="CK12" s="945">
        <f t="shared" ca="1" si="23"/>
        <v>0</v>
      </c>
      <c r="CL12" s="945">
        <f t="shared" ca="1" si="23"/>
        <v>0</v>
      </c>
      <c r="CM12" s="945">
        <f t="shared" ca="1" si="23"/>
        <v>0</v>
      </c>
      <c r="CN12" s="945">
        <f t="shared" ca="1" si="23"/>
        <v>0</v>
      </c>
      <c r="CO12" s="945">
        <f t="shared" ca="1" si="23"/>
        <v>0</v>
      </c>
      <c r="CP12" s="945">
        <f t="shared" ca="1" si="23"/>
        <v>0</v>
      </c>
      <c r="CQ12" s="945">
        <f t="shared" ca="1" si="23"/>
        <v>0</v>
      </c>
      <c r="CR12" s="945">
        <f t="shared" ca="1" si="23"/>
        <v>0</v>
      </c>
      <c r="CS12" s="945">
        <f t="shared" ref="CS12:DF13" ca="1" si="24">IFERROR(SUMIFS(INDIRECT($C12&amp;".Emissions["&amp;this.Year&amp;"]"), INDIRECT($C12&amp;".Emissions[GHG]"), CS$6, INDIRECT($C12&amp;".Emissions[IPCC Sector]"), CS$5),0)</f>
        <v>0</v>
      </c>
      <c r="CT12" s="945">
        <f t="shared" ca="1" si="24"/>
        <v>0</v>
      </c>
      <c r="CU12" s="945">
        <f t="shared" ca="1" si="24"/>
        <v>0</v>
      </c>
      <c r="CV12" s="945">
        <f t="shared" ca="1" si="24"/>
        <v>0</v>
      </c>
      <c r="CW12" s="945">
        <f t="shared" ca="1" si="24"/>
        <v>0</v>
      </c>
      <c r="CX12" s="945">
        <f t="shared" ca="1" si="24"/>
        <v>0</v>
      </c>
      <c r="CY12" s="945">
        <f t="shared" ca="1" si="24"/>
        <v>0</v>
      </c>
      <c r="CZ12" s="945">
        <f t="shared" ca="1" si="24"/>
        <v>0</v>
      </c>
      <c r="DA12" s="945">
        <f t="shared" ca="1" si="24"/>
        <v>0</v>
      </c>
      <c r="DB12" s="945">
        <f t="shared" ca="1" si="24"/>
        <v>0</v>
      </c>
      <c r="DC12" s="945">
        <f t="shared" ca="1" si="24"/>
        <v>0</v>
      </c>
      <c r="DD12" s="945">
        <f t="shared" ca="1" si="24"/>
        <v>0</v>
      </c>
      <c r="DE12" s="945">
        <f t="shared" ca="1" si="24"/>
        <v>0</v>
      </c>
      <c r="DF12" s="945">
        <f t="shared" ca="1" si="24"/>
        <v>0</v>
      </c>
      <c r="DH12" s="553"/>
    </row>
    <row r="13" spans="1:112" s="522" customFormat="1" ht="10.5" customHeight="1" outlineLevel="2">
      <c r="A13" s="946"/>
      <c r="B13" s="946"/>
      <c r="C13" s="655" t="s">
        <v>727</v>
      </c>
      <c r="D13" s="946" t="str">
        <f>INDEX(Modules[Module], MATCH($C13, Modules[Code], 0))</f>
        <v>Commercial hot water [UNUSED - See IX.c]</v>
      </c>
      <c r="E13" s="652"/>
      <c r="G13" s="664">
        <f t="shared" ca="1" si="0"/>
        <v>0</v>
      </c>
      <c r="H13" s="664">
        <f t="shared" ca="1" si="0"/>
        <v>0</v>
      </c>
      <c r="I13" s="664">
        <f t="shared" ca="1" si="0"/>
        <v>0</v>
      </c>
      <c r="J13" s="664">
        <f t="shared" ca="1" si="0"/>
        <v>0</v>
      </c>
      <c r="K13" s="664">
        <f t="shared" ca="1" si="0"/>
        <v>0</v>
      </c>
      <c r="L13" s="664">
        <f t="shared" ca="1" si="0"/>
        <v>0</v>
      </c>
      <c r="M13" s="664">
        <f t="shared" ca="1" si="0"/>
        <v>0</v>
      </c>
      <c r="N13" s="664">
        <f t="shared" ca="1" si="0"/>
        <v>0</v>
      </c>
      <c r="O13" s="664">
        <f t="shared" ca="1" si="0"/>
        <v>0</v>
      </c>
      <c r="P13" s="664">
        <f t="shared" ca="1" si="0"/>
        <v>0</v>
      </c>
      <c r="Q13" s="670">
        <f t="shared" ca="1" si="1"/>
        <v>0</v>
      </c>
      <c r="S13" s="674">
        <f t="shared" ca="1" si="2"/>
        <v>0</v>
      </c>
      <c r="T13" s="674">
        <f t="shared" ca="1" si="2"/>
        <v>0</v>
      </c>
      <c r="U13" s="674">
        <f t="shared" ca="1" si="2"/>
        <v>0</v>
      </c>
      <c r="V13" s="674">
        <f t="shared" ca="1" si="2"/>
        <v>0</v>
      </c>
      <c r="W13" s="674">
        <f t="shared" ca="1" si="2"/>
        <v>0</v>
      </c>
      <c r="X13" s="674">
        <f t="shared" ca="1" si="19"/>
        <v>0</v>
      </c>
      <c r="Y13" s="674">
        <f t="shared" ca="1" si="19"/>
        <v>0</v>
      </c>
      <c r="Z13" s="674">
        <f t="shared" ca="1" si="19"/>
        <v>0</v>
      </c>
      <c r="AA13" s="674">
        <f t="shared" ca="1" si="2"/>
        <v>0</v>
      </c>
      <c r="AB13" s="674">
        <f t="shared" ca="1" si="2"/>
        <v>0</v>
      </c>
      <c r="AC13" s="674">
        <f t="shared" ca="1" si="2"/>
        <v>0</v>
      </c>
      <c r="AD13" s="674">
        <f t="shared" ca="1" si="2"/>
        <v>0</v>
      </c>
      <c r="AE13" s="674">
        <f t="shared" ca="1" si="2"/>
        <v>0</v>
      </c>
      <c r="AF13" s="674">
        <f t="shared" ca="1" si="2"/>
        <v>0</v>
      </c>
      <c r="AG13" s="674">
        <f t="shared" ca="1" si="2"/>
        <v>0</v>
      </c>
      <c r="AH13" s="674">
        <f t="shared" ca="1" si="2"/>
        <v>0</v>
      </c>
      <c r="AI13" s="674">
        <f t="shared" ca="1" si="2"/>
        <v>0</v>
      </c>
      <c r="AJ13" s="674">
        <f t="shared" ca="1" si="2"/>
        <v>0</v>
      </c>
      <c r="AK13" s="675">
        <f t="shared" ca="1" si="4"/>
        <v>0</v>
      </c>
      <c r="AM13" s="685">
        <f t="shared" ca="1" si="20"/>
        <v>0</v>
      </c>
      <c r="AN13" s="685">
        <f t="shared" ca="1" si="20"/>
        <v>0</v>
      </c>
      <c r="AO13" s="685">
        <f t="shared" ca="1" si="20"/>
        <v>0</v>
      </c>
      <c r="AP13" s="685">
        <f t="shared" ca="1" si="20"/>
        <v>0</v>
      </c>
      <c r="AQ13" s="685">
        <f t="shared" ca="1" si="20"/>
        <v>0</v>
      </c>
      <c r="AR13" s="685">
        <f t="shared" ca="1" si="20"/>
        <v>0</v>
      </c>
      <c r="AS13" s="685">
        <f t="shared" ca="1" si="20"/>
        <v>0</v>
      </c>
      <c r="AT13" s="685">
        <f t="shared" ca="1" si="20"/>
        <v>0</v>
      </c>
      <c r="AU13" s="685">
        <f t="shared" ca="1" si="20"/>
        <v>0</v>
      </c>
      <c r="AV13" s="685">
        <f t="shared" ca="1" si="2"/>
        <v>0</v>
      </c>
      <c r="AW13" s="685">
        <f t="shared" ca="1" si="2"/>
        <v>0</v>
      </c>
      <c r="AX13" s="685">
        <f t="shared" ca="1" si="2"/>
        <v>0</v>
      </c>
      <c r="AY13" s="685">
        <f t="shared" ca="1" si="2"/>
        <v>0</v>
      </c>
      <c r="AZ13" s="685">
        <f t="shared" ca="1" si="2"/>
        <v>0</v>
      </c>
      <c r="BA13" s="685">
        <f t="shared" ca="1" si="2"/>
        <v>0</v>
      </c>
      <c r="BB13" s="685">
        <f t="shared" ca="1" si="2"/>
        <v>0</v>
      </c>
      <c r="BC13" s="685">
        <f t="shared" ca="1" si="2"/>
        <v>0</v>
      </c>
      <c r="BD13" s="685">
        <f t="shared" ca="1" si="2"/>
        <v>0</v>
      </c>
      <c r="BE13" s="685">
        <f t="shared" ca="1" si="2"/>
        <v>0</v>
      </c>
      <c r="BF13" s="654">
        <f t="shared" ca="1" si="6"/>
        <v>0</v>
      </c>
      <c r="BH13" s="679">
        <f t="shared" ca="1" si="7"/>
        <v>0</v>
      </c>
      <c r="BI13" s="679">
        <f t="shared" ca="1" si="7"/>
        <v>0</v>
      </c>
      <c r="BJ13" s="690">
        <f t="shared" ca="1" si="8"/>
        <v>0</v>
      </c>
      <c r="BL13" s="653">
        <f t="shared" ca="1" si="9"/>
        <v>0</v>
      </c>
      <c r="BM13" s="653"/>
      <c r="BN13" s="555"/>
      <c r="BO13" s="944">
        <f t="shared" ca="1" si="21"/>
        <v>0</v>
      </c>
      <c r="BP13" s="945">
        <f t="shared" ca="1" si="21"/>
        <v>0</v>
      </c>
      <c r="BQ13" s="945">
        <f t="shared" ca="1" si="21"/>
        <v>0</v>
      </c>
      <c r="BR13" s="945">
        <f t="shared" ca="1" si="21"/>
        <v>0</v>
      </c>
      <c r="BS13" s="945">
        <f t="shared" ca="1" si="21"/>
        <v>0</v>
      </c>
      <c r="BT13" s="945">
        <f t="shared" ca="1" si="21"/>
        <v>0</v>
      </c>
      <c r="BU13" s="945">
        <f t="shared" ca="1" si="21"/>
        <v>0</v>
      </c>
      <c r="BV13" s="945">
        <f t="shared" ca="1" si="21"/>
        <v>0</v>
      </c>
      <c r="BW13" s="945">
        <f t="shared" ca="1" si="21"/>
        <v>0</v>
      </c>
      <c r="BX13" s="945">
        <f t="shared" ca="1" si="21"/>
        <v>0</v>
      </c>
      <c r="BY13" s="945">
        <f t="shared" ca="1" si="22"/>
        <v>0</v>
      </c>
      <c r="BZ13" s="945">
        <f t="shared" ca="1" si="22"/>
        <v>0</v>
      </c>
      <c r="CA13" s="945">
        <f t="shared" ca="1" si="22"/>
        <v>0</v>
      </c>
      <c r="CB13" s="945">
        <f t="shared" ca="1" si="22"/>
        <v>0</v>
      </c>
      <c r="CC13" s="945">
        <f t="shared" ca="1" si="22"/>
        <v>0</v>
      </c>
      <c r="CD13" s="945">
        <f t="shared" ca="1" si="22"/>
        <v>0</v>
      </c>
      <c r="CE13" s="945">
        <f t="shared" ca="1" si="22"/>
        <v>0</v>
      </c>
      <c r="CF13" s="945">
        <f t="shared" ca="1" si="22"/>
        <v>0</v>
      </c>
      <c r="CG13" s="945">
        <f t="shared" ca="1" si="22"/>
        <v>0</v>
      </c>
      <c r="CH13" s="945">
        <f t="shared" ca="1" si="22"/>
        <v>0</v>
      </c>
      <c r="CI13" s="945">
        <f t="shared" ca="1" si="23"/>
        <v>0</v>
      </c>
      <c r="CJ13" s="945">
        <f t="shared" ca="1" si="23"/>
        <v>0</v>
      </c>
      <c r="CK13" s="945">
        <f t="shared" ca="1" si="23"/>
        <v>0</v>
      </c>
      <c r="CL13" s="945">
        <f t="shared" ca="1" si="23"/>
        <v>0</v>
      </c>
      <c r="CM13" s="945">
        <f t="shared" ca="1" si="23"/>
        <v>0</v>
      </c>
      <c r="CN13" s="945">
        <f t="shared" ca="1" si="23"/>
        <v>0</v>
      </c>
      <c r="CO13" s="945">
        <f t="shared" ca="1" si="23"/>
        <v>0</v>
      </c>
      <c r="CP13" s="945">
        <f t="shared" ca="1" si="23"/>
        <v>0</v>
      </c>
      <c r="CQ13" s="945">
        <f t="shared" ca="1" si="23"/>
        <v>0</v>
      </c>
      <c r="CR13" s="945">
        <f t="shared" ca="1" si="23"/>
        <v>0</v>
      </c>
      <c r="CS13" s="945">
        <f t="shared" ca="1" si="24"/>
        <v>0</v>
      </c>
      <c r="CT13" s="945">
        <f t="shared" ca="1" si="24"/>
        <v>0</v>
      </c>
      <c r="CU13" s="945">
        <f t="shared" ca="1" si="24"/>
        <v>0</v>
      </c>
      <c r="CV13" s="945">
        <f t="shared" ca="1" si="24"/>
        <v>0</v>
      </c>
      <c r="CW13" s="945">
        <f t="shared" ca="1" si="24"/>
        <v>0</v>
      </c>
      <c r="CX13" s="945">
        <f t="shared" ca="1" si="24"/>
        <v>0</v>
      </c>
      <c r="CY13" s="945">
        <f t="shared" ca="1" si="24"/>
        <v>0</v>
      </c>
      <c r="CZ13" s="945">
        <f t="shared" ca="1" si="24"/>
        <v>0</v>
      </c>
      <c r="DA13" s="945">
        <f t="shared" ca="1" si="24"/>
        <v>0</v>
      </c>
      <c r="DB13" s="945">
        <f t="shared" ca="1" si="24"/>
        <v>0</v>
      </c>
      <c r="DC13" s="945">
        <f t="shared" ca="1" si="24"/>
        <v>0</v>
      </c>
      <c r="DD13" s="945">
        <f t="shared" ca="1" si="24"/>
        <v>0</v>
      </c>
      <c r="DE13" s="945">
        <f t="shared" ca="1" si="24"/>
        <v>0</v>
      </c>
      <c r="DF13" s="945">
        <f t="shared" ca="1" si="24"/>
        <v>0</v>
      </c>
      <c r="DH13" s="553"/>
    </row>
    <row r="14" spans="1:112" s="522" customFormat="1" ht="12.75" customHeight="1" outlineLevel="1">
      <c r="A14" s="947"/>
      <c r="B14" s="947"/>
      <c r="C14" s="524"/>
      <c r="D14" s="656" t="s">
        <v>729</v>
      </c>
      <c r="E14" s="656"/>
      <c r="G14" s="666">
        <f ca="1">SUM(G12:G13)</f>
        <v>0</v>
      </c>
      <c r="H14" s="666">
        <f t="shared" ref="H14:P14" ca="1" si="25">SUM(H12:H13)</f>
        <v>0</v>
      </c>
      <c r="I14" s="666">
        <f t="shared" ca="1" si="25"/>
        <v>0</v>
      </c>
      <c r="J14" s="666">
        <f t="shared" ca="1" si="25"/>
        <v>0</v>
      </c>
      <c r="K14" s="666">
        <f t="shared" ca="1" si="25"/>
        <v>0</v>
      </c>
      <c r="L14" s="666">
        <f t="shared" ca="1" si="25"/>
        <v>0</v>
      </c>
      <c r="M14" s="666">
        <f t="shared" ca="1" si="25"/>
        <v>0</v>
      </c>
      <c r="N14" s="666">
        <f ca="1">SUM(N12:N13)</f>
        <v>0</v>
      </c>
      <c r="O14" s="666">
        <f ca="1">SUM(O12:O13)</f>
        <v>0</v>
      </c>
      <c r="P14" s="666">
        <f t="shared" ca="1" si="25"/>
        <v>0</v>
      </c>
      <c r="Q14" s="666">
        <f t="shared" ca="1" si="1"/>
        <v>0</v>
      </c>
      <c r="S14" s="676">
        <f t="shared" ref="S14:AJ14" ca="1" si="26">SUM(S12:S13)</f>
        <v>0</v>
      </c>
      <c r="T14" s="676">
        <f t="shared" ca="1" si="26"/>
        <v>0</v>
      </c>
      <c r="U14" s="676">
        <f t="shared" ca="1" si="26"/>
        <v>0</v>
      </c>
      <c r="V14" s="676">
        <f t="shared" ca="1" si="26"/>
        <v>0</v>
      </c>
      <c r="W14" s="676">
        <f t="shared" ca="1" si="26"/>
        <v>0</v>
      </c>
      <c r="X14" s="676">
        <f ca="1">SUM(X12:X13)</f>
        <v>0</v>
      </c>
      <c r="Y14" s="676">
        <f ca="1">SUM(Y12:Y13)</f>
        <v>0</v>
      </c>
      <c r="Z14" s="676">
        <f ca="1">SUM(Z12:Z13)</f>
        <v>0</v>
      </c>
      <c r="AA14" s="676">
        <f t="shared" ca="1" si="26"/>
        <v>0</v>
      </c>
      <c r="AB14" s="676">
        <f t="shared" ca="1" si="26"/>
        <v>0</v>
      </c>
      <c r="AC14" s="676">
        <f t="shared" ca="1" si="26"/>
        <v>0</v>
      </c>
      <c r="AD14" s="676">
        <f ca="1">SUM(AD12:AD13)</f>
        <v>0</v>
      </c>
      <c r="AE14" s="676">
        <f ca="1">SUM(AE12:AE13)</f>
        <v>0</v>
      </c>
      <c r="AF14" s="676">
        <f t="shared" ca="1" si="26"/>
        <v>0</v>
      </c>
      <c r="AG14" s="676">
        <f ca="1">SUM(AG12:AG13)</f>
        <v>0</v>
      </c>
      <c r="AH14" s="676">
        <f ca="1">SUM(AH12:AH13)</f>
        <v>0</v>
      </c>
      <c r="AI14" s="676">
        <f ca="1">SUM(AI12:AI13)</f>
        <v>0</v>
      </c>
      <c r="AJ14" s="676">
        <f t="shared" ca="1" si="26"/>
        <v>0</v>
      </c>
      <c r="AK14" s="676">
        <f t="shared" ca="1" si="4"/>
        <v>0</v>
      </c>
      <c r="AM14" s="687">
        <f t="shared" ref="AM14:AU14" ca="1" si="27">SUM(AM12:AM13)</f>
        <v>0</v>
      </c>
      <c r="AN14" s="687">
        <f t="shared" ca="1" si="27"/>
        <v>0</v>
      </c>
      <c r="AO14" s="687">
        <f t="shared" ca="1" si="27"/>
        <v>0</v>
      </c>
      <c r="AP14" s="687">
        <f t="shared" ca="1" si="27"/>
        <v>0</v>
      </c>
      <c r="AQ14" s="687">
        <f t="shared" ca="1" si="27"/>
        <v>0</v>
      </c>
      <c r="AR14" s="687">
        <f t="shared" ca="1" si="27"/>
        <v>0</v>
      </c>
      <c r="AS14" s="687">
        <f t="shared" ca="1" si="27"/>
        <v>0</v>
      </c>
      <c r="AT14" s="687">
        <f t="shared" ca="1" si="27"/>
        <v>0</v>
      </c>
      <c r="AU14" s="687">
        <f t="shared" ca="1" si="27"/>
        <v>0</v>
      </c>
      <c r="AV14" s="687">
        <f t="shared" ref="AV14:BE14" ca="1" si="28">SUM(AV12:AV13)</f>
        <v>0</v>
      </c>
      <c r="AW14" s="687">
        <f t="shared" ca="1" si="28"/>
        <v>0</v>
      </c>
      <c r="AX14" s="687">
        <f t="shared" ca="1" si="28"/>
        <v>0</v>
      </c>
      <c r="AY14" s="687">
        <f t="shared" ca="1" si="28"/>
        <v>0</v>
      </c>
      <c r="AZ14" s="687">
        <f t="shared" ca="1" si="28"/>
        <v>0</v>
      </c>
      <c r="BA14" s="687">
        <f t="shared" ca="1" si="28"/>
        <v>0</v>
      </c>
      <c r="BB14" s="687">
        <f t="shared" ca="1" si="28"/>
        <v>0</v>
      </c>
      <c r="BC14" s="687">
        <f t="shared" ca="1" si="28"/>
        <v>0</v>
      </c>
      <c r="BD14" s="687">
        <f ca="1">SUM(BD12:BD13)</f>
        <v>0</v>
      </c>
      <c r="BE14" s="687">
        <f t="shared" ca="1" si="28"/>
        <v>0</v>
      </c>
      <c r="BF14" s="658">
        <f t="shared" ca="1" si="6"/>
        <v>0</v>
      </c>
      <c r="BH14" s="681">
        <f ca="1">SUM(BH12:BH13)</f>
        <v>0</v>
      </c>
      <c r="BI14" s="681">
        <f ca="1">SUM(BI12:BI13)</f>
        <v>0</v>
      </c>
      <c r="BJ14" s="681">
        <f t="shared" ca="1" si="8"/>
        <v>0</v>
      </c>
      <c r="BL14" s="547">
        <f t="shared" ca="1" si="9"/>
        <v>0</v>
      </c>
      <c r="BM14" s="547"/>
      <c r="BN14" s="555"/>
      <c r="BO14" s="948">
        <f t="shared" ref="BO14:DF14" ca="1" si="29">SUM(BO12:BO13)</f>
        <v>0</v>
      </c>
      <c r="BP14" s="949">
        <f t="shared" ca="1" si="29"/>
        <v>0</v>
      </c>
      <c r="BQ14" s="949">
        <f t="shared" ca="1" si="29"/>
        <v>0</v>
      </c>
      <c r="BR14" s="949">
        <f t="shared" ca="1" si="29"/>
        <v>0</v>
      </c>
      <c r="BS14" s="949">
        <f t="shared" ca="1" si="29"/>
        <v>0</v>
      </c>
      <c r="BT14" s="949">
        <f t="shared" ca="1" si="29"/>
        <v>0</v>
      </c>
      <c r="BU14" s="949">
        <f t="shared" ca="1" si="29"/>
        <v>0</v>
      </c>
      <c r="BV14" s="949">
        <f t="shared" ca="1" si="29"/>
        <v>0</v>
      </c>
      <c r="BW14" s="949">
        <f t="shared" ca="1" si="29"/>
        <v>0</v>
      </c>
      <c r="BX14" s="949">
        <f t="shared" ca="1" si="29"/>
        <v>0</v>
      </c>
      <c r="BY14" s="949">
        <f t="shared" ca="1" si="29"/>
        <v>0</v>
      </c>
      <c r="BZ14" s="949">
        <f t="shared" ca="1" si="29"/>
        <v>0</v>
      </c>
      <c r="CA14" s="949">
        <f t="shared" ca="1" si="29"/>
        <v>0</v>
      </c>
      <c r="CB14" s="949">
        <f t="shared" ca="1" si="29"/>
        <v>0</v>
      </c>
      <c r="CC14" s="949">
        <f t="shared" ca="1" si="29"/>
        <v>0</v>
      </c>
      <c r="CD14" s="949">
        <f t="shared" ca="1" si="29"/>
        <v>0</v>
      </c>
      <c r="CE14" s="949">
        <f t="shared" ca="1" si="29"/>
        <v>0</v>
      </c>
      <c r="CF14" s="949">
        <f t="shared" ca="1" si="29"/>
        <v>0</v>
      </c>
      <c r="CG14" s="949">
        <f t="shared" ca="1" si="29"/>
        <v>0</v>
      </c>
      <c r="CH14" s="949">
        <f t="shared" ca="1" si="29"/>
        <v>0</v>
      </c>
      <c r="CI14" s="949">
        <f t="shared" ca="1" si="29"/>
        <v>0</v>
      </c>
      <c r="CJ14" s="949">
        <f t="shared" ca="1" si="29"/>
        <v>0</v>
      </c>
      <c r="CK14" s="949">
        <f t="shared" ca="1" si="29"/>
        <v>0</v>
      </c>
      <c r="CL14" s="949">
        <f t="shared" ca="1" si="29"/>
        <v>0</v>
      </c>
      <c r="CM14" s="949">
        <f t="shared" ca="1" si="29"/>
        <v>0</v>
      </c>
      <c r="CN14" s="949">
        <f t="shared" ca="1" si="29"/>
        <v>0</v>
      </c>
      <c r="CO14" s="949">
        <f t="shared" ca="1" si="29"/>
        <v>0</v>
      </c>
      <c r="CP14" s="949">
        <f t="shared" ca="1" si="29"/>
        <v>0</v>
      </c>
      <c r="CQ14" s="949">
        <f t="shared" ca="1" si="29"/>
        <v>0</v>
      </c>
      <c r="CR14" s="949">
        <f t="shared" ca="1" si="29"/>
        <v>0</v>
      </c>
      <c r="CS14" s="949">
        <f t="shared" ca="1" si="29"/>
        <v>0</v>
      </c>
      <c r="CT14" s="949">
        <f t="shared" ca="1" si="29"/>
        <v>0</v>
      </c>
      <c r="CU14" s="949">
        <f t="shared" ca="1" si="29"/>
        <v>0</v>
      </c>
      <c r="CV14" s="949">
        <f t="shared" ca="1" si="29"/>
        <v>0</v>
      </c>
      <c r="CW14" s="949">
        <f t="shared" ca="1" si="29"/>
        <v>0</v>
      </c>
      <c r="CX14" s="949">
        <f t="shared" ca="1" si="29"/>
        <v>0</v>
      </c>
      <c r="CY14" s="949">
        <f t="shared" ca="1" si="29"/>
        <v>0</v>
      </c>
      <c r="CZ14" s="949">
        <f t="shared" ca="1" si="29"/>
        <v>0</v>
      </c>
      <c r="DA14" s="949">
        <f t="shared" ca="1" si="29"/>
        <v>0</v>
      </c>
      <c r="DB14" s="949">
        <f t="shared" ca="1" si="29"/>
        <v>0</v>
      </c>
      <c r="DC14" s="949">
        <f t="shared" ca="1" si="29"/>
        <v>0</v>
      </c>
      <c r="DD14" s="949">
        <f t="shared" ca="1" si="29"/>
        <v>0</v>
      </c>
      <c r="DE14" s="949">
        <f t="shared" ca="1" si="29"/>
        <v>0</v>
      </c>
      <c r="DF14" s="949">
        <f t="shared" ca="1" si="29"/>
        <v>0</v>
      </c>
      <c r="DH14" s="553"/>
    </row>
    <row r="15" spans="1:112" s="522" customFormat="1" ht="15">
      <c r="A15" s="16"/>
      <c r="B15" s="527"/>
      <c r="C15" s="523" t="s">
        <v>567</v>
      </c>
      <c r="D15" s="499" t="str">
        <f>INDEX(Workstreams[Workstream], MATCH($C15, Workstreams[Code], 0))</f>
        <v>Heating</v>
      </c>
      <c r="E15" s="495"/>
      <c r="G15" s="667">
        <f t="shared" ref="G15:P15" ca="1" si="30">G14+G11</f>
        <v>382.53018590696547</v>
      </c>
      <c r="H15" s="667">
        <f t="shared" ca="1" si="30"/>
        <v>0</v>
      </c>
      <c r="I15" s="667">
        <f t="shared" ca="1" si="30"/>
        <v>0</v>
      </c>
      <c r="J15" s="667">
        <f t="shared" ca="1" si="30"/>
        <v>0</v>
      </c>
      <c r="K15" s="667">
        <f t="shared" ca="1" si="30"/>
        <v>0</v>
      </c>
      <c r="L15" s="667">
        <f t="shared" ca="1" si="30"/>
        <v>0</v>
      </c>
      <c r="M15" s="667">
        <f t="shared" ca="1" si="30"/>
        <v>0</v>
      </c>
      <c r="N15" s="667">
        <f t="shared" ca="1" si="30"/>
        <v>0</v>
      </c>
      <c r="O15" s="667">
        <f t="shared" ca="1" si="30"/>
        <v>0</v>
      </c>
      <c r="P15" s="667">
        <f t="shared" ca="1" si="30"/>
        <v>0</v>
      </c>
      <c r="Q15" s="667">
        <f t="shared" ca="1" si="1"/>
        <v>382.53018590696547</v>
      </c>
      <c r="S15" s="617">
        <f t="shared" ref="S15:AJ15" ca="1" si="31">S14+S11</f>
        <v>-31.008546529888466</v>
      </c>
      <c r="T15" s="617">
        <f t="shared" ca="1" si="31"/>
        <v>0</v>
      </c>
      <c r="U15" s="617">
        <f t="shared" ca="1" si="31"/>
        <v>-14.256803002247571</v>
      </c>
      <c r="V15" s="617">
        <f t="shared" ca="1" si="31"/>
        <v>-12.787029496861225</v>
      </c>
      <c r="W15" s="617">
        <f t="shared" ca="1" si="31"/>
        <v>-324.47780687796825</v>
      </c>
      <c r="X15" s="617">
        <f t="shared" ca="1" si="31"/>
        <v>0</v>
      </c>
      <c r="Y15" s="617">
        <f t="shared" ca="1" si="31"/>
        <v>0</v>
      </c>
      <c r="Z15" s="617">
        <f t="shared" ca="1" si="31"/>
        <v>0</v>
      </c>
      <c r="AA15" s="617">
        <f t="shared" ca="1" si="31"/>
        <v>0</v>
      </c>
      <c r="AB15" s="617">
        <f t="shared" ca="1" si="31"/>
        <v>0</v>
      </c>
      <c r="AC15" s="617">
        <f t="shared" ca="1" si="31"/>
        <v>0</v>
      </c>
      <c r="AD15" s="617">
        <f t="shared" ca="1" si="31"/>
        <v>0</v>
      </c>
      <c r="AE15" s="617">
        <f ca="1">AE14+AE11</f>
        <v>0</v>
      </c>
      <c r="AF15" s="617">
        <f t="shared" ca="1" si="31"/>
        <v>0</v>
      </c>
      <c r="AG15" s="617">
        <f t="shared" ca="1" si="31"/>
        <v>0</v>
      </c>
      <c r="AH15" s="617">
        <f ca="1">AH14+AH11</f>
        <v>0</v>
      </c>
      <c r="AI15" s="617">
        <f t="shared" ca="1" si="31"/>
        <v>0</v>
      </c>
      <c r="AJ15" s="617">
        <f t="shared" ca="1" si="31"/>
        <v>0</v>
      </c>
      <c r="AK15" s="617">
        <f t="shared" ca="1" si="4"/>
        <v>-382.53018590696553</v>
      </c>
      <c r="AM15" s="623">
        <f t="shared" ref="AM15:AU15" ca="1" si="32">AM14+AM11</f>
        <v>0</v>
      </c>
      <c r="AN15" s="623">
        <f t="shared" ca="1" si="32"/>
        <v>0</v>
      </c>
      <c r="AO15" s="623">
        <f t="shared" ca="1" si="32"/>
        <v>0</v>
      </c>
      <c r="AP15" s="623">
        <f t="shared" ca="1" si="32"/>
        <v>0</v>
      </c>
      <c r="AQ15" s="623">
        <f t="shared" ca="1" si="32"/>
        <v>0</v>
      </c>
      <c r="AR15" s="623">
        <f t="shared" ca="1" si="32"/>
        <v>0</v>
      </c>
      <c r="AS15" s="623">
        <f t="shared" ca="1" si="32"/>
        <v>0</v>
      </c>
      <c r="AT15" s="623">
        <f t="shared" ca="1" si="32"/>
        <v>0</v>
      </c>
      <c r="AU15" s="623">
        <f t="shared" ca="1" si="32"/>
        <v>0</v>
      </c>
      <c r="AV15" s="623">
        <f t="shared" ref="AV15:BE15" ca="1" si="33">AV14+AV11</f>
        <v>0</v>
      </c>
      <c r="AW15" s="623">
        <f t="shared" ca="1" si="33"/>
        <v>0</v>
      </c>
      <c r="AX15" s="623">
        <f t="shared" ca="1" si="33"/>
        <v>0</v>
      </c>
      <c r="AY15" s="623">
        <f t="shared" ca="1" si="33"/>
        <v>0</v>
      </c>
      <c r="AZ15" s="623">
        <f t="shared" ca="1" si="33"/>
        <v>0</v>
      </c>
      <c r="BA15" s="623">
        <f t="shared" ca="1" si="33"/>
        <v>0</v>
      </c>
      <c r="BB15" s="623">
        <f t="shared" ca="1" si="33"/>
        <v>0</v>
      </c>
      <c r="BC15" s="623">
        <f t="shared" ca="1" si="33"/>
        <v>0</v>
      </c>
      <c r="BD15" s="623">
        <f ca="1">BD14+BD11</f>
        <v>0</v>
      </c>
      <c r="BE15" s="623">
        <f t="shared" ca="1" si="33"/>
        <v>0</v>
      </c>
      <c r="BF15" s="623">
        <f t="shared" ca="1" si="6"/>
        <v>0</v>
      </c>
      <c r="BH15" s="637">
        <f ca="1">BH14+BH11</f>
        <v>0</v>
      </c>
      <c r="BI15" s="637">
        <f ca="1">BI14+BI11</f>
        <v>0</v>
      </c>
      <c r="BJ15" s="637">
        <f t="shared" ca="1" si="8"/>
        <v>0</v>
      </c>
      <c r="BL15" s="497">
        <f t="shared" ca="1" si="9"/>
        <v>-5.6843418860808015E-14</v>
      </c>
      <c r="BM15" s="497"/>
      <c r="BN15" s="555"/>
      <c r="BO15" s="945">
        <f t="shared" ref="BO15:DF15" ca="1" si="34">BO14+BO11</f>
        <v>67.291769164453711</v>
      </c>
      <c r="BP15" s="945">
        <f t="shared" ca="1" si="34"/>
        <v>0.13655504882378258</v>
      </c>
      <c r="BQ15" s="945">
        <f t="shared" ca="1" si="34"/>
        <v>0.22513176941521534</v>
      </c>
      <c r="BR15" s="945">
        <f t="shared" ca="1" si="34"/>
        <v>0</v>
      </c>
      <c r="BS15" s="945">
        <f t="shared" ca="1" si="34"/>
        <v>0</v>
      </c>
      <c r="BT15" s="945">
        <f t="shared" ca="1" si="34"/>
        <v>0</v>
      </c>
      <c r="BU15" s="945">
        <f t="shared" ca="1" si="34"/>
        <v>0</v>
      </c>
      <c r="BV15" s="945">
        <f t="shared" ca="1" si="34"/>
        <v>0</v>
      </c>
      <c r="BW15" s="945">
        <f t="shared" ca="1" si="34"/>
        <v>0</v>
      </c>
      <c r="BX15" s="945">
        <f t="shared" ca="1" si="34"/>
        <v>0</v>
      </c>
      <c r="BY15" s="945">
        <f t="shared" ca="1" si="34"/>
        <v>0</v>
      </c>
      <c r="BZ15" s="945">
        <f t="shared" ca="1" si="34"/>
        <v>0</v>
      </c>
      <c r="CA15" s="945">
        <f t="shared" ca="1" si="34"/>
        <v>0</v>
      </c>
      <c r="CB15" s="945">
        <f t="shared" ca="1" si="34"/>
        <v>0</v>
      </c>
      <c r="CC15" s="945">
        <f t="shared" ca="1" si="34"/>
        <v>0</v>
      </c>
      <c r="CD15" s="945">
        <f t="shared" ca="1" si="34"/>
        <v>0</v>
      </c>
      <c r="CE15" s="945">
        <f t="shared" ca="1" si="34"/>
        <v>0</v>
      </c>
      <c r="CF15" s="945">
        <f t="shared" ca="1" si="34"/>
        <v>0</v>
      </c>
      <c r="CG15" s="945">
        <f t="shared" ca="1" si="34"/>
        <v>0</v>
      </c>
      <c r="CH15" s="945">
        <f t="shared" ca="1" si="34"/>
        <v>0</v>
      </c>
      <c r="CI15" s="945">
        <f t="shared" ca="1" si="34"/>
        <v>0</v>
      </c>
      <c r="CJ15" s="945">
        <f t="shared" ca="1" si="34"/>
        <v>0</v>
      </c>
      <c r="CK15" s="945">
        <f t="shared" ca="1" si="34"/>
        <v>0</v>
      </c>
      <c r="CL15" s="945">
        <f t="shared" ca="1" si="34"/>
        <v>0</v>
      </c>
      <c r="CM15" s="945">
        <f t="shared" ca="1" si="34"/>
        <v>0</v>
      </c>
      <c r="CN15" s="945">
        <f t="shared" ca="1" si="34"/>
        <v>0</v>
      </c>
      <c r="CO15" s="945">
        <f t="shared" ca="1" si="34"/>
        <v>0</v>
      </c>
      <c r="CP15" s="945">
        <f t="shared" ca="1" si="34"/>
        <v>0</v>
      </c>
      <c r="CQ15" s="945">
        <f t="shared" ca="1" si="34"/>
        <v>0</v>
      </c>
      <c r="CR15" s="945">
        <f t="shared" ca="1" si="34"/>
        <v>0</v>
      </c>
      <c r="CS15" s="945">
        <f t="shared" ca="1" si="34"/>
        <v>0</v>
      </c>
      <c r="CT15" s="945">
        <f t="shared" ca="1" si="34"/>
        <v>0</v>
      </c>
      <c r="CU15" s="945">
        <f t="shared" ca="1" si="34"/>
        <v>0</v>
      </c>
      <c r="CV15" s="945">
        <f t="shared" ca="1" si="34"/>
        <v>0</v>
      </c>
      <c r="CW15" s="945">
        <f t="shared" ca="1" si="34"/>
        <v>0</v>
      </c>
      <c r="CX15" s="945">
        <f t="shared" ca="1" si="34"/>
        <v>0</v>
      </c>
      <c r="CY15" s="945">
        <f t="shared" ca="1" si="34"/>
        <v>0</v>
      </c>
      <c r="CZ15" s="945">
        <f t="shared" ca="1" si="34"/>
        <v>0</v>
      </c>
      <c r="DA15" s="945">
        <f t="shared" ca="1" si="34"/>
        <v>0</v>
      </c>
      <c r="DB15" s="945">
        <f t="shared" ca="1" si="34"/>
        <v>0</v>
      </c>
      <c r="DC15" s="945">
        <f t="shared" ca="1" si="34"/>
        <v>0</v>
      </c>
      <c r="DD15" s="945">
        <f t="shared" ca="1" si="34"/>
        <v>0</v>
      </c>
      <c r="DE15" s="945">
        <f t="shared" ca="1" si="34"/>
        <v>0</v>
      </c>
      <c r="DF15" s="945">
        <f t="shared" ca="1" si="34"/>
        <v>0</v>
      </c>
      <c r="DH15" s="553">
        <f t="shared" ref="DH15:DH38" ca="1" si="35">SUM(BO15:DF15)</f>
        <v>67.653455982692705</v>
      </c>
    </row>
    <row r="16" spans="1:112" s="522" customFormat="1" outlineLevel="1">
      <c r="A16" s="947"/>
      <c r="B16" s="947"/>
      <c r="C16" s="524"/>
      <c r="D16" s="503"/>
      <c r="E16" s="503"/>
      <c r="G16" s="665"/>
      <c r="H16" s="665"/>
      <c r="I16" s="665"/>
      <c r="J16" s="665"/>
      <c r="K16" s="665"/>
      <c r="L16" s="665"/>
      <c r="M16" s="665"/>
      <c r="N16" s="665"/>
      <c r="O16" s="665"/>
      <c r="P16" s="665"/>
      <c r="Q16" s="665"/>
      <c r="S16" s="673"/>
      <c r="T16" s="673"/>
      <c r="U16" s="673"/>
      <c r="V16" s="673"/>
      <c r="W16" s="673"/>
      <c r="X16" s="673"/>
      <c r="Y16" s="673"/>
      <c r="Z16" s="673"/>
      <c r="AA16" s="673"/>
      <c r="AB16" s="673"/>
      <c r="AC16" s="673"/>
      <c r="AD16" s="673"/>
      <c r="AE16" s="673"/>
      <c r="AF16" s="673"/>
      <c r="AG16" s="673"/>
      <c r="AH16" s="673"/>
      <c r="AI16" s="673"/>
      <c r="AJ16" s="673"/>
      <c r="AK16" s="673"/>
      <c r="AM16" s="686"/>
      <c r="AN16" s="686"/>
      <c r="AO16" s="686"/>
      <c r="AP16" s="686"/>
      <c r="AQ16" s="686"/>
      <c r="AR16" s="686"/>
      <c r="AS16" s="686"/>
      <c r="AT16" s="686"/>
      <c r="AU16" s="686"/>
      <c r="AV16" s="686"/>
      <c r="AW16" s="686"/>
      <c r="AX16" s="686"/>
      <c r="AY16" s="686"/>
      <c r="AZ16" s="686"/>
      <c r="BA16" s="686"/>
      <c r="BB16" s="686"/>
      <c r="BC16" s="686"/>
      <c r="BD16" s="686"/>
      <c r="BE16" s="686"/>
      <c r="BF16" s="626"/>
      <c r="BH16" s="680"/>
      <c r="BI16" s="680"/>
      <c r="BJ16" s="680"/>
      <c r="BL16" s="547">
        <f t="shared" si="9"/>
        <v>0</v>
      </c>
      <c r="BM16" s="547"/>
      <c r="BN16" s="947"/>
      <c r="BO16" s="944"/>
      <c r="BP16" s="945"/>
      <c r="BQ16" s="945"/>
      <c r="BR16" s="945"/>
      <c r="BS16" s="945"/>
      <c r="BT16" s="945"/>
      <c r="BU16" s="945"/>
      <c r="BV16" s="945"/>
      <c r="BW16" s="945"/>
      <c r="BX16" s="945"/>
      <c r="BY16" s="945"/>
      <c r="BZ16" s="945"/>
      <c r="CA16" s="945"/>
      <c r="CB16" s="945"/>
      <c r="CC16" s="945"/>
      <c r="CD16" s="945"/>
      <c r="CE16" s="945"/>
      <c r="CF16" s="945"/>
      <c r="CG16" s="945"/>
      <c r="CH16" s="945"/>
      <c r="CI16" s="945"/>
      <c r="CJ16" s="945"/>
      <c r="CK16" s="945"/>
      <c r="CL16" s="945"/>
      <c r="CM16" s="945"/>
      <c r="CN16" s="945"/>
      <c r="CO16" s="945"/>
      <c r="CP16" s="945"/>
      <c r="CQ16" s="945"/>
      <c r="CR16" s="945"/>
      <c r="CS16" s="945"/>
      <c r="CT16" s="945"/>
      <c r="CU16" s="945"/>
      <c r="CV16" s="945"/>
      <c r="CW16" s="945"/>
      <c r="CX16" s="945"/>
      <c r="CY16" s="945"/>
      <c r="CZ16" s="945"/>
      <c r="DA16" s="945"/>
      <c r="DB16" s="945"/>
      <c r="DC16" s="945"/>
      <c r="DD16" s="945"/>
      <c r="DE16" s="945"/>
      <c r="DF16" s="945"/>
      <c r="DH16" s="553">
        <f t="shared" si="35"/>
        <v>0</v>
      </c>
    </row>
    <row r="17" spans="1:112" s="522" customFormat="1" ht="12.75" customHeight="1" outlineLevel="1">
      <c r="A17" s="947"/>
      <c r="B17" s="947"/>
      <c r="C17" s="524" t="s">
        <v>731</v>
      </c>
      <c r="D17" s="943" t="str">
        <f>INDEX(Modules[Module], MATCH($C17, Modules[Code], 0))</f>
        <v>Domestic lighting, appliances, and cooking</v>
      </c>
      <c r="E17" s="652"/>
      <c r="G17" s="663">
        <f t="shared" ref="G17:P18" ca="1" si="36">IFERROR(INDEX(INDIRECT($C17&amp;".Outputs["&amp;this.Year&amp;"]"), MATCH(G$5, INDIRECT($C17&amp;".Outputs[Vector]"), 0)), 0)</f>
        <v>0</v>
      </c>
      <c r="H17" s="663">
        <f t="shared" ca="1" si="36"/>
        <v>0</v>
      </c>
      <c r="I17" s="663">
        <f t="shared" ca="1" si="36"/>
        <v>0</v>
      </c>
      <c r="J17" s="663">
        <f t="shared" ca="1" si="36"/>
        <v>0</v>
      </c>
      <c r="K17" s="663">
        <f t="shared" ca="1" si="36"/>
        <v>0</v>
      </c>
      <c r="L17" s="663">
        <f t="shared" ca="1" si="36"/>
        <v>0</v>
      </c>
      <c r="M17" s="663">
        <f t="shared" ca="1" si="36"/>
        <v>0</v>
      </c>
      <c r="N17" s="663">
        <f t="shared" ca="1" si="36"/>
        <v>0</v>
      </c>
      <c r="O17" s="663">
        <f t="shared" ca="1" si="36"/>
        <v>0</v>
      </c>
      <c r="P17" s="663">
        <f t="shared" ca="1" si="36"/>
        <v>0</v>
      </c>
      <c r="Q17" s="665">
        <f ca="1">SUM(G17:P17)</f>
        <v>0</v>
      </c>
      <c r="S17" s="672">
        <f t="shared" ref="S17:BE18" ca="1" si="37">IFERROR(INDEX(INDIRECT($C17&amp;".Outputs["&amp;this.Year&amp;"]"), MATCH(S$5, INDIRECT($C17&amp;".Outputs[Vector]"), 0)), 0)</f>
        <v>0</v>
      </c>
      <c r="T17" s="672">
        <f t="shared" ca="1" si="37"/>
        <v>0</v>
      </c>
      <c r="U17" s="672">
        <f t="shared" ca="1" si="37"/>
        <v>0</v>
      </c>
      <c r="V17" s="672">
        <f t="shared" ca="1" si="37"/>
        <v>0</v>
      </c>
      <c r="W17" s="672">
        <f t="shared" ca="1" si="37"/>
        <v>0</v>
      </c>
      <c r="X17" s="672">
        <f t="shared" ref="X17:Z18" ca="1" si="38">IFERROR(INDEX(INDIRECT($C17&amp;".Outputs["&amp;this.Year&amp;"]"), MATCH(X$5, INDIRECT($C17&amp;".Outputs[Vector]"), 0)), 0)</f>
        <v>0</v>
      </c>
      <c r="Y17" s="672">
        <f t="shared" ca="1" si="38"/>
        <v>0</v>
      </c>
      <c r="Z17" s="672">
        <f t="shared" ca="1" si="38"/>
        <v>0</v>
      </c>
      <c r="AA17" s="672">
        <f t="shared" ca="1" si="37"/>
        <v>0</v>
      </c>
      <c r="AB17" s="672">
        <f t="shared" ca="1" si="37"/>
        <v>0</v>
      </c>
      <c r="AC17" s="672">
        <f t="shared" ca="1" si="37"/>
        <v>0</v>
      </c>
      <c r="AD17" s="672">
        <f t="shared" ca="1" si="37"/>
        <v>0</v>
      </c>
      <c r="AE17" s="672">
        <f t="shared" ca="1" si="37"/>
        <v>0</v>
      </c>
      <c r="AF17" s="672">
        <f t="shared" ca="1" si="37"/>
        <v>0</v>
      </c>
      <c r="AG17" s="672">
        <f t="shared" ca="1" si="37"/>
        <v>0</v>
      </c>
      <c r="AH17" s="672">
        <f t="shared" ca="1" si="37"/>
        <v>0</v>
      </c>
      <c r="AI17" s="672">
        <f t="shared" ca="1" si="37"/>
        <v>0</v>
      </c>
      <c r="AJ17" s="672">
        <f t="shared" ca="1" si="37"/>
        <v>0</v>
      </c>
      <c r="AK17" s="673">
        <f ca="1">SUM(S17:AJ17)</f>
        <v>0</v>
      </c>
      <c r="AM17" s="684">
        <f t="shared" ref="AM17:AU18" ca="1" si="39">IFERROR(INDEX(INDIRECT($C17&amp;".Outputs["&amp;this.Year&amp;"]"), MATCH(AM$5, INDIRECT($C17&amp;".Outputs[Vector]"), 0)), 0)</f>
        <v>0</v>
      </c>
      <c r="AN17" s="684">
        <f t="shared" ca="1" si="39"/>
        <v>0</v>
      </c>
      <c r="AO17" s="684">
        <f t="shared" ca="1" si="39"/>
        <v>0</v>
      </c>
      <c r="AP17" s="684">
        <f t="shared" ca="1" si="39"/>
        <v>0</v>
      </c>
      <c r="AQ17" s="684">
        <f t="shared" ca="1" si="39"/>
        <v>0</v>
      </c>
      <c r="AR17" s="684">
        <f t="shared" ca="1" si="39"/>
        <v>0</v>
      </c>
      <c r="AS17" s="684">
        <f t="shared" ca="1" si="39"/>
        <v>0</v>
      </c>
      <c r="AT17" s="684">
        <f t="shared" ca="1" si="39"/>
        <v>0</v>
      </c>
      <c r="AU17" s="684">
        <f t="shared" ca="1" si="39"/>
        <v>0</v>
      </c>
      <c r="AV17" s="684">
        <f t="shared" ca="1" si="37"/>
        <v>0</v>
      </c>
      <c r="AW17" s="684">
        <f t="shared" ca="1" si="37"/>
        <v>0</v>
      </c>
      <c r="AX17" s="684">
        <f t="shared" ca="1" si="37"/>
        <v>0</v>
      </c>
      <c r="AY17" s="684">
        <f t="shared" ca="1" si="37"/>
        <v>0</v>
      </c>
      <c r="AZ17" s="684">
        <f t="shared" ca="1" si="37"/>
        <v>0</v>
      </c>
      <c r="BA17" s="684">
        <f t="shared" ca="1" si="37"/>
        <v>0</v>
      </c>
      <c r="BB17" s="684">
        <f t="shared" ca="1" si="37"/>
        <v>0</v>
      </c>
      <c r="BC17" s="684">
        <f t="shared" ca="1" si="37"/>
        <v>0</v>
      </c>
      <c r="BD17" s="684">
        <f t="shared" ca="1" si="37"/>
        <v>0</v>
      </c>
      <c r="BE17" s="684">
        <f t="shared" ca="1" si="37"/>
        <v>0</v>
      </c>
      <c r="BF17" s="626">
        <f ca="1">SUM(AM17:BE17)</f>
        <v>0</v>
      </c>
      <c r="BH17" s="678">
        <f ca="1">IFERROR(INDEX(INDIRECT($C17&amp;".Outputs["&amp;this.Year&amp;"]"), MATCH(BH$5, INDIRECT($C17&amp;".Outputs[Vector]"), 0)), 0)</f>
        <v>0</v>
      </c>
      <c r="BI17" s="678">
        <f ca="1">IFERROR(INDEX(INDIRECT($C17&amp;".Outputs["&amp;this.Year&amp;"]"), MATCH(BI$5, INDIRECT($C17&amp;".Outputs[Vector]"), 0)), 0)</f>
        <v>0</v>
      </c>
      <c r="BJ17" s="680">
        <f ca="1">SUM(BH17:BI17)</f>
        <v>0</v>
      </c>
      <c r="BL17" s="547">
        <f t="shared" ca="1" si="9"/>
        <v>0</v>
      </c>
      <c r="BM17" s="547"/>
      <c r="BN17" s="555"/>
      <c r="BO17" s="944">
        <f t="shared" ref="BO17:BX18" ca="1" si="40">IFERROR(SUMIFS(INDIRECT($C17&amp;".Emissions["&amp;this.Year&amp;"]"), INDIRECT($C17&amp;".Emissions[GHG]"), BO$6, INDIRECT($C17&amp;".Emissions[IPCC Sector]"), BO$5),0)</f>
        <v>0</v>
      </c>
      <c r="BP17" s="945">
        <f t="shared" ca="1" si="40"/>
        <v>0</v>
      </c>
      <c r="BQ17" s="945">
        <f t="shared" ca="1" si="40"/>
        <v>0</v>
      </c>
      <c r="BR17" s="945">
        <f t="shared" ca="1" si="40"/>
        <v>0</v>
      </c>
      <c r="BS17" s="945">
        <f t="shared" ca="1" si="40"/>
        <v>0</v>
      </c>
      <c r="BT17" s="945">
        <f t="shared" ca="1" si="40"/>
        <v>0</v>
      </c>
      <c r="BU17" s="945">
        <f t="shared" ca="1" si="40"/>
        <v>0</v>
      </c>
      <c r="BV17" s="945">
        <f t="shared" ca="1" si="40"/>
        <v>0</v>
      </c>
      <c r="BW17" s="945">
        <f t="shared" ca="1" si="40"/>
        <v>0</v>
      </c>
      <c r="BX17" s="945">
        <f t="shared" ca="1" si="40"/>
        <v>0</v>
      </c>
      <c r="BY17" s="945">
        <f t="shared" ref="BY17:CH18" ca="1" si="41">IFERROR(SUMIFS(INDIRECT($C17&amp;".Emissions["&amp;this.Year&amp;"]"), INDIRECT($C17&amp;".Emissions[GHG]"), BY$6, INDIRECT($C17&amp;".Emissions[IPCC Sector]"), BY$5),0)</f>
        <v>0</v>
      </c>
      <c r="BZ17" s="945">
        <f t="shared" ca="1" si="41"/>
        <v>0</v>
      </c>
      <c r="CA17" s="945">
        <f t="shared" ca="1" si="41"/>
        <v>0</v>
      </c>
      <c r="CB17" s="945">
        <f t="shared" ca="1" si="41"/>
        <v>0</v>
      </c>
      <c r="CC17" s="945">
        <f t="shared" ca="1" si="41"/>
        <v>0</v>
      </c>
      <c r="CD17" s="945">
        <f t="shared" ca="1" si="41"/>
        <v>0</v>
      </c>
      <c r="CE17" s="945">
        <f t="shared" ca="1" si="41"/>
        <v>0</v>
      </c>
      <c r="CF17" s="945">
        <f t="shared" ca="1" si="41"/>
        <v>0</v>
      </c>
      <c r="CG17" s="945">
        <f t="shared" ca="1" si="41"/>
        <v>0</v>
      </c>
      <c r="CH17" s="945">
        <f t="shared" ca="1" si="41"/>
        <v>0</v>
      </c>
      <c r="CI17" s="945">
        <f t="shared" ref="CI17:CR18" ca="1" si="42">IFERROR(SUMIFS(INDIRECT($C17&amp;".Emissions["&amp;this.Year&amp;"]"), INDIRECT($C17&amp;".Emissions[GHG]"), CI$6, INDIRECT($C17&amp;".Emissions[IPCC Sector]"), CI$5),0)</f>
        <v>0</v>
      </c>
      <c r="CJ17" s="945">
        <f t="shared" ca="1" si="42"/>
        <v>0</v>
      </c>
      <c r="CK17" s="945">
        <f t="shared" ca="1" si="42"/>
        <v>0</v>
      </c>
      <c r="CL17" s="945">
        <f t="shared" ca="1" si="42"/>
        <v>0</v>
      </c>
      <c r="CM17" s="945">
        <f t="shared" ca="1" si="42"/>
        <v>0</v>
      </c>
      <c r="CN17" s="945">
        <f t="shared" ca="1" si="42"/>
        <v>0</v>
      </c>
      <c r="CO17" s="945">
        <f t="shared" ca="1" si="42"/>
        <v>0</v>
      </c>
      <c r="CP17" s="945">
        <f t="shared" ca="1" si="42"/>
        <v>0</v>
      </c>
      <c r="CQ17" s="945">
        <f t="shared" ca="1" si="42"/>
        <v>0</v>
      </c>
      <c r="CR17" s="945">
        <f t="shared" ca="1" si="42"/>
        <v>0</v>
      </c>
      <c r="CS17" s="945">
        <f t="shared" ref="CS17:DF18" ca="1" si="43">IFERROR(SUMIFS(INDIRECT($C17&amp;".Emissions["&amp;this.Year&amp;"]"), INDIRECT($C17&amp;".Emissions[GHG]"), CS$6, INDIRECT($C17&amp;".Emissions[IPCC Sector]"), CS$5),0)</f>
        <v>0</v>
      </c>
      <c r="CT17" s="945">
        <f t="shared" ca="1" si="43"/>
        <v>0</v>
      </c>
      <c r="CU17" s="945">
        <f t="shared" ca="1" si="43"/>
        <v>0</v>
      </c>
      <c r="CV17" s="945">
        <f t="shared" ca="1" si="43"/>
        <v>0</v>
      </c>
      <c r="CW17" s="945">
        <f t="shared" ca="1" si="43"/>
        <v>0</v>
      </c>
      <c r="CX17" s="945">
        <f t="shared" ca="1" si="43"/>
        <v>0</v>
      </c>
      <c r="CY17" s="945">
        <f t="shared" ca="1" si="43"/>
        <v>0</v>
      </c>
      <c r="CZ17" s="945">
        <f t="shared" ca="1" si="43"/>
        <v>0</v>
      </c>
      <c r="DA17" s="945">
        <f t="shared" ca="1" si="43"/>
        <v>0</v>
      </c>
      <c r="DB17" s="945">
        <f t="shared" ca="1" si="43"/>
        <v>0</v>
      </c>
      <c r="DC17" s="945">
        <f t="shared" ca="1" si="43"/>
        <v>0</v>
      </c>
      <c r="DD17" s="945">
        <f t="shared" ca="1" si="43"/>
        <v>0</v>
      </c>
      <c r="DE17" s="945">
        <f t="shared" ca="1" si="43"/>
        <v>0</v>
      </c>
      <c r="DF17" s="945">
        <f t="shared" ca="1" si="43"/>
        <v>0</v>
      </c>
      <c r="DH17" s="553">
        <f t="shared" ca="1" si="35"/>
        <v>0</v>
      </c>
    </row>
    <row r="18" spans="1:112" s="522" customFormat="1" ht="12.75" customHeight="1" outlineLevel="1">
      <c r="A18" s="947"/>
      <c r="B18" s="947"/>
      <c r="C18" s="524" t="s">
        <v>732</v>
      </c>
      <c r="D18" s="656" t="str">
        <f>INDEX(Modules[Module], MATCH($C18, Modules[Code], 0))</f>
        <v>Commercial lighting, appliances, and catering</v>
      </c>
      <c r="E18" s="656"/>
      <c r="G18" s="668">
        <f t="shared" ca="1" si="36"/>
        <v>0</v>
      </c>
      <c r="H18" s="668">
        <f t="shared" ca="1" si="36"/>
        <v>0</v>
      </c>
      <c r="I18" s="668">
        <f t="shared" ca="1" si="36"/>
        <v>0</v>
      </c>
      <c r="J18" s="668">
        <f t="shared" ca="1" si="36"/>
        <v>0</v>
      </c>
      <c r="K18" s="668">
        <f t="shared" ca="1" si="36"/>
        <v>0</v>
      </c>
      <c r="L18" s="668">
        <f t="shared" ca="1" si="36"/>
        <v>0</v>
      </c>
      <c r="M18" s="668">
        <f t="shared" ca="1" si="36"/>
        <v>0</v>
      </c>
      <c r="N18" s="668">
        <f t="shared" ca="1" si="36"/>
        <v>0</v>
      </c>
      <c r="O18" s="668">
        <f t="shared" ca="1" si="36"/>
        <v>0</v>
      </c>
      <c r="P18" s="668">
        <f t="shared" ca="1" si="36"/>
        <v>0</v>
      </c>
      <c r="Q18" s="666">
        <f ca="1">SUM(G18:P18)</f>
        <v>0</v>
      </c>
      <c r="S18" s="677">
        <f t="shared" ca="1" si="37"/>
        <v>0</v>
      </c>
      <c r="T18" s="677">
        <f t="shared" ca="1" si="37"/>
        <v>0</v>
      </c>
      <c r="U18" s="677">
        <f t="shared" ca="1" si="37"/>
        <v>0</v>
      </c>
      <c r="V18" s="677">
        <f t="shared" ca="1" si="37"/>
        <v>0</v>
      </c>
      <c r="W18" s="677">
        <f t="shared" ca="1" si="37"/>
        <v>0</v>
      </c>
      <c r="X18" s="677">
        <f t="shared" ca="1" si="38"/>
        <v>0</v>
      </c>
      <c r="Y18" s="677">
        <f t="shared" ca="1" si="38"/>
        <v>0</v>
      </c>
      <c r="Z18" s="677">
        <f t="shared" ca="1" si="38"/>
        <v>0</v>
      </c>
      <c r="AA18" s="677">
        <f t="shared" ca="1" si="37"/>
        <v>0</v>
      </c>
      <c r="AB18" s="677">
        <f t="shared" ca="1" si="37"/>
        <v>0</v>
      </c>
      <c r="AC18" s="677">
        <f t="shared" ca="1" si="37"/>
        <v>0</v>
      </c>
      <c r="AD18" s="677">
        <f t="shared" ca="1" si="37"/>
        <v>0</v>
      </c>
      <c r="AE18" s="677">
        <f t="shared" ca="1" si="37"/>
        <v>0</v>
      </c>
      <c r="AF18" s="677">
        <f t="shared" ca="1" si="37"/>
        <v>0</v>
      </c>
      <c r="AG18" s="677">
        <f t="shared" ca="1" si="37"/>
        <v>0</v>
      </c>
      <c r="AH18" s="677">
        <f t="shared" ca="1" si="37"/>
        <v>0</v>
      </c>
      <c r="AI18" s="677">
        <f t="shared" ca="1" si="37"/>
        <v>0</v>
      </c>
      <c r="AJ18" s="677">
        <f t="shared" ca="1" si="37"/>
        <v>0</v>
      </c>
      <c r="AK18" s="676">
        <f ca="1">SUM(S18:AJ18)</f>
        <v>0</v>
      </c>
      <c r="AM18" s="688">
        <f t="shared" ca="1" si="39"/>
        <v>0</v>
      </c>
      <c r="AN18" s="688">
        <f t="shared" ca="1" si="39"/>
        <v>0</v>
      </c>
      <c r="AO18" s="688">
        <f t="shared" ca="1" si="39"/>
        <v>0</v>
      </c>
      <c r="AP18" s="688">
        <f t="shared" ca="1" si="39"/>
        <v>0</v>
      </c>
      <c r="AQ18" s="688">
        <f t="shared" ca="1" si="39"/>
        <v>0</v>
      </c>
      <c r="AR18" s="688">
        <f t="shared" ca="1" si="39"/>
        <v>0</v>
      </c>
      <c r="AS18" s="688">
        <f t="shared" ca="1" si="39"/>
        <v>0</v>
      </c>
      <c r="AT18" s="688">
        <f t="shared" ca="1" si="39"/>
        <v>0</v>
      </c>
      <c r="AU18" s="688">
        <f t="shared" ca="1" si="39"/>
        <v>0</v>
      </c>
      <c r="AV18" s="688">
        <f t="shared" ca="1" si="37"/>
        <v>0</v>
      </c>
      <c r="AW18" s="688">
        <f t="shared" ca="1" si="37"/>
        <v>0</v>
      </c>
      <c r="AX18" s="688">
        <f t="shared" ca="1" si="37"/>
        <v>0</v>
      </c>
      <c r="AY18" s="688">
        <f t="shared" ca="1" si="37"/>
        <v>0</v>
      </c>
      <c r="AZ18" s="688">
        <f t="shared" ca="1" si="37"/>
        <v>0</v>
      </c>
      <c r="BA18" s="688">
        <f t="shared" ca="1" si="37"/>
        <v>0</v>
      </c>
      <c r="BB18" s="688">
        <f t="shared" ca="1" si="37"/>
        <v>0</v>
      </c>
      <c r="BC18" s="688">
        <f t="shared" ca="1" si="37"/>
        <v>0</v>
      </c>
      <c r="BD18" s="688">
        <f t="shared" ca="1" si="37"/>
        <v>0</v>
      </c>
      <c r="BE18" s="688">
        <f t="shared" ca="1" si="37"/>
        <v>0</v>
      </c>
      <c r="BF18" s="658">
        <f ca="1">SUM(AM18:BE18)</f>
        <v>0</v>
      </c>
      <c r="BH18" s="682">
        <f ca="1">IFERROR(INDEX(INDIRECT($C18&amp;".Outputs["&amp;this.Year&amp;"]"), MATCH(BH$5, INDIRECT($C18&amp;".Outputs[Vector]"), 0)), 0)</f>
        <v>0</v>
      </c>
      <c r="BI18" s="682">
        <f ca="1">IFERROR(INDEX(INDIRECT($C18&amp;".Outputs["&amp;this.Year&amp;"]"), MATCH(BI$5, INDIRECT($C18&amp;".Outputs[Vector]"), 0)), 0)</f>
        <v>0</v>
      </c>
      <c r="BJ18" s="681">
        <f ca="1">SUM(BH18:BI18)</f>
        <v>0</v>
      </c>
      <c r="BL18" s="547">
        <f t="shared" ca="1" si="9"/>
        <v>0</v>
      </c>
      <c r="BM18" s="547"/>
      <c r="BN18" s="555"/>
      <c r="BO18" s="948">
        <f t="shared" ca="1" si="40"/>
        <v>0</v>
      </c>
      <c r="BP18" s="949">
        <f t="shared" ca="1" si="40"/>
        <v>0</v>
      </c>
      <c r="BQ18" s="949">
        <f t="shared" ca="1" si="40"/>
        <v>0</v>
      </c>
      <c r="BR18" s="949">
        <f t="shared" ca="1" si="40"/>
        <v>0</v>
      </c>
      <c r="BS18" s="949">
        <f t="shared" ca="1" si="40"/>
        <v>0</v>
      </c>
      <c r="BT18" s="949">
        <f t="shared" ca="1" si="40"/>
        <v>0</v>
      </c>
      <c r="BU18" s="949">
        <f t="shared" ca="1" si="40"/>
        <v>0</v>
      </c>
      <c r="BV18" s="949">
        <f t="shared" ca="1" si="40"/>
        <v>0</v>
      </c>
      <c r="BW18" s="949">
        <f t="shared" ca="1" si="40"/>
        <v>0</v>
      </c>
      <c r="BX18" s="949">
        <f t="shared" ca="1" si="40"/>
        <v>0</v>
      </c>
      <c r="BY18" s="949">
        <f t="shared" ca="1" si="41"/>
        <v>0</v>
      </c>
      <c r="BZ18" s="949">
        <f t="shared" ca="1" si="41"/>
        <v>0</v>
      </c>
      <c r="CA18" s="949">
        <f t="shared" ca="1" si="41"/>
        <v>0</v>
      </c>
      <c r="CB18" s="949">
        <f t="shared" ca="1" si="41"/>
        <v>0</v>
      </c>
      <c r="CC18" s="949">
        <f t="shared" ca="1" si="41"/>
        <v>0</v>
      </c>
      <c r="CD18" s="949">
        <f t="shared" ca="1" si="41"/>
        <v>0</v>
      </c>
      <c r="CE18" s="949">
        <f t="shared" ca="1" si="41"/>
        <v>0</v>
      </c>
      <c r="CF18" s="949">
        <f t="shared" ca="1" si="41"/>
        <v>0</v>
      </c>
      <c r="CG18" s="949">
        <f t="shared" ca="1" si="41"/>
        <v>0</v>
      </c>
      <c r="CH18" s="949">
        <f t="shared" ca="1" si="41"/>
        <v>0</v>
      </c>
      <c r="CI18" s="949">
        <f t="shared" ca="1" si="42"/>
        <v>0</v>
      </c>
      <c r="CJ18" s="949">
        <f t="shared" ca="1" si="42"/>
        <v>0</v>
      </c>
      <c r="CK18" s="949">
        <f t="shared" ca="1" si="42"/>
        <v>0</v>
      </c>
      <c r="CL18" s="949">
        <f t="shared" ca="1" si="42"/>
        <v>0</v>
      </c>
      <c r="CM18" s="949">
        <f t="shared" ca="1" si="42"/>
        <v>0</v>
      </c>
      <c r="CN18" s="949">
        <f t="shared" ca="1" si="42"/>
        <v>0</v>
      </c>
      <c r="CO18" s="949">
        <f t="shared" ca="1" si="42"/>
        <v>0</v>
      </c>
      <c r="CP18" s="949">
        <f t="shared" ca="1" si="42"/>
        <v>0</v>
      </c>
      <c r="CQ18" s="949">
        <f t="shared" ca="1" si="42"/>
        <v>0</v>
      </c>
      <c r="CR18" s="949">
        <f t="shared" ca="1" si="42"/>
        <v>0</v>
      </c>
      <c r="CS18" s="949">
        <f t="shared" ca="1" si="43"/>
        <v>0</v>
      </c>
      <c r="CT18" s="949">
        <f t="shared" ca="1" si="43"/>
        <v>0</v>
      </c>
      <c r="CU18" s="949">
        <f t="shared" ca="1" si="43"/>
        <v>0</v>
      </c>
      <c r="CV18" s="949">
        <f t="shared" ca="1" si="43"/>
        <v>0</v>
      </c>
      <c r="CW18" s="949">
        <f t="shared" ca="1" si="43"/>
        <v>0</v>
      </c>
      <c r="CX18" s="949">
        <f t="shared" ca="1" si="43"/>
        <v>0</v>
      </c>
      <c r="CY18" s="949">
        <f t="shared" ca="1" si="43"/>
        <v>0</v>
      </c>
      <c r="CZ18" s="949">
        <f t="shared" ca="1" si="43"/>
        <v>0</v>
      </c>
      <c r="DA18" s="949">
        <f t="shared" ca="1" si="43"/>
        <v>0</v>
      </c>
      <c r="DB18" s="949">
        <f t="shared" ca="1" si="43"/>
        <v>0</v>
      </c>
      <c r="DC18" s="949">
        <f t="shared" ca="1" si="43"/>
        <v>0</v>
      </c>
      <c r="DD18" s="949">
        <f t="shared" ca="1" si="43"/>
        <v>0</v>
      </c>
      <c r="DE18" s="949">
        <f t="shared" ca="1" si="43"/>
        <v>0</v>
      </c>
      <c r="DF18" s="949">
        <f t="shared" ca="1" si="43"/>
        <v>0</v>
      </c>
      <c r="DH18" s="553">
        <f t="shared" ca="1" si="35"/>
        <v>0</v>
      </c>
    </row>
    <row r="19" spans="1:112" s="522" customFormat="1" ht="15">
      <c r="A19" s="16"/>
      <c r="B19" s="527"/>
      <c r="C19" s="523" t="s">
        <v>568</v>
      </c>
      <c r="D19" s="499" t="str">
        <f>INDEX(Workstreams[Workstream], MATCH($C19, Workstreams[Code], 0))</f>
        <v>Lighting &amp; appliances</v>
      </c>
      <c r="E19" s="495"/>
      <c r="G19" s="667">
        <f ca="1">G17+G18</f>
        <v>0</v>
      </c>
      <c r="H19" s="667">
        <f t="shared" ref="H19:P19" ca="1" si="44">H17+H18</f>
        <v>0</v>
      </c>
      <c r="I19" s="667">
        <f t="shared" ca="1" si="44"/>
        <v>0</v>
      </c>
      <c r="J19" s="667">
        <f t="shared" ca="1" si="44"/>
        <v>0</v>
      </c>
      <c r="K19" s="667">
        <f t="shared" ca="1" si="44"/>
        <v>0</v>
      </c>
      <c r="L19" s="667">
        <f t="shared" ca="1" si="44"/>
        <v>0</v>
      </c>
      <c r="M19" s="667">
        <f t="shared" ca="1" si="44"/>
        <v>0</v>
      </c>
      <c r="N19" s="667">
        <f ca="1">N17+N18</f>
        <v>0</v>
      </c>
      <c r="O19" s="667">
        <f ca="1">O17+O18</f>
        <v>0</v>
      </c>
      <c r="P19" s="667">
        <f t="shared" ca="1" si="44"/>
        <v>0</v>
      </c>
      <c r="Q19" s="667">
        <f ca="1">SUM(G19:P19)</f>
        <v>0</v>
      </c>
      <c r="S19" s="617">
        <f ca="1">S17+S18</f>
        <v>0</v>
      </c>
      <c r="T19" s="617">
        <f t="shared" ref="T19:AJ19" ca="1" si="45">T17+T18</f>
        <v>0</v>
      </c>
      <c r="U19" s="617">
        <f t="shared" ca="1" si="45"/>
        <v>0</v>
      </c>
      <c r="V19" s="617">
        <f t="shared" ca="1" si="45"/>
        <v>0</v>
      </c>
      <c r="W19" s="617">
        <f t="shared" ca="1" si="45"/>
        <v>0</v>
      </c>
      <c r="X19" s="617">
        <f ca="1">X17+X18</f>
        <v>0</v>
      </c>
      <c r="Y19" s="617">
        <f ca="1">Y17+Y18</f>
        <v>0</v>
      </c>
      <c r="Z19" s="617">
        <f ca="1">Z17+Z18</f>
        <v>0</v>
      </c>
      <c r="AA19" s="617">
        <f t="shared" ca="1" si="45"/>
        <v>0</v>
      </c>
      <c r="AB19" s="617">
        <f t="shared" ca="1" si="45"/>
        <v>0</v>
      </c>
      <c r="AC19" s="617">
        <f t="shared" ca="1" si="45"/>
        <v>0</v>
      </c>
      <c r="AD19" s="617">
        <f ca="1">AD17+AD18</f>
        <v>0</v>
      </c>
      <c r="AE19" s="617">
        <f ca="1">AE17+AE18</f>
        <v>0</v>
      </c>
      <c r="AF19" s="617">
        <f t="shared" ca="1" si="45"/>
        <v>0</v>
      </c>
      <c r="AG19" s="617">
        <f ca="1">AG17+AG18</f>
        <v>0</v>
      </c>
      <c r="AH19" s="617">
        <f ca="1">AH17+AH18</f>
        <v>0</v>
      </c>
      <c r="AI19" s="617">
        <f ca="1">AI17+AI18</f>
        <v>0</v>
      </c>
      <c r="AJ19" s="617">
        <f t="shared" ca="1" si="45"/>
        <v>0</v>
      </c>
      <c r="AK19" s="617">
        <f ca="1">SUM(S19:AJ19)</f>
        <v>0</v>
      </c>
      <c r="AM19" s="623">
        <f t="shared" ref="AM19:AU19" ca="1" si="46">AM17+AM18</f>
        <v>0</v>
      </c>
      <c r="AN19" s="623">
        <f t="shared" ca="1" si="46"/>
        <v>0</v>
      </c>
      <c r="AO19" s="623">
        <f t="shared" ca="1" si="46"/>
        <v>0</v>
      </c>
      <c r="AP19" s="623">
        <f t="shared" ca="1" si="46"/>
        <v>0</v>
      </c>
      <c r="AQ19" s="623">
        <f t="shared" ca="1" si="46"/>
        <v>0</v>
      </c>
      <c r="AR19" s="623">
        <f t="shared" ca="1" si="46"/>
        <v>0</v>
      </c>
      <c r="AS19" s="623">
        <f t="shared" ca="1" si="46"/>
        <v>0</v>
      </c>
      <c r="AT19" s="623">
        <f t="shared" ca="1" si="46"/>
        <v>0</v>
      </c>
      <c r="AU19" s="623">
        <f t="shared" ca="1" si="46"/>
        <v>0</v>
      </c>
      <c r="AV19" s="623">
        <f t="shared" ref="AV19:BE19" ca="1" si="47">AV17+AV18</f>
        <v>0</v>
      </c>
      <c r="AW19" s="623">
        <f t="shared" ca="1" si="47"/>
        <v>0</v>
      </c>
      <c r="AX19" s="623">
        <f t="shared" ca="1" si="47"/>
        <v>0</v>
      </c>
      <c r="AY19" s="623">
        <f t="shared" ca="1" si="47"/>
        <v>0</v>
      </c>
      <c r="AZ19" s="623">
        <f t="shared" ca="1" si="47"/>
        <v>0</v>
      </c>
      <c r="BA19" s="623">
        <f t="shared" ca="1" si="47"/>
        <v>0</v>
      </c>
      <c r="BB19" s="623">
        <f t="shared" ca="1" si="47"/>
        <v>0</v>
      </c>
      <c r="BC19" s="623">
        <f t="shared" ca="1" si="47"/>
        <v>0</v>
      </c>
      <c r="BD19" s="623">
        <f ca="1">BD17+BD18</f>
        <v>0</v>
      </c>
      <c r="BE19" s="623">
        <f t="shared" ca="1" si="47"/>
        <v>0</v>
      </c>
      <c r="BF19" s="623">
        <f ca="1">SUM(AM19:BE19)</f>
        <v>0</v>
      </c>
      <c r="BH19" s="637">
        <f ca="1">BH17+BH18</f>
        <v>0</v>
      </c>
      <c r="BI19" s="637">
        <f ca="1">BI17+BI18</f>
        <v>0</v>
      </c>
      <c r="BJ19" s="637">
        <f ca="1">SUM(BH19:BI19)</f>
        <v>0</v>
      </c>
      <c r="BL19" s="497">
        <f t="shared" ca="1" si="9"/>
        <v>0</v>
      </c>
      <c r="BM19" s="497"/>
      <c r="BN19" s="555"/>
      <c r="BO19" s="945">
        <f t="shared" ref="BO19:DF19" ca="1" si="48">BO17+BO18</f>
        <v>0</v>
      </c>
      <c r="BP19" s="945">
        <f t="shared" ca="1" si="48"/>
        <v>0</v>
      </c>
      <c r="BQ19" s="945">
        <f t="shared" ca="1" si="48"/>
        <v>0</v>
      </c>
      <c r="BR19" s="945">
        <f t="shared" ca="1" si="48"/>
        <v>0</v>
      </c>
      <c r="BS19" s="945">
        <f t="shared" ca="1" si="48"/>
        <v>0</v>
      </c>
      <c r="BT19" s="945">
        <f t="shared" ca="1" si="48"/>
        <v>0</v>
      </c>
      <c r="BU19" s="945">
        <f t="shared" ca="1" si="48"/>
        <v>0</v>
      </c>
      <c r="BV19" s="945">
        <f t="shared" ca="1" si="48"/>
        <v>0</v>
      </c>
      <c r="BW19" s="945">
        <f t="shared" ca="1" si="48"/>
        <v>0</v>
      </c>
      <c r="BX19" s="945">
        <f t="shared" ca="1" si="48"/>
        <v>0</v>
      </c>
      <c r="BY19" s="945">
        <f t="shared" ca="1" si="48"/>
        <v>0</v>
      </c>
      <c r="BZ19" s="945">
        <f t="shared" ca="1" si="48"/>
        <v>0</v>
      </c>
      <c r="CA19" s="945">
        <f t="shared" ca="1" si="48"/>
        <v>0</v>
      </c>
      <c r="CB19" s="945">
        <f t="shared" ca="1" si="48"/>
        <v>0</v>
      </c>
      <c r="CC19" s="945">
        <f t="shared" ca="1" si="48"/>
        <v>0</v>
      </c>
      <c r="CD19" s="945">
        <f t="shared" ca="1" si="48"/>
        <v>0</v>
      </c>
      <c r="CE19" s="945">
        <f t="shared" ca="1" si="48"/>
        <v>0</v>
      </c>
      <c r="CF19" s="945">
        <f t="shared" ca="1" si="48"/>
        <v>0</v>
      </c>
      <c r="CG19" s="945">
        <f t="shared" ca="1" si="48"/>
        <v>0</v>
      </c>
      <c r="CH19" s="945">
        <f t="shared" ca="1" si="48"/>
        <v>0</v>
      </c>
      <c r="CI19" s="945">
        <f t="shared" ca="1" si="48"/>
        <v>0</v>
      </c>
      <c r="CJ19" s="945">
        <f t="shared" ca="1" si="48"/>
        <v>0</v>
      </c>
      <c r="CK19" s="945">
        <f t="shared" ca="1" si="48"/>
        <v>0</v>
      </c>
      <c r="CL19" s="945">
        <f t="shared" ca="1" si="48"/>
        <v>0</v>
      </c>
      <c r="CM19" s="945">
        <f t="shared" ca="1" si="48"/>
        <v>0</v>
      </c>
      <c r="CN19" s="945">
        <f t="shared" ca="1" si="48"/>
        <v>0</v>
      </c>
      <c r="CO19" s="945">
        <f t="shared" ca="1" si="48"/>
        <v>0</v>
      </c>
      <c r="CP19" s="945">
        <f t="shared" ca="1" si="48"/>
        <v>0</v>
      </c>
      <c r="CQ19" s="945">
        <f t="shared" ca="1" si="48"/>
        <v>0</v>
      </c>
      <c r="CR19" s="945">
        <f t="shared" ca="1" si="48"/>
        <v>0</v>
      </c>
      <c r="CS19" s="945">
        <f t="shared" ca="1" si="48"/>
        <v>0</v>
      </c>
      <c r="CT19" s="945">
        <f t="shared" ca="1" si="48"/>
        <v>0</v>
      </c>
      <c r="CU19" s="945">
        <f t="shared" ca="1" si="48"/>
        <v>0</v>
      </c>
      <c r="CV19" s="945">
        <f t="shared" ca="1" si="48"/>
        <v>0</v>
      </c>
      <c r="CW19" s="945">
        <f t="shared" ca="1" si="48"/>
        <v>0</v>
      </c>
      <c r="CX19" s="945">
        <f t="shared" ca="1" si="48"/>
        <v>0</v>
      </c>
      <c r="CY19" s="945">
        <f t="shared" ca="1" si="48"/>
        <v>0</v>
      </c>
      <c r="CZ19" s="945">
        <f t="shared" ca="1" si="48"/>
        <v>0</v>
      </c>
      <c r="DA19" s="945">
        <f t="shared" ca="1" si="48"/>
        <v>0</v>
      </c>
      <c r="DB19" s="945">
        <f t="shared" ca="1" si="48"/>
        <v>0</v>
      </c>
      <c r="DC19" s="945">
        <f t="shared" ca="1" si="48"/>
        <v>0</v>
      </c>
      <c r="DD19" s="945">
        <f t="shared" ca="1" si="48"/>
        <v>0</v>
      </c>
      <c r="DE19" s="945">
        <f t="shared" ca="1" si="48"/>
        <v>0</v>
      </c>
      <c r="DF19" s="945">
        <f t="shared" ca="1" si="48"/>
        <v>0</v>
      </c>
      <c r="DH19" s="553">
        <f t="shared" ca="1" si="35"/>
        <v>0</v>
      </c>
    </row>
    <row r="20" spans="1:112" s="522" customFormat="1" ht="12.75" customHeight="1" outlineLevel="1">
      <c r="A20" s="947"/>
      <c r="B20" s="947"/>
      <c r="C20" s="524"/>
      <c r="D20" s="503"/>
      <c r="E20" s="503"/>
      <c r="G20" s="665"/>
      <c r="H20" s="665"/>
      <c r="I20" s="665"/>
      <c r="J20" s="665"/>
      <c r="K20" s="665"/>
      <c r="L20" s="665"/>
      <c r="M20" s="665"/>
      <c r="N20" s="665"/>
      <c r="O20" s="665"/>
      <c r="P20" s="665"/>
      <c r="Q20" s="665"/>
      <c r="S20" s="673"/>
      <c r="T20" s="673"/>
      <c r="U20" s="673"/>
      <c r="V20" s="673"/>
      <c r="W20" s="673"/>
      <c r="X20" s="673"/>
      <c r="Y20" s="673"/>
      <c r="Z20" s="673"/>
      <c r="AA20" s="673"/>
      <c r="AB20" s="673"/>
      <c r="AC20" s="673"/>
      <c r="AD20" s="673"/>
      <c r="AE20" s="673"/>
      <c r="AF20" s="673"/>
      <c r="AG20" s="673"/>
      <c r="AH20" s="673"/>
      <c r="AI20" s="673"/>
      <c r="AJ20" s="673"/>
      <c r="AK20" s="673"/>
      <c r="AM20" s="686"/>
      <c r="AN20" s="686"/>
      <c r="AO20" s="686"/>
      <c r="AP20" s="686"/>
      <c r="AQ20" s="686"/>
      <c r="AR20" s="686"/>
      <c r="AS20" s="686"/>
      <c r="AT20" s="686"/>
      <c r="AU20" s="686"/>
      <c r="AV20" s="686"/>
      <c r="AW20" s="686"/>
      <c r="AX20" s="686"/>
      <c r="AY20" s="686"/>
      <c r="AZ20" s="686"/>
      <c r="BA20" s="686"/>
      <c r="BB20" s="686"/>
      <c r="BC20" s="686"/>
      <c r="BD20" s="686"/>
      <c r="BE20" s="686"/>
      <c r="BF20" s="626"/>
      <c r="BH20" s="680"/>
      <c r="BI20" s="680"/>
      <c r="BJ20" s="680"/>
      <c r="BL20" s="547">
        <f t="shared" si="9"/>
        <v>0</v>
      </c>
      <c r="BM20" s="547"/>
      <c r="BN20" s="947"/>
      <c r="BO20" s="944"/>
      <c r="BP20" s="945"/>
      <c r="BQ20" s="945"/>
      <c r="BR20" s="945"/>
      <c r="BS20" s="945"/>
      <c r="BT20" s="945"/>
      <c r="BU20" s="945"/>
      <c r="BV20" s="945"/>
      <c r="BW20" s="945"/>
      <c r="BX20" s="945"/>
      <c r="BY20" s="945"/>
      <c r="BZ20" s="945"/>
      <c r="CA20" s="945"/>
      <c r="CB20" s="945"/>
      <c r="CC20" s="945"/>
      <c r="CD20" s="945"/>
      <c r="CE20" s="945"/>
      <c r="CF20" s="945"/>
      <c r="CG20" s="945"/>
      <c r="CH20" s="945"/>
      <c r="CI20" s="945"/>
      <c r="CJ20" s="945"/>
      <c r="CK20" s="945"/>
      <c r="CL20" s="945"/>
      <c r="CM20" s="945"/>
      <c r="CN20" s="945"/>
      <c r="CO20" s="945"/>
      <c r="CP20" s="945"/>
      <c r="CQ20" s="945"/>
      <c r="CR20" s="945"/>
      <c r="CS20" s="945"/>
      <c r="CT20" s="945"/>
      <c r="CU20" s="945"/>
      <c r="CV20" s="945"/>
      <c r="CW20" s="945"/>
      <c r="CX20" s="945"/>
      <c r="CY20" s="945"/>
      <c r="CZ20" s="945"/>
      <c r="DA20" s="945"/>
      <c r="DB20" s="945"/>
      <c r="DC20" s="945"/>
      <c r="DD20" s="945"/>
      <c r="DE20" s="945"/>
      <c r="DF20" s="945"/>
      <c r="DH20" s="553">
        <f t="shared" si="35"/>
        <v>0</v>
      </c>
    </row>
    <row r="21" spans="1:112" s="522" customFormat="1" ht="12.75" customHeight="1" outlineLevel="1">
      <c r="A21" s="947"/>
      <c r="B21" s="947"/>
      <c r="C21" s="524" t="s">
        <v>699</v>
      </c>
      <c r="D21" s="656" t="str">
        <f>INDEX(Modules[Module], MATCH($C21, Modules[Code], 0))</f>
        <v>Industrial processes</v>
      </c>
      <c r="E21" s="656"/>
      <c r="G21" s="668">
        <f t="shared" ref="G21:P21" ca="1" si="49">IFERROR(INDEX(INDIRECT($C21&amp;".Outputs["&amp;this.Year&amp;"]"), MATCH(G$5, INDIRECT($C21&amp;".Outputs[Vector]"), 0)), 0)</f>
        <v>0</v>
      </c>
      <c r="H21" s="668">
        <f t="shared" ca="1" si="49"/>
        <v>0</v>
      </c>
      <c r="I21" s="668">
        <f t="shared" ca="1" si="49"/>
        <v>0</v>
      </c>
      <c r="J21" s="668">
        <f t="shared" ca="1" si="49"/>
        <v>0</v>
      </c>
      <c r="K21" s="668">
        <f t="shared" ca="1" si="49"/>
        <v>0</v>
      </c>
      <c r="L21" s="668">
        <f t="shared" ca="1" si="49"/>
        <v>0</v>
      </c>
      <c r="M21" s="668">
        <f t="shared" ca="1" si="49"/>
        <v>0</v>
      </c>
      <c r="N21" s="668">
        <f t="shared" ca="1" si="49"/>
        <v>0</v>
      </c>
      <c r="O21" s="668">
        <f t="shared" ca="1" si="49"/>
        <v>0</v>
      </c>
      <c r="P21" s="668">
        <f t="shared" ca="1" si="49"/>
        <v>0</v>
      </c>
      <c r="Q21" s="666">
        <f ca="1">SUM(G21:P21)</f>
        <v>0</v>
      </c>
      <c r="S21" s="677">
        <f t="shared" ref="S21:BE21" ca="1" si="50">IFERROR(INDEX(INDIRECT($C21&amp;".Outputs["&amp;this.Year&amp;"]"), MATCH(S$5, INDIRECT($C21&amp;".Outputs[Vector]"), 0)), 0)</f>
        <v>0</v>
      </c>
      <c r="T21" s="677">
        <f t="shared" ca="1" si="50"/>
        <v>0</v>
      </c>
      <c r="U21" s="677">
        <f t="shared" ca="1" si="50"/>
        <v>0</v>
      </c>
      <c r="V21" s="677">
        <f t="shared" ca="1" si="50"/>
        <v>0</v>
      </c>
      <c r="W21" s="677">
        <f t="shared" ca="1" si="50"/>
        <v>0</v>
      </c>
      <c r="X21" s="677">
        <f ca="1">IFERROR(INDEX(INDIRECT($C21&amp;".Outputs["&amp;this.Year&amp;"]"), MATCH(X$5, INDIRECT($C21&amp;".Outputs[Vector]"), 0)), 0)</f>
        <v>0</v>
      </c>
      <c r="Y21" s="677">
        <f ca="1">IFERROR(INDEX(INDIRECT($C21&amp;".Outputs["&amp;this.Year&amp;"]"), MATCH(Y$5, INDIRECT($C21&amp;".Outputs[Vector]"), 0)), 0)</f>
        <v>0</v>
      </c>
      <c r="Z21" s="677">
        <f ca="1">IFERROR(INDEX(INDIRECT($C21&amp;".Outputs["&amp;this.Year&amp;"]"), MATCH(Z$5, INDIRECT($C21&amp;".Outputs[Vector]"), 0)), 0)</f>
        <v>0</v>
      </c>
      <c r="AA21" s="677">
        <f t="shared" ca="1" si="50"/>
        <v>0</v>
      </c>
      <c r="AB21" s="677">
        <f t="shared" ca="1" si="50"/>
        <v>0</v>
      </c>
      <c r="AC21" s="677">
        <f t="shared" ca="1" si="50"/>
        <v>0</v>
      </c>
      <c r="AD21" s="677">
        <f t="shared" ca="1" si="50"/>
        <v>0</v>
      </c>
      <c r="AE21" s="677">
        <f t="shared" ca="1" si="50"/>
        <v>0</v>
      </c>
      <c r="AF21" s="677">
        <f t="shared" ca="1" si="50"/>
        <v>0</v>
      </c>
      <c r="AG21" s="677">
        <f t="shared" ca="1" si="50"/>
        <v>0</v>
      </c>
      <c r="AH21" s="677">
        <f t="shared" ca="1" si="50"/>
        <v>0</v>
      </c>
      <c r="AI21" s="677">
        <f t="shared" ca="1" si="50"/>
        <v>0</v>
      </c>
      <c r="AJ21" s="677">
        <f t="shared" ca="1" si="50"/>
        <v>0</v>
      </c>
      <c r="AK21" s="676">
        <f ca="1">SUM(S21:AJ21)</f>
        <v>0</v>
      </c>
      <c r="AM21" s="688">
        <f t="shared" ref="AM21:AU21" ca="1" si="51">IFERROR(INDEX(INDIRECT($C21&amp;".Outputs["&amp;this.Year&amp;"]"), MATCH(AM$5, INDIRECT($C21&amp;".Outputs[Vector]"), 0)), 0)</f>
        <v>0</v>
      </c>
      <c r="AN21" s="688">
        <f t="shared" ca="1" si="51"/>
        <v>0</v>
      </c>
      <c r="AO21" s="688">
        <f t="shared" ca="1" si="51"/>
        <v>0</v>
      </c>
      <c r="AP21" s="688">
        <f t="shared" ca="1" si="51"/>
        <v>0</v>
      </c>
      <c r="AQ21" s="688">
        <f t="shared" ca="1" si="51"/>
        <v>0</v>
      </c>
      <c r="AR21" s="688">
        <f t="shared" ca="1" si="51"/>
        <v>0</v>
      </c>
      <c r="AS21" s="688">
        <f t="shared" ca="1" si="51"/>
        <v>0</v>
      </c>
      <c r="AT21" s="688">
        <f t="shared" ca="1" si="51"/>
        <v>0</v>
      </c>
      <c r="AU21" s="688">
        <f t="shared" ca="1" si="51"/>
        <v>0</v>
      </c>
      <c r="AV21" s="688">
        <f t="shared" ca="1" si="50"/>
        <v>0</v>
      </c>
      <c r="AW21" s="688">
        <f t="shared" ca="1" si="50"/>
        <v>0</v>
      </c>
      <c r="AX21" s="688">
        <f t="shared" ca="1" si="50"/>
        <v>0</v>
      </c>
      <c r="AY21" s="688">
        <f t="shared" ca="1" si="50"/>
        <v>0</v>
      </c>
      <c r="AZ21" s="688">
        <f t="shared" ca="1" si="50"/>
        <v>0</v>
      </c>
      <c r="BA21" s="688">
        <f t="shared" ca="1" si="50"/>
        <v>0</v>
      </c>
      <c r="BB21" s="688">
        <f t="shared" ca="1" si="50"/>
        <v>0</v>
      </c>
      <c r="BC21" s="688">
        <f t="shared" ca="1" si="50"/>
        <v>0</v>
      </c>
      <c r="BD21" s="688">
        <f t="shared" ca="1" si="50"/>
        <v>0</v>
      </c>
      <c r="BE21" s="688">
        <f t="shared" ca="1" si="50"/>
        <v>0</v>
      </c>
      <c r="BF21" s="658">
        <f ca="1">SUM(AM21:BE21)</f>
        <v>0</v>
      </c>
      <c r="BH21" s="682">
        <f ca="1">IFERROR(INDEX(INDIRECT($C21&amp;".Outputs["&amp;this.Year&amp;"]"), MATCH(BH$5, INDIRECT($C21&amp;".Outputs[Vector]"), 0)), 0)</f>
        <v>0</v>
      </c>
      <c r="BI21" s="682">
        <f ca="1">IFERROR(INDEX(INDIRECT($C21&amp;".Outputs["&amp;this.Year&amp;"]"), MATCH(BI$5, INDIRECT($C21&amp;".Outputs[Vector]"), 0)), 0)</f>
        <v>0</v>
      </c>
      <c r="BJ21" s="681">
        <f ca="1">SUM(BH21:BI21)</f>
        <v>0</v>
      </c>
      <c r="BL21" s="547">
        <f t="shared" ca="1" si="9"/>
        <v>0</v>
      </c>
      <c r="BM21" s="547"/>
      <c r="BN21" s="555"/>
      <c r="BO21" s="948">
        <f t="shared" ref="BO21:DF21" ca="1" si="52">IFERROR(SUMIFS(INDIRECT($C21&amp;".Emissions["&amp;this.Year&amp;"]"), INDIRECT($C21&amp;".Emissions[GHG]"), BO$6, INDIRECT($C21&amp;".Emissions[IPCC Sector]"), BO$5),0)</f>
        <v>0</v>
      </c>
      <c r="BP21" s="949">
        <f t="shared" ca="1" si="52"/>
        <v>0</v>
      </c>
      <c r="BQ21" s="949">
        <f t="shared" ca="1" si="52"/>
        <v>0</v>
      </c>
      <c r="BR21" s="949">
        <f t="shared" ca="1" si="52"/>
        <v>0</v>
      </c>
      <c r="BS21" s="949">
        <f t="shared" ca="1" si="52"/>
        <v>0</v>
      </c>
      <c r="BT21" s="949">
        <f t="shared" ca="1" si="52"/>
        <v>0</v>
      </c>
      <c r="BU21" s="949">
        <f t="shared" ca="1" si="52"/>
        <v>0</v>
      </c>
      <c r="BV21" s="949">
        <f t="shared" ca="1" si="52"/>
        <v>0</v>
      </c>
      <c r="BW21" s="949">
        <f t="shared" ca="1" si="52"/>
        <v>0</v>
      </c>
      <c r="BX21" s="949">
        <f t="shared" ca="1" si="52"/>
        <v>0</v>
      </c>
      <c r="BY21" s="949">
        <f t="shared" ca="1" si="52"/>
        <v>0</v>
      </c>
      <c r="BZ21" s="949">
        <f t="shared" ca="1" si="52"/>
        <v>0</v>
      </c>
      <c r="CA21" s="949">
        <f t="shared" ca="1" si="52"/>
        <v>0</v>
      </c>
      <c r="CB21" s="949">
        <f t="shared" ca="1" si="52"/>
        <v>0</v>
      </c>
      <c r="CC21" s="949">
        <f t="shared" ca="1" si="52"/>
        <v>0</v>
      </c>
      <c r="CD21" s="949">
        <f t="shared" ca="1" si="52"/>
        <v>0</v>
      </c>
      <c r="CE21" s="949">
        <f t="shared" ca="1" si="52"/>
        <v>0</v>
      </c>
      <c r="CF21" s="949">
        <f t="shared" ca="1" si="52"/>
        <v>0</v>
      </c>
      <c r="CG21" s="949">
        <f t="shared" ca="1" si="52"/>
        <v>0</v>
      </c>
      <c r="CH21" s="949">
        <f t="shared" ca="1" si="52"/>
        <v>0</v>
      </c>
      <c r="CI21" s="949">
        <f t="shared" ca="1" si="52"/>
        <v>0</v>
      </c>
      <c r="CJ21" s="949">
        <f t="shared" ca="1" si="52"/>
        <v>0</v>
      </c>
      <c r="CK21" s="949">
        <f t="shared" ca="1" si="52"/>
        <v>0</v>
      </c>
      <c r="CL21" s="949">
        <f t="shared" ca="1" si="52"/>
        <v>0</v>
      </c>
      <c r="CM21" s="949">
        <f t="shared" ca="1" si="52"/>
        <v>0</v>
      </c>
      <c r="CN21" s="949">
        <f t="shared" ca="1" si="52"/>
        <v>0</v>
      </c>
      <c r="CO21" s="949">
        <f t="shared" ca="1" si="52"/>
        <v>0</v>
      </c>
      <c r="CP21" s="949">
        <f t="shared" ca="1" si="52"/>
        <v>0</v>
      </c>
      <c r="CQ21" s="949">
        <f t="shared" ca="1" si="52"/>
        <v>0</v>
      </c>
      <c r="CR21" s="949">
        <f t="shared" ca="1" si="52"/>
        <v>0</v>
      </c>
      <c r="CS21" s="949">
        <f t="shared" ca="1" si="52"/>
        <v>0</v>
      </c>
      <c r="CT21" s="949">
        <f t="shared" ca="1" si="52"/>
        <v>0</v>
      </c>
      <c r="CU21" s="949">
        <f t="shared" ca="1" si="52"/>
        <v>0</v>
      </c>
      <c r="CV21" s="949">
        <f t="shared" ca="1" si="52"/>
        <v>0</v>
      </c>
      <c r="CW21" s="949">
        <f t="shared" ca="1" si="52"/>
        <v>0</v>
      </c>
      <c r="CX21" s="949">
        <f t="shared" ca="1" si="52"/>
        <v>0</v>
      </c>
      <c r="CY21" s="949">
        <f t="shared" ca="1" si="52"/>
        <v>0</v>
      </c>
      <c r="CZ21" s="949">
        <f t="shared" ca="1" si="52"/>
        <v>0</v>
      </c>
      <c r="DA21" s="949">
        <f t="shared" ca="1" si="52"/>
        <v>0</v>
      </c>
      <c r="DB21" s="949">
        <f t="shared" ca="1" si="52"/>
        <v>0</v>
      </c>
      <c r="DC21" s="949">
        <f t="shared" ca="1" si="52"/>
        <v>0</v>
      </c>
      <c r="DD21" s="949">
        <f t="shared" ca="1" si="52"/>
        <v>0</v>
      </c>
      <c r="DE21" s="949">
        <f t="shared" ca="1" si="52"/>
        <v>0</v>
      </c>
      <c r="DF21" s="949">
        <f t="shared" ca="1" si="52"/>
        <v>0</v>
      </c>
      <c r="DH21" s="553">
        <f t="shared" ca="1" si="35"/>
        <v>0</v>
      </c>
    </row>
    <row r="22" spans="1:112" s="522" customFormat="1" ht="15">
      <c r="A22" s="16"/>
      <c r="B22" s="527"/>
      <c r="C22" s="523" t="s">
        <v>569</v>
      </c>
      <c r="D22" s="499" t="str">
        <f>INDEX(Workstreams[Workstream], MATCH($C22, Workstreams[Code], 0))</f>
        <v>Industry</v>
      </c>
      <c r="E22" s="495"/>
      <c r="G22" s="667">
        <f ca="1">G21</f>
        <v>0</v>
      </c>
      <c r="H22" s="667">
        <f t="shared" ref="H22:P22" ca="1" si="53">H21</f>
        <v>0</v>
      </c>
      <c r="I22" s="667">
        <f t="shared" ca="1" si="53"/>
        <v>0</v>
      </c>
      <c r="J22" s="667">
        <f t="shared" ca="1" si="53"/>
        <v>0</v>
      </c>
      <c r="K22" s="667">
        <f t="shared" ca="1" si="53"/>
        <v>0</v>
      </c>
      <c r="L22" s="667">
        <f t="shared" ca="1" si="53"/>
        <v>0</v>
      </c>
      <c r="M22" s="667">
        <f t="shared" ca="1" si="53"/>
        <v>0</v>
      </c>
      <c r="N22" s="667">
        <f t="shared" ca="1" si="53"/>
        <v>0</v>
      </c>
      <c r="O22" s="667">
        <f t="shared" ca="1" si="53"/>
        <v>0</v>
      </c>
      <c r="P22" s="667">
        <f t="shared" ca="1" si="53"/>
        <v>0</v>
      </c>
      <c r="Q22" s="667">
        <f ca="1">SUM(G22:P22)</f>
        <v>0</v>
      </c>
      <c r="S22" s="617">
        <f t="shared" ref="S22:AJ22" ca="1" si="54">S21</f>
        <v>0</v>
      </c>
      <c r="T22" s="617">
        <f t="shared" ca="1" si="54"/>
        <v>0</v>
      </c>
      <c r="U22" s="617">
        <f t="shared" ca="1" si="54"/>
        <v>0</v>
      </c>
      <c r="V22" s="617">
        <f t="shared" ca="1" si="54"/>
        <v>0</v>
      </c>
      <c r="W22" s="617">
        <f t="shared" ca="1" si="54"/>
        <v>0</v>
      </c>
      <c r="X22" s="617">
        <f t="shared" ca="1" si="54"/>
        <v>0</v>
      </c>
      <c r="Y22" s="617">
        <f t="shared" ca="1" si="54"/>
        <v>0</v>
      </c>
      <c r="Z22" s="617">
        <f t="shared" ca="1" si="54"/>
        <v>0</v>
      </c>
      <c r="AA22" s="617">
        <f t="shared" ca="1" si="54"/>
        <v>0</v>
      </c>
      <c r="AB22" s="617">
        <f t="shared" ca="1" si="54"/>
        <v>0</v>
      </c>
      <c r="AC22" s="617">
        <f t="shared" ca="1" si="54"/>
        <v>0</v>
      </c>
      <c r="AD22" s="617">
        <f t="shared" ca="1" si="54"/>
        <v>0</v>
      </c>
      <c r="AE22" s="617">
        <f ca="1">AE21</f>
        <v>0</v>
      </c>
      <c r="AF22" s="617">
        <f t="shared" ca="1" si="54"/>
        <v>0</v>
      </c>
      <c r="AG22" s="617">
        <f t="shared" ca="1" si="54"/>
        <v>0</v>
      </c>
      <c r="AH22" s="617">
        <f ca="1">AH21</f>
        <v>0</v>
      </c>
      <c r="AI22" s="617">
        <f t="shared" ca="1" si="54"/>
        <v>0</v>
      </c>
      <c r="AJ22" s="617">
        <f t="shared" ca="1" si="54"/>
        <v>0</v>
      </c>
      <c r="AK22" s="617">
        <f ca="1">SUM(S22:AJ22)</f>
        <v>0</v>
      </c>
      <c r="AM22" s="623">
        <f t="shared" ref="AM22:AU22" ca="1" si="55">AM21</f>
        <v>0</v>
      </c>
      <c r="AN22" s="623">
        <f t="shared" ca="1" si="55"/>
        <v>0</v>
      </c>
      <c r="AO22" s="623">
        <f t="shared" ca="1" si="55"/>
        <v>0</v>
      </c>
      <c r="AP22" s="623">
        <f t="shared" ca="1" si="55"/>
        <v>0</v>
      </c>
      <c r="AQ22" s="623">
        <f t="shared" ca="1" si="55"/>
        <v>0</v>
      </c>
      <c r="AR22" s="623">
        <f t="shared" ca="1" si="55"/>
        <v>0</v>
      </c>
      <c r="AS22" s="623">
        <f t="shared" ca="1" si="55"/>
        <v>0</v>
      </c>
      <c r="AT22" s="623">
        <f t="shared" ca="1" si="55"/>
        <v>0</v>
      </c>
      <c r="AU22" s="623">
        <f t="shared" ca="1" si="55"/>
        <v>0</v>
      </c>
      <c r="AV22" s="623">
        <f t="shared" ref="AV22:BE22" ca="1" si="56">AV21</f>
        <v>0</v>
      </c>
      <c r="AW22" s="623">
        <f t="shared" ca="1" si="56"/>
        <v>0</v>
      </c>
      <c r="AX22" s="623">
        <f t="shared" ca="1" si="56"/>
        <v>0</v>
      </c>
      <c r="AY22" s="623">
        <f t="shared" ca="1" si="56"/>
        <v>0</v>
      </c>
      <c r="AZ22" s="623">
        <f t="shared" ca="1" si="56"/>
        <v>0</v>
      </c>
      <c r="BA22" s="623">
        <f t="shared" ca="1" si="56"/>
        <v>0</v>
      </c>
      <c r="BB22" s="623">
        <f t="shared" ca="1" si="56"/>
        <v>0</v>
      </c>
      <c r="BC22" s="623">
        <f t="shared" ca="1" si="56"/>
        <v>0</v>
      </c>
      <c r="BD22" s="623">
        <f ca="1">BD21</f>
        <v>0</v>
      </c>
      <c r="BE22" s="623">
        <f t="shared" ca="1" si="56"/>
        <v>0</v>
      </c>
      <c r="BF22" s="623">
        <f ca="1">SUM(AM22:BE22)</f>
        <v>0</v>
      </c>
      <c r="BH22" s="637">
        <f ca="1">BH21</f>
        <v>0</v>
      </c>
      <c r="BI22" s="637">
        <f ca="1">BI21</f>
        <v>0</v>
      </c>
      <c r="BJ22" s="637">
        <f ca="1">SUM(BH22:BI22)</f>
        <v>0</v>
      </c>
      <c r="BL22" s="497">
        <f t="shared" ca="1" si="9"/>
        <v>0</v>
      </c>
      <c r="BM22" s="497"/>
      <c r="BN22" s="555"/>
      <c r="BO22" s="945">
        <f t="shared" ref="BO22:DF22" ca="1" si="57">BO21</f>
        <v>0</v>
      </c>
      <c r="BP22" s="945">
        <f t="shared" ca="1" si="57"/>
        <v>0</v>
      </c>
      <c r="BQ22" s="945">
        <f t="shared" ca="1" si="57"/>
        <v>0</v>
      </c>
      <c r="BR22" s="945">
        <f t="shared" ca="1" si="57"/>
        <v>0</v>
      </c>
      <c r="BS22" s="945">
        <f t="shared" ca="1" si="57"/>
        <v>0</v>
      </c>
      <c r="BT22" s="945">
        <f t="shared" ca="1" si="57"/>
        <v>0</v>
      </c>
      <c r="BU22" s="945">
        <f t="shared" ca="1" si="57"/>
        <v>0</v>
      </c>
      <c r="BV22" s="945">
        <f t="shared" ca="1" si="57"/>
        <v>0</v>
      </c>
      <c r="BW22" s="945">
        <f t="shared" ca="1" si="57"/>
        <v>0</v>
      </c>
      <c r="BX22" s="945">
        <f t="shared" ca="1" si="57"/>
        <v>0</v>
      </c>
      <c r="BY22" s="945">
        <f t="shared" ca="1" si="57"/>
        <v>0</v>
      </c>
      <c r="BZ22" s="945">
        <f t="shared" ca="1" si="57"/>
        <v>0</v>
      </c>
      <c r="CA22" s="945">
        <f t="shared" ca="1" si="57"/>
        <v>0</v>
      </c>
      <c r="CB22" s="945">
        <f t="shared" ca="1" si="57"/>
        <v>0</v>
      </c>
      <c r="CC22" s="945">
        <f t="shared" ca="1" si="57"/>
        <v>0</v>
      </c>
      <c r="CD22" s="945">
        <f t="shared" ca="1" si="57"/>
        <v>0</v>
      </c>
      <c r="CE22" s="945">
        <f t="shared" ca="1" si="57"/>
        <v>0</v>
      </c>
      <c r="CF22" s="945">
        <f t="shared" ca="1" si="57"/>
        <v>0</v>
      </c>
      <c r="CG22" s="945">
        <f t="shared" ca="1" si="57"/>
        <v>0</v>
      </c>
      <c r="CH22" s="945">
        <f t="shared" ca="1" si="57"/>
        <v>0</v>
      </c>
      <c r="CI22" s="945">
        <f t="shared" ca="1" si="57"/>
        <v>0</v>
      </c>
      <c r="CJ22" s="945">
        <f t="shared" ca="1" si="57"/>
        <v>0</v>
      </c>
      <c r="CK22" s="945">
        <f t="shared" ca="1" si="57"/>
        <v>0</v>
      </c>
      <c r="CL22" s="945">
        <f t="shared" ca="1" si="57"/>
        <v>0</v>
      </c>
      <c r="CM22" s="945">
        <f t="shared" ca="1" si="57"/>
        <v>0</v>
      </c>
      <c r="CN22" s="945">
        <f t="shared" ca="1" si="57"/>
        <v>0</v>
      </c>
      <c r="CO22" s="945">
        <f t="shared" ca="1" si="57"/>
        <v>0</v>
      </c>
      <c r="CP22" s="945">
        <f t="shared" ca="1" si="57"/>
        <v>0</v>
      </c>
      <c r="CQ22" s="945">
        <f t="shared" ca="1" si="57"/>
        <v>0</v>
      </c>
      <c r="CR22" s="945">
        <f t="shared" ca="1" si="57"/>
        <v>0</v>
      </c>
      <c r="CS22" s="945">
        <f t="shared" ca="1" si="57"/>
        <v>0</v>
      </c>
      <c r="CT22" s="945">
        <f t="shared" ca="1" si="57"/>
        <v>0</v>
      </c>
      <c r="CU22" s="945">
        <f t="shared" ca="1" si="57"/>
        <v>0</v>
      </c>
      <c r="CV22" s="945">
        <f t="shared" ca="1" si="57"/>
        <v>0</v>
      </c>
      <c r="CW22" s="945">
        <f t="shared" ca="1" si="57"/>
        <v>0</v>
      </c>
      <c r="CX22" s="945">
        <f t="shared" ca="1" si="57"/>
        <v>0</v>
      </c>
      <c r="CY22" s="945">
        <f t="shared" ca="1" si="57"/>
        <v>0</v>
      </c>
      <c r="CZ22" s="945">
        <f t="shared" ca="1" si="57"/>
        <v>0</v>
      </c>
      <c r="DA22" s="945">
        <f t="shared" ca="1" si="57"/>
        <v>0</v>
      </c>
      <c r="DB22" s="945">
        <f t="shared" ca="1" si="57"/>
        <v>0</v>
      </c>
      <c r="DC22" s="945">
        <f t="shared" ca="1" si="57"/>
        <v>0</v>
      </c>
      <c r="DD22" s="945">
        <f t="shared" ca="1" si="57"/>
        <v>0</v>
      </c>
      <c r="DE22" s="945">
        <f t="shared" ca="1" si="57"/>
        <v>0</v>
      </c>
      <c r="DF22" s="945">
        <f t="shared" ca="1" si="57"/>
        <v>0</v>
      </c>
      <c r="DH22" s="553">
        <f t="shared" ca="1" si="35"/>
        <v>0</v>
      </c>
    </row>
    <row r="23" spans="1:112" s="522" customFormat="1" ht="12.75" customHeight="1" outlineLevel="1">
      <c r="A23" s="16"/>
      <c r="B23" s="16"/>
      <c r="C23" s="525"/>
      <c r="D23" s="495"/>
      <c r="E23" s="495"/>
      <c r="G23" s="667"/>
      <c r="H23" s="667"/>
      <c r="I23" s="667"/>
      <c r="J23" s="667"/>
      <c r="K23" s="667"/>
      <c r="L23" s="667"/>
      <c r="M23" s="667"/>
      <c r="N23" s="667"/>
      <c r="O23" s="667"/>
      <c r="P23" s="667"/>
      <c r="Q23" s="667"/>
      <c r="S23" s="617"/>
      <c r="T23" s="617"/>
      <c r="U23" s="617"/>
      <c r="V23" s="617"/>
      <c r="W23" s="617"/>
      <c r="X23" s="617"/>
      <c r="Y23" s="617"/>
      <c r="Z23" s="617"/>
      <c r="AA23" s="617"/>
      <c r="AB23" s="617"/>
      <c r="AC23" s="617"/>
      <c r="AD23" s="617"/>
      <c r="AE23" s="617"/>
      <c r="AF23" s="617"/>
      <c r="AG23" s="617"/>
      <c r="AH23" s="617"/>
      <c r="AI23" s="617"/>
      <c r="AJ23" s="617"/>
      <c r="AK23" s="617"/>
      <c r="AM23" s="623"/>
      <c r="AN23" s="623"/>
      <c r="AO23" s="623"/>
      <c r="AP23" s="623"/>
      <c r="AQ23" s="623"/>
      <c r="AR23" s="623"/>
      <c r="AS23" s="623"/>
      <c r="AT23" s="623"/>
      <c r="AU23" s="623"/>
      <c r="AV23" s="623"/>
      <c r="AW23" s="623"/>
      <c r="AX23" s="623"/>
      <c r="AY23" s="623"/>
      <c r="AZ23" s="623"/>
      <c r="BA23" s="623"/>
      <c r="BB23" s="623"/>
      <c r="BC23" s="623"/>
      <c r="BD23" s="623"/>
      <c r="BE23" s="623"/>
      <c r="BF23" s="623"/>
      <c r="BH23" s="637"/>
      <c r="BI23" s="637"/>
      <c r="BJ23" s="637"/>
      <c r="BL23" s="497">
        <f t="shared" si="9"/>
        <v>0</v>
      </c>
      <c r="BM23" s="497"/>
      <c r="BN23" s="16"/>
      <c r="BO23" s="945"/>
      <c r="BP23" s="945"/>
      <c r="BQ23" s="945"/>
      <c r="BR23" s="945"/>
      <c r="BS23" s="945"/>
      <c r="BT23" s="945"/>
      <c r="BU23" s="945"/>
      <c r="BV23" s="945"/>
      <c r="BW23" s="945"/>
      <c r="BX23" s="945"/>
      <c r="BY23" s="945"/>
      <c r="BZ23" s="945"/>
      <c r="CA23" s="945"/>
      <c r="CB23" s="945"/>
      <c r="CC23" s="945"/>
      <c r="CD23" s="945"/>
      <c r="CE23" s="945"/>
      <c r="CF23" s="945"/>
      <c r="CG23" s="945"/>
      <c r="CH23" s="945"/>
      <c r="CI23" s="945"/>
      <c r="CJ23" s="945"/>
      <c r="CK23" s="945"/>
      <c r="CL23" s="945"/>
      <c r="CM23" s="945"/>
      <c r="CN23" s="945"/>
      <c r="CO23" s="945"/>
      <c r="CP23" s="945"/>
      <c r="CQ23" s="945"/>
      <c r="CR23" s="945"/>
      <c r="CS23" s="945"/>
      <c r="CT23" s="945"/>
      <c r="CU23" s="945"/>
      <c r="CV23" s="945"/>
      <c r="CW23" s="945"/>
      <c r="CX23" s="945"/>
      <c r="CY23" s="945"/>
      <c r="CZ23" s="945"/>
      <c r="DA23" s="945"/>
      <c r="DB23" s="945"/>
      <c r="DC23" s="945"/>
      <c r="DD23" s="945"/>
      <c r="DE23" s="945"/>
      <c r="DF23" s="945"/>
      <c r="DH23" s="553">
        <f t="shared" si="35"/>
        <v>0</v>
      </c>
    </row>
    <row r="24" spans="1:112" s="522" customFormat="1" ht="12.75" customHeight="1" outlineLevel="1">
      <c r="A24" s="947"/>
      <c r="B24" s="947"/>
      <c r="C24" s="524" t="s">
        <v>702</v>
      </c>
      <c r="D24" s="505" t="str">
        <f>INDEX(Modules[Module], MATCH($C24, Modules[Code], 0))</f>
        <v>Domestic passenger transport</v>
      </c>
      <c r="E24" s="652"/>
      <c r="G24" s="663">
        <f t="shared" ref="G24:P27" ca="1" si="58">IFERROR(INDEX(INDIRECT($C24&amp;".Outputs["&amp;this.Year&amp;"]"), MATCH(G$5, INDIRECT($C24&amp;".Outputs[Vector]"), 0)), 0)</f>
        <v>0</v>
      </c>
      <c r="H24" s="663">
        <f t="shared" ca="1" si="58"/>
        <v>0</v>
      </c>
      <c r="I24" s="663">
        <f t="shared" ca="1" si="58"/>
        <v>0</v>
      </c>
      <c r="J24" s="663">
        <f t="shared" ca="1" si="58"/>
        <v>0</v>
      </c>
      <c r="K24" s="663">
        <f t="shared" ca="1" si="58"/>
        <v>0</v>
      </c>
      <c r="L24" s="663">
        <f t="shared" ca="1" si="58"/>
        <v>0</v>
      </c>
      <c r="M24" s="663">
        <f t="shared" ca="1" si="58"/>
        <v>0</v>
      </c>
      <c r="N24" s="663">
        <f t="shared" ca="1" si="58"/>
        <v>0</v>
      </c>
      <c r="O24" s="663">
        <f t="shared" ca="1" si="58"/>
        <v>0</v>
      </c>
      <c r="P24" s="663">
        <f t="shared" ca="1" si="58"/>
        <v>0</v>
      </c>
      <c r="Q24" s="665">
        <f t="shared" ref="Q24:Q32" ca="1" si="59">SUM(G24:P24)</f>
        <v>0</v>
      </c>
      <c r="S24" s="672">
        <f t="shared" ref="S24:BE30" ca="1" si="60">IFERROR(INDEX(INDIRECT($C24&amp;".Outputs["&amp;this.Year&amp;"]"), MATCH(S$5, INDIRECT($C24&amp;".Outputs[Vector]"), 0)), 0)</f>
        <v>0</v>
      </c>
      <c r="T24" s="672">
        <f t="shared" ca="1" si="60"/>
        <v>0</v>
      </c>
      <c r="U24" s="672">
        <f t="shared" ca="1" si="60"/>
        <v>0</v>
      </c>
      <c r="V24" s="672">
        <f t="shared" ca="1" si="60"/>
        <v>0</v>
      </c>
      <c r="W24" s="672">
        <f t="shared" ca="1" si="60"/>
        <v>0</v>
      </c>
      <c r="X24" s="672">
        <f t="shared" ref="X24:Z27" ca="1" si="61">IFERROR(INDEX(INDIRECT($C24&amp;".Outputs["&amp;this.Year&amp;"]"), MATCH(X$5, INDIRECT($C24&amp;".Outputs[Vector]"), 0)), 0)</f>
        <v>0</v>
      </c>
      <c r="Y24" s="672">
        <f t="shared" ca="1" si="61"/>
        <v>0</v>
      </c>
      <c r="Z24" s="672">
        <f t="shared" ca="1" si="61"/>
        <v>0</v>
      </c>
      <c r="AA24" s="672">
        <f t="shared" ca="1" si="60"/>
        <v>0</v>
      </c>
      <c r="AB24" s="672">
        <f t="shared" ca="1" si="60"/>
        <v>0</v>
      </c>
      <c r="AC24" s="672">
        <f t="shared" ca="1" si="60"/>
        <v>0</v>
      </c>
      <c r="AD24" s="672">
        <f t="shared" ca="1" si="60"/>
        <v>0</v>
      </c>
      <c r="AE24" s="672">
        <f t="shared" ca="1" si="60"/>
        <v>0</v>
      </c>
      <c r="AF24" s="672">
        <f t="shared" ca="1" si="60"/>
        <v>0</v>
      </c>
      <c r="AG24" s="672">
        <f t="shared" ca="1" si="60"/>
        <v>0</v>
      </c>
      <c r="AH24" s="672">
        <f t="shared" ca="1" si="60"/>
        <v>0</v>
      </c>
      <c r="AI24" s="672">
        <f t="shared" ca="1" si="60"/>
        <v>0</v>
      </c>
      <c r="AJ24" s="672">
        <f t="shared" ca="1" si="60"/>
        <v>0</v>
      </c>
      <c r="AK24" s="673">
        <f t="shared" ref="AK24:AK32" ca="1" si="62">SUM(S24:AJ24)</f>
        <v>0</v>
      </c>
      <c r="AM24" s="684">
        <f t="shared" ref="AM24:AU27" ca="1" si="63">IFERROR(INDEX(INDIRECT($C24&amp;".Outputs["&amp;this.Year&amp;"]"), MATCH(AM$5, INDIRECT($C24&amp;".Outputs[Vector]"), 0)), 0)</f>
        <v>0</v>
      </c>
      <c r="AN24" s="684">
        <f t="shared" ca="1" si="63"/>
        <v>0</v>
      </c>
      <c r="AO24" s="684">
        <f t="shared" ca="1" si="63"/>
        <v>0</v>
      </c>
      <c r="AP24" s="684">
        <f t="shared" ca="1" si="63"/>
        <v>0</v>
      </c>
      <c r="AQ24" s="684">
        <f t="shared" ca="1" si="63"/>
        <v>0</v>
      </c>
      <c r="AR24" s="684">
        <f t="shared" ca="1" si="63"/>
        <v>0</v>
      </c>
      <c r="AS24" s="684">
        <f t="shared" ca="1" si="63"/>
        <v>0</v>
      </c>
      <c r="AT24" s="684">
        <f t="shared" ca="1" si="63"/>
        <v>0</v>
      </c>
      <c r="AU24" s="684">
        <f t="shared" ca="1" si="63"/>
        <v>0</v>
      </c>
      <c r="AV24" s="684">
        <f t="shared" ca="1" si="60"/>
        <v>0</v>
      </c>
      <c r="AW24" s="684">
        <f t="shared" ca="1" si="60"/>
        <v>0</v>
      </c>
      <c r="AX24" s="684">
        <f t="shared" ca="1" si="60"/>
        <v>0</v>
      </c>
      <c r="AY24" s="684">
        <f t="shared" ca="1" si="60"/>
        <v>0</v>
      </c>
      <c r="AZ24" s="684">
        <f t="shared" ca="1" si="60"/>
        <v>0</v>
      </c>
      <c r="BA24" s="684">
        <f t="shared" ca="1" si="60"/>
        <v>0</v>
      </c>
      <c r="BB24" s="684">
        <f t="shared" ca="1" si="60"/>
        <v>0</v>
      </c>
      <c r="BC24" s="684">
        <f t="shared" ca="1" si="60"/>
        <v>0</v>
      </c>
      <c r="BD24" s="684">
        <f t="shared" ca="1" si="60"/>
        <v>0</v>
      </c>
      <c r="BE24" s="684">
        <f t="shared" ca="1" si="60"/>
        <v>0</v>
      </c>
      <c r="BF24" s="626">
        <f t="shared" ref="BF24:BF32" ca="1" si="64">SUM(AM24:BE24)</f>
        <v>0</v>
      </c>
      <c r="BH24" s="678">
        <f t="shared" ref="BH24:BI30" ca="1" si="65">IFERROR(INDEX(INDIRECT($C24&amp;".Outputs["&amp;this.Year&amp;"]"), MATCH(BH$5, INDIRECT($C24&amp;".Outputs[Vector]"), 0)), 0)</f>
        <v>0</v>
      </c>
      <c r="BI24" s="678">
        <f t="shared" ca="1" si="65"/>
        <v>0</v>
      </c>
      <c r="BJ24" s="680">
        <f t="shared" ref="BJ24:BJ32" ca="1" si="66">SUM(BH24:BI24)</f>
        <v>0</v>
      </c>
      <c r="BL24" s="547">
        <f t="shared" ca="1" si="9"/>
        <v>0</v>
      </c>
      <c r="BM24" s="547"/>
      <c r="BN24" s="555"/>
      <c r="BO24" s="944">
        <f t="shared" ref="BO24:BX27" ca="1" si="67">IFERROR(SUMIFS(INDIRECT($C24&amp;".Emissions["&amp;this.Year&amp;"]"), INDIRECT($C24&amp;".Emissions[GHG]"), BO$6, INDIRECT($C24&amp;".Emissions[IPCC Sector]"), BO$5),0)</f>
        <v>0</v>
      </c>
      <c r="BP24" s="945">
        <f t="shared" ca="1" si="67"/>
        <v>0</v>
      </c>
      <c r="BQ24" s="945">
        <f t="shared" ca="1" si="67"/>
        <v>0</v>
      </c>
      <c r="BR24" s="945">
        <f t="shared" ca="1" si="67"/>
        <v>0</v>
      </c>
      <c r="BS24" s="945">
        <f t="shared" ca="1" si="67"/>
        <v>0</v>
      </c>
      <c r="BT24" s="945">
        <f t="shared" ca="1" si="67"/>
        <v>0</v>
      </c>
      <c r="BU24" s="945">
        <f t="shared" ca="1" si="67"/>
        <v>0</v>
      </c>
      <c r="BV24" s="945">
        <f t="shared" ca="1" si="67"/>
        <v>0</v>
      </c>
      <c r="BW24" s="945">
        <f t="shared" ca="1" si="67"/>
        <v>0</v>
      </c>
      <c r="BX24" s="945">
        <f t="shared" ca="1" si="67"/>
        <v>0</v>
      </c>
      <c r="BY24" s="945">
        <f t="shared" ref="BY24:CH27" ca="1" si="68">IFERROR(SUMIFS(INDIRECT($C24&amp;".Emissions["&amp;this.Year&amp;"]"), INDIRECT($C24&amp;".Emissions[GHG]"), BY$6, INDIRECT($C24&amp;".Emissions[IPCC Sector]"), BY$5),0)</f>
        <v>0</v>
      </c>
      <c r="BZ24" s="945">
        <f t="shared" ca="1" si="68"/>
        <v>0</v>
      </c>
      <c r="CA24" s="945">
        <f t="shared" ca="1" si="68"/>
        <v>0</v>
      </c>
      <c r="CB24" s="945">
        <f t="shared" ca="1" si="68"/>
        <v>0</v>
      </c>
      <c r="CC24" s="945">
        <f t="shared" ca="1" si="68"/>
        <v>0</v>
      </c>
      <c r="CD24" s="945">
        <f t="shared" ca="1" si="68"/>
        <v>0</v>
      </c>
      <c r="CE24" s="945">
        <f t="shared" ca="1" si="68"/>
        <v>0</v>
      </c>
      <c r="CF24" s="945">
        <f t="shared" ca="1" si="68"/>
        <v>0</v>
      </c>
      <c r="CG24" s="945">
        <f t="shared" ca="1" si="68"/>
        <v>0</v>
      </c>
      <c r="CH24" s="945">
        <f t="shared" ca="1" si="68"/>
        <v>0</v>
      </c>
      <c r="CI24" s="945">
        <f t="shared" ref="CI24:CR27" ca="1" si="69">IFERROR(SUMIFS(INDIRECT($C24&amp;".Emissions["&amp;this.Year&amp;"]"), INDIRECT($C24&amp;".Emissions[GHG]"), CI$6, INDIRECT($C24&amp;".Emissions[IPCC Sector]"), CI$5),0)</f>
        <v>0</v>
      </c>
      <c r="CJ24" s="945">
        <f t="shared" ca="1" si="69"/>
        <v>0</v>
      </c>
      <c r="CK24" s="945">
        <f t="shared" ca="1" si="69"/>
        <v>0</v>
      </c>
      <c r="CL24" s="945">
        <f t="shared" ca="1" si="69"/>
        <v>0</v>
      </c>
      <c r="CM24" s="945">
        <f t="shared" ca="1" si="69"/>
        <v>0</v>
      </c>
      <c r="CN24" s="945">
        <f t="shared" ca="1" si="69"/>
        <v>0</v>
      </c>
      <c r="CO24" s="945">
        <f t="shared" ca="1" si="69"/>
        <v>0</v>
      </c>
      <c r="CP24" s="945">
        <f t="shared" ca="1" si="69"/>
        <v>0</v>
      </c>
      <c r="CQ24" s="945">
        <f t="shared" ca="1" si="69"/>
        <v>0</v>
      </c>
      <c r="CR24" s="945">
        <f t="shared" ca="1" si="69"/>
        <v>0</v>
      </c>
      <c r="CS24" s="945">
        <f t="shared" ref="CS24:DF27" ca="1" si="70">IFERROR(SUMIFS(INDIRECT($C24&amp;".Emissions["&amp;this.Year&amp;"]"), INDIRECT($C24&amp;".Emissions[GHG]"), CS$6, INDIRECT($C24&amp;".Emissions[IPCC Sector]"), CS$5),0)</f>
        <v>0</v>
      </c>
      <c r="CT24" s="945">
        <f t="shared" ca="1" si="70"/>
        <v>0</v>
      </c>
      <c r="CU24" s="945">
        <f t="shared" ca="1" si="70"/>
        <v>0</v>
      </c>
      <c r="CV24" s="945">
        <f t="shared" ca="1" si="70"/>
        <v>0</v>
      </c>
      <c r="CW24" s="945">
        <f t="shared" ca="1" si="70"/>
        <v>0</v>
      </c>
      <c r="CX24" s="945">
        <f t="shared" ca="1" si="70"/>
        <v>0</v>
      </c>
      <c r="CY24" s="945">
        <f t="shared" ca="1" si="70"/>
        <v>0</v>
      </c>
      <c r="CZ24" s="945">
        <f t="shared" ca="1" si="70"/>
        <v>0</v>
      </c>
      <c r="DA24" s="945">
        <f t="shared" ca="1" si="70"/>
        <v>0</v>
      </c>
      <c r="DB24" s="945">
        <f t="shared" ca="1" si="70"/>
        <v>0</v>
      </c>
      <c r="DC24" s="945">
        <f t="shared" ca="1" si="70"/>
        <v>0</v>
      </c>
      <c r="DD24" s="945">
        <f t="shared" ca="1" si="70"/>
        <v>0</v>
      </c>
      <c r="DE24" s="945">
        <f t="shared" ca="1" si="70"/>
        <v>0</v>
      </c>
      <c r="DF24" s="945">
        <f t="shared" ca="1" si="70"/>
        <v>0</v>
      </c>
      <c r="DH24" s="553">
        <f t="shared" ca="1" si="35"/>
        <v>0</v>
      </c>
    </row>
    <row r="25" spans="1:112" s="522" customFormat="1" ht="12.75" customHeight="1" outlineLevel="1">
      <c r="A25" s="947"/>
      <c r="B25" s="947"/>
      <c r="C25" s="524" t="s">
        <v>714</v>
      </c>
      <c r="D25" s="505" t="str">
        <f>INDEX(Modules[Module], MATCH($C25, Modules[Code], 0))</f>
        <v>Domestic freight</v>
      </c>
      <c r="E25" s="652"/>
      <c r="G25" s="663">
        <f t="shared" ca="1" si="58"/>
        <v>0</v>
      </c>
      <c r="H25" s="663">
        <f t="shared" ca="1" si="58"/>
        <v>0</v>
      </c>
      <c r="I25" s="663">
        <f t="shared" ca="1" si="58"/>
        <v>0</v>
      </c>
      <c r="J25" s="663">
        <f t="shared" ca="1" si="58"/>
        <v>0</v>
      </c>
      <c r="K25" s="663">
        <f t="shared" ca="1" si="58"/>
        <v>0</v>
      </c>
      <c r="L25" s="663">
        <f t="shared" ca="1" si="58"/>
        <v>0</v>
      </c>
      <c r="M25" s="663">
        <f t="shared" ca="1" si="58"/>
        <v>0</v>
      </c>
      <c r="N25" s="663">
        <f t="shared" ca="1" si="58"/>
        <v>0</v>
      </c>
      <c r="O25" s="663">
        <f t="shared" ca="1" si="58"/>
        <v>0</v>
      </c>
      <c r="P25" s="663">
        <f t="shared" ca="1" si="58"/>
        <v>0</v>
      </c>
      <c r="Q25" s="665">
        <f t="shared" ca="1" si="59"/>
        <v>0</v>
      </c>
      <c r="S25" s="672">
        <f t="shared" ca="1" si="60"/>
        <v>0</v>
      </c>
      <c r="T25" s="672">
        <f t="shared" ca="1" si="60"/>
        <v>0</v>
      </c>
      <c r="U25" s="672">
        <f t="shared" ca="1" si="60"/>
        <v>0</v>
      </c>
      <c r="V25" s="672">
        <f t="shared" ca="1" si="60"/>
        <v>0</v>
      </c>
      <c r="W25" s="672">
        <f t="shared" ca="1" si="60"/>
        <v>0</v>
      </c>
      <c r="X25" s="672">
        <f t="shared" ca="1" si="61"/>
        <v>0</v>
      </c>
      <c r="Y25" s="672">
        <f t="shared" ca="1" si="61"/>
        <v>0</v>
      </c>
      <c r="Z25" s="672">
        <f t="shared" ca="1" si="61"/>
        <v>0</v>
      </c>
      <c r="AA25" s="672">
        <f t="shared" ca="1" si="60"/>
        <v>0</v>
      </c>
      <c r="AB25" s="672">
        <f t="shared" ca="1" si="60"/>
        <v>0</v>
      </c>
      <c r="AC25" s="672">
        <f t="shared" ca="1" si="60"/>
        <v>0</v>
      </c>
      <c r="AD25" s="672">
        <f t="shared" ca="1" si="60"/>
        <v>0</v>
      </c>
      <c r="AE25" s="672">
        <f t="shared" ca="1" si="60"/>
        <v>0</v>
      </c>
      <c r="AF25" s="672">
        <f t="shared" ca="1" si="60"/>
        <v>0</v>
      </c>
      <c r="AG25" s="672">
        <f t="shared" ca="1" si="60"/>
        <v>0</v>
      </c>
      <c r="AH25" s="672">
        <f t="shared" ca="1" si="60"/>
        <v>0</v>
      </c>
      <c r="AI25" s="672">
        <f t="shared" ca="1" si="60"/>
        <v>0</v>
      </c>
      <c r="AJ25" s="672">
        <f t="shared" ca="1" si="60"/>
        <v>0</v>
      </c>
      <c r="AK25" s="673">
        <f t="shared" ca="1" si="62"/>
        <v>0</v>
      </c>
      <c r="AM25" s="684">
        <f t="shared" ca="1" si="63"/>
        <v>0</v>
      </c>
      <c r="AN25" s="684">
        <f t="shared" ca="1" si="63"/>
        <v>0</v>
      </c>
      <c r="AO25" s="684">
        <f t="shared" ca="1" si="63"/>
        <v>0</v>
      </c>
      <c r="AP25" s="684">
        <f t="shared" ca="1" si="63"/>
        <v>0</v>
      </c>
      <c r="AQ25" s="684">
        <f t="shared" ca="1" si="63"/>
        <v>0</v>
      </c>
      <c r="AR25" s="684">
        <f t="shared" ca="1" si="63"/>
        <v>0</v>
      </c>
      <c r="AS25" s="684">
        <f t="shared" ca="1" si="63"/>
        <v>0</v>
      </c>
      <c r="AT25" s="684">
        <f t="shared" ca="1" si="63"/>
        <v>0</v>
      </c>
      <c r="AU25" s="684">
        <f t="shared" ca="1" si="63"/>
        <v>0</v>
      </c>
      <c r="AV25" s="684">
        <f t="shared" ca="1" si="60"/>
        <v>0</v>
      </c>
      <c r="AW25" s="684">
        <f t="shared" ca="1" si="60"/>
        <v>0</v>
      </c>
      <c r="AX25" s="684">
        <f t="shared" ca="1" si="60"/>
        <v>0</v>
      </c>
      <c r="AY25" s="684">
        <f t="shared" ca="1" si="60"/>
        <v>0</v>
      </c>
      <c r="AZ25" s="684">
        <f t="shared" ca="1" si="60"/>
        <v>0</v>
      </c>
      <c r="BA25" s="684">
        <f t="shared" ca="1" si="60"/>
        <v>0</v>
      </c>
      <c r="BB25" s="684">
        <f t="shared" ca="1" si="60"/>
        <v>0</v>
      </c>
      <c r="BC25" s="684">
        <f t="shared" ca="1" si="60"/>
        <v>0</v>
      </c>
      <c r="BD25" s="684">
        <f t="shared" ca="1" si="60"/>
        <v>0</v>
      </c>
      <c r="BE25" s="684">
        <f t="shared" ca="1" si="60"/>
        <v>0</v>
      </c>
      <c r="BF25" s="626">
        <f t="shared" ca="1" si="64"/>
        <v>0</v>
      </c>
      <c r="BH25" s="678">
        <f t="shared" ca="1" si="65"/>
        <v>0</v>
      </c>
      <c r="BI25" s="678">
        <f t="shared" ca="1" si="65"/>
        <v>0</v>
      </c>
      <c r="BJ25" s="680">
        <f t="shared" ca="1" si="66"/>
        <v>0</v>
      </c>
      <c r="BL25" s="547">
        <f t="shared" ca="1" si="9"/>
        <v>0</v>
      </c>
      <c r="BM25" s="547"/>
      <c r="BN25" s="555"/>
      <c r="BO25" s="944">
        <f t="shared" ca="1" si="67"/>
        <v>0</v>
      </c>
      <c r="BP25" s="945">
        <f t="shared" ca="1" si="67"/>
        <v>0</v>
      </c>
      <c r="BQ25" s="945">
        <f t="shared" ca="1" si="67"/>
        <v>0</v>
      </c>
      <c r="BR25" s="945">
        <f t="shared" ca="1" si="67"/>
        <v>0</v>
      </c>
      <c r="BS25" s="945">
        <f t="shared" ca="1" si="67"/>
        <v>0</v>
      </c>
      <c r="BT25" s="945">
        <f t="shared" ca="1" si="67"/>
        <v>0</v>
      </c>
      <c r="BU25" s="945">
        <f t="shared" ca="1" si="67"/>
        <v>0</v>
      </c>
      <c r="BV25" s="945">
        <f t="shared" ca="1" si="67"/>
        <v>0</v>
      </c>
      <c r="BW25" s="945">
        <f t="shared" ca="1" si="67"/>
        <v>0</v>
      </c>
      <c r="BX25" s="945">
        <f t="shared" ca="1" si="67"/>
        <v>0</v>
      </c>
      <c r="BY25" s="945">
        <f t="shared" ca="1" si="68"/>
        <v>0</v>
      </c>
      <c r="BZ25" s="945">
        <f t="shared" ca="1" si="68"/>
        <v>0</v>
      </c>
      <c r="CA25" s="945">
        <f t="shared" ca="1" si="68"/>
        <v>0</v>
      </c>
      <c r="CB25" s="945">
        <f t="shared" ca="1" si="68"/>
        <v>0</v>
      </c>
      <c r="CC25" s="945">
        <f t="shared" ca="1" si="68"/>
        <v>0</v>
      </c>
      <c r="CD25" s="945">
        <f t="shared" ca="1" si="68"/>
        <v>0</v>
      </c>
      <c r="CE25" s="945">
        <f t="shared" ca="1" si="68"/>
        <v>0</v>
      </c>
      <c r="CF25" s="945">
        <f t="shared" ca="1" si="68"/>
        <v>0</v>
      </c>
      <c r="CG25" s="945">
        <f t="shared" ca="1" si="68"/>
        <v>0</v>
      </c>
      <c r="CH25" s="945">
        <f t="shared" ca="1" si="68"/>
        <v>0</v>
      </c>
      <c r="CI25" s="945">
        <f t="shared" ca="1" si="69"/>
        <v>0</v>
      </c>
      <c r="CJ25" s="945">
        <f t="shared" ca="1" si="69"/>
        <v>0</v>
      </c>
      <c r="CK25" s="945">
        <f t="shared" ca="1" si="69"/>
        <v>0</v>
      </c>
      <c r="CL25" s="945">
        <f t="shared" ca="1" si="69"/>
        <v>0</v>
      </c>
      <c r="CM25" s="945">
        <f t="shared" ca="1" si="69"/>
        <v>0</v>
      </c>
      <c r="CN25" s="945">
        <f t="shared" ca="1" si="69"/>
        <v>0</v>
      </c>
      <c r="CO25" s="945">
        <f t="shared" ca="1" si="69"/>
        <v>0</v>
      </c>
      <c r="CP25" s="945">
        <f t="shared" ca="1" si="69"/>
        <v>0</v>
      </c>
      <c r="CQ25" s="945">
        <f t="shared" ca="1" si="69"/>
        <v>0</v>
      </c>
      <c r="CR25" s="945">
        <f t="shared" ca="1" si="69"/>
        <v>0</v>
      </c>
      <c r="CS25" s="945">
        <f t="shared" ca="1" si="70"/>
        <v>0</v>
      </c>
      <c r="CT25" s="945">
        <f t="shared" ca="1" si="70"/>
        <v>0</v>
      </c>
      <c r="CU25" s="945">
        <f t="shared" ca="1" si="70"/>
        <v>0</v>
      </c>
      <c r="CV25" s="945">
        <f t="shared" ca="1" si="70"/>
        <v>0</v>
      </c>
      <c r="CW25" s="945">
        <f t="shared" ca="1" si="70"/>
        <v>0</v>
      </c>
      <c r="CX25" s="945">
        <f t="shared" ca="1" si="70"/>
        <v>0</v>
      </c>
      <c r="CY25" s="945">
        <f t="shared" ca="1" si="70"/>
        <v>0</v>
      </c>
      <c r="CZ25" s="945">
        <f t="shared" ca="1" si="70"/>
        <v>0</v>
      </c>
      <c r="DA25" s="945">
        <f t="shared" ca="1" si="70"/>
        <v>0</v>
      </c>
      <c r="DB25" s="945">
        <f t="shared" ca="1" si="70"/>
        <v>0</v>
      </c>
      <c r="DC25" s="945">
        <f t="shared" ca="1" si="70"/>
        <v>0</v>
      </c>
      <c r="DD25" s="945">
        <f t="shared" ca="1" si="70"/>
        <v>0</v>
      </c>
      <c r="DE25" s="945">
        <f t="shared" ca="1" si="70"/>
        <v>0</v>
      </c>
      <c r="DF25" s="945">
        <f t="shared" ca="1" si="70"/>
        <v>0</v>
      </c>
      <c r="DH25" s="553">
        <f t="shared" ca="1" si="35"/>
        <v>0</v>
      </c>
    </row>
    <row r="26" spans="1:112" s="522" customFormat="1" ht="10.5" customHeight="1" outlineLevel="2">
      <c r="A26" s="943"/>
      <c r="B26" s="943"/>
      <c r="C26" s="524" t="s">
        <v>715</v>
      </c>
      <c r="D26" s="505" t="str">
        <f>INDEX(Modules[Module], MATCH($C26, Modules[Code], 0))</f>
        <v>International aviation</v>
      </c>
      <c r="E26" s="652"/>
      <c r="G26" s="663">
        <f t="shared" ca="1" si="58"/>
        <v>0</v>
      </c>
      <c r="H26" s="663">
        <f t="shared" ca="1" si="58"/>
        <v>0</v>
      </c>
      <c r="I26" s="663">
        <f t="shared" ca="1" si="58"/>
        <v>0</v>
      </c>
      <c r="J26" s="663">
        <f t="shared" ca="1" si="58"/>
        <v>0</v>
      </c>
      <c r="K26" s="663">
        <f t="shared" ca="1" si="58"/>
        <v>0</v>
      </c>
      <c r="L26" s="663">
        <f t="shared" ca="1" si="58"/>
        <v>0</v>
      </c>
      <c r="M26" s="663">
        <f t="shared" ca="1" si="58"/>
        <v>0</v>
      </c>
      <c r="N26" s="663">
        <f t="shared" ca="1" si="58"/>
        <v>0</v>
      </c>
      <c r="O26" s="663">
        <f t="shared" ca="1" si="58"/>
        <v>0</v>
      </c>
      <c r="P26" s="663">
        <f t="shared" ca="1" si="58"/>
        <v>0</v>
      </c>
      <c r="Q26" s="665">
        <f t="shared" ca="1" si="59"/>
        <v>0</v>
      </c>
      <c r="S26" s="672">
        <f t="shared" ca="1" si="60"/>
        <v>0</v>
      </c>
      <c r="T26" s="672">
        <f t="shared" ca="1" si="60"/>
        <v>0</v>
      </c>
      <c r="U26" s="672">
        <f t="shared" ca="1" si="60"/>
        <v>0</v>
      </c>
      <c r="V26" s="672">
        <f t="shared" ca="1" si="60"/>
        <v>0</v>
      </c>
      <c r="W26" s="672">
        <f t="shared" ca="1" si="60"/>
        <v>0</v>
      </c>
      <c r="X26" s="672">
        <f t="shared" ca="1" si="61"/>
        <v>0</v>
      </c>
      <c r="Y26" s="672">
        <f t="shared" ca="1" si="61"/>
        <v>0</v>
      </c>
      <c r="Z26" s="672">
        <f t="shared" ca="1" si="61"/>
        <v>0</v>
      </c>
      <c r="AA26" s="672">
        <f t="shared" ca="1" si="60"/>
        <v>0</v>
      </c>
      <c r="AB26" s="672">
        <f t="shared" ca="1" si="60"/>
        <v>0</v>
      </c>
      <c r="AC26" s="672">
        <f t="shared" ca="1" si="60"/>
        <v>0</v>
      </c>
      <c r="AD26" s="672">
        <f t="shared" ca="1" si="60"/>
        <v>0</v>
      </c>
      <c r="AE26" s="672">
        <f t="shared" ca="1" si="60"/>
        <v>0</v>
      </c>
      <c r="AF26" s="672">
        <f t="shared" ca="1" si="60"/>
        <v>0</v>
      </c>
      <c r="AG26" s="672">
        <f t="shared" ca="1" si="60"/>
        <v>0</v>
      </c>
      <c r="AH26" s="672">
        <f t="shared" ca="1" si="60"/>
        <v>0</v>
      </c>
      <c r="AI26" s="672">
        <f t="shared" ca="1" si="60"/>
        <v>0</v>
      </c>
      <c r="AJ26" s="672">
        <f t="shared" ca="1" si="60"/>
        <v>0</v>
      </c>
      <c r="AK26" s="673">
        <f t="shared" ca="1" si="62"/>
        <v>0</v>
      </c>
      <c r="AM26" s="684">
        <f t="shared" ca="1" si="63"/>
        <v>0</v>
      </c>
      <c r="AN26" s="684">
        <f t="shared" ca="1" si="63"/>
        <v>0</v>
      </c>
      <c r="AO26" s="684">
        <f t="shared" ca="1" si="63"/>
        <v>0</v>
      </c>
      <c r="AP26" s="684">
        <f t="shared" ca="1" si="63"/>
        <v>0</v>
      </c>
      <c r="AQ26" s="684">
        <f t="shared" ca="1" si="63"/>
        <v>0</v>
      </c>
      <c r="AR26" s="684">
        <f t="shared" ca="1" si="63"/>
        <v>0</v>
      </c>
      <c r="AS26" s="684">
        <f t="shared" ca="1" si="63"/>
        <v>0</v>
      </c>
      <c r="AT26" s="684">
        <f t="shared" ca="1" si="63"/>
        <v>0</v>
      </c>
      <c r="AU26" s="684">
        <f t="shared" ca="1" si="63"/>
        <v>0</v>
      </c>
      <c r="AV26" s="684">
        <f t="shared" ca="1" si="60"/>
        <v>0</v>
      </c>
      <c r="AW26" s="684">
        <f t="shared" ca="1" si="60"/>
        <v>0</v>
      </c>
      <c r="AX26" s="684">
        <f t="shared" ca="1" si="60"/>
        <v>0</v>
      </c>
      <c r="AY26" s="684">
        <f t="shared" ca="1" si="60"/>
        <v>0</v>
      </c>
      <c r="AZ26" s="684">
        <f t="shared" ca="1" si="60"/>
        <v>0</v>
      </c>
      <c r="BA26" s="684">
        <f t="shared" ca="1" si="60"/>
        <v>0</v>
      </c>
      <c r="BB26" s="684">
        <f t="shared" ca="1" si="60"/>
        <v>0</v>
      </c>
      <c r="BC26" s="684">
        <f t="shared" ca="1" si="60"/>
        <v>0</v>
      </c>
      <c r="BD26" s="684">
        <f t="shared" ca="1" si="60"/>
        <v>0</v>
      </c>
      <c r="BE26" s="684">
        <f t="shared" ca="1" si="60"/>
        <v>0</v>
      </c>
      <c r="BF26" s="624">
        <f t="shared" ca="1" si="64"/>
        <v>0</v>
      </c>
      <c r="BH26" s="678">
        <f t="shared" ca="1" si="65"/>
        <v>0</v>
      </c>
      <c r="BI26" s="678">
        <f t="shared" ca="1" si="65"/>
        <v>0</v>
      </c>
      <c r="BJ26" s="680">
        <f t="shared" ca="1" si="66"/>
        <v>0</v>
      </c>
      <c r="BL26" s="506">
        <f t="shared" ca="1" si="9"/>
        <v>0</v>
      </c>
      <c r="BM26" s="506"/>
      <c r="BN26" s="555"/>
      <c r="BO26" s="944">
        <f t="shared" ca="1" si="67"/>
        <v>0</v>
      </c>
      <c r="BP26" s="945">
        <f t="shared" ca="1" si="67"/>
        <v>0</v>
      </c>
      <c r="BQ26" s="945">
        <f t="shared" ca="1" si="67"/>
        <v>0</v>
      </c>
      <c r="BR26" s="945">
        <f t="shared" ca="1" si="67"/>
        <v>0</v>
      </c>
      <c r="BS26" s="945">
        <f t="shared" ca="1" si="67"/>
        <v>0</v>
      </c>
      <c r="BT26" s="945">
        <f t="shared" ca="1" si="67"/>
        <v>0</v>
      </c>
      <c r="BU26" s="945">
        <f t="shared" ca="1" si="67"/>
        <v>0</v>
      </c>
      <c r="BV26" s="945">
        <f t="shared" ca="1" si="67"/>
        <v>0</v>
      </c>
      <c r="BW26" s="945">
        <f t="shared" ca="1" si="67"/>
        <v>0</v>
      </c>
      <c r="BX26" s="945">
        <f t="shared" ca="1" si="67"/>
        <v>0</v>
      </c>
      <c r="BY26" s="945">
        <f t="shared" ca="1" si="68"/>
        <v>0</v>
      </c>
      <c r="BZ26" s="945">
        <f t="shared" ca="1" si="68"/>
        <v>0</v>
      </c>
      <c r="CA26" s="945">
        <f t="shared" ca="1" si="68"/>
        <v>0</v>
      </c>
      <c r="CB26" s="945">
        <f t="shared" ca="1" si="68"/>
        <v>0</v>
      </c>
      <c r="CC26" s="945">
        <f t="shared" ca="1" si="68"/>
        <v>0</v>
      </c>
      <c r="CD26" s="945">
        <f t="shared" ca="1" si="68"/>
        <v>0</v>
      </c>
      <c r="CE26" s="945">
        <f t="shared" ca="1" si="68"/>
        <v>0</v>
      </c>
      <c r="CF26" s="945">
        <f t="shared" ca="1" si="68"/>
        <v>0</v>
      </c>
      <c r="CG26" s="945">
        <f t="shared" ca="1" si="68"/>
        <v>0</v>
      </c>
      <c r="CH26" s="945">
        <f t="shared" ca="1" si="68"/>
        <v>0</v>
      </c>
      <c r="CI26" s="945">
        <f t="shared" ca="1" si="69"/>
        <v>0</v>
      </c>
      <c r="CJ26" s="945">
        <f t="shared" ca="1" si="69"/>
        <v>0</v>
      </c>
      <c r="CK26" s="945">
        <f t="shared" ca="1" si="69"/>
        <v>0</v>
      </c>
      <c r="CL26" s="945">
        <f t="shared" ca="1" si="69"/>
        <v>0</v>
      </c>
      <c r="CM26" s="945">
        <f t="shared" ca="1" si="69"/>
        <v>0</v>
      </c>
      <c r="CN26" s="945">
        <f t="shared" ca="1" si="69"/>
        <v>0</v>
      </c>
      <c r="CO26" s="945">
        <f t="shared" ca="1" si="69"/>
        <v>0</v>
      </c>
      <c r="CP26" s="945">
        <f t="shared" ca="1" si="69"/>
        <v>0</v>
      </c>
      <c r="CQ26" s="945">
        <f t="shared" ca="1" si="69"/>
        <v>0</v>
      </c>
      <c r="CR26" s="945">
        <f t="shared" ca="1" si="69"/>
        <v>0</v>
      </c>
      <c r="CS26" s="945">
        <f t="shared" ca="1" si="70"/>
        <v>0</v>
      </c>
      <c r="CT26" s="945">
        <f t="shared" ca="1" si="70"/>
        <v>0</v>
      </c>
      <c r="CU26" s="945">
        <f t="shared" ca="1" si="70"/>
        <v>0</v>
      </c>
      <c r="CV26" s="945">
        <f t="shared" ca="1" si="70"/>
        <v>0</v>
      </c>
      <c r="CW26" s="945">
        <f t="shared" ca="1" si="70"/>
        <v>0</v>
      </c>
      <c r="CX26" s="945">
        <f t="shared" ca="1" si="70"/>
        <v>0</v>
      </c>
      <c r="CY26" s="945">
        <f t="shared" ca="1" si="70"/>
        <v>0</v>
      </c>
      <c r="CZ26" s="945">
        <f t="shared" ca="1" si="70"/>
        <v>0</v>
      </c>
      <c r="DA26" s="945">
        <f t="shared" ca="1" si="70"/>
        <v>0</v>
      </c>
      <c r="DB26" s="945">
        <f t="shared" ca="1" si="70"/>
        <v>0</v>
      </c>
      <c r="DC26" s="945">
        <f t="shared" ca="1" si="70"/>
        <v>0</v>
      </c>
      <c r="DD26" s="945">
        <f t="shared" ca="1" si="70"/>
        <v>0</v>
      </c>
      <c r="DE26" s="945">
        <f t="shared" ca="1" si="70"/>
        <v>0</v>
      </c>
      <c r="DF26" s="945">
        <f t="shared" ca="1" si="70"/>
        <v>0</v>
      </c>
      <c r="DH26" s="553">
        <f t="shared" ca="1" si="35"/>
        <v>0</v>
      </c>
    </row>
    <row r="27" spans="1:112" s="522" customFormat="1" ht="10.5" customHeight="1" outlineLevel="2">
      <c r="A27" s="946"/>
      <c r="B27" s="946"/>
      <c r="C27" s="655" t="s">
        <v>735</v>
      </c>
      <c r="D27" s="651" t="str">
        <f>INDEX(Modules[Module], MATCH($C27, Modules[Code], 0))</f>
        <v>Domestic aviation [UNUSED - see XII.a]</v>
      </c>
      <c r="E27" s="652"/>
      <c r="G27" s="664">
        <f t="shared" ca="1" si="58"/>
        <v>0</v>
      </c>
      <c r="H27" s="664">
        <f t="shared" ca="1" si="58"/>
        <v>0</v>
      </c>
      <c r="I27" s="664">
        <f t="shared" ca="1" si="58"/>
        <v>0</v>
      </c>
      <c r="J27" s="664">
        <f t="shared" ca="1" si="58"/>
        <v>0</v>
      </c>
      <c r="K27" s="664">
        <f t="shared" ca="1" si="58"/>
        <v>0</v>
      </c>
      <c r="L27" s="664">
        <f t="shared" ca="1" si="58"/>
        <v>0</v>
      </c>
      <c r="M27" s="664">
        <f t="shared" ca="1" si="58"/>
        <v>0</v>
      </c>
      <c r="N27" s="664">
        <f t="shared" ca="1" si="58"/>
        <v>0</v>
      </c>
      <c r="O27" s="664">
        <f t="shared" ca="1" si="58"/>
        <v>0</v>
      </c>
      <c r="P27" s="664">
        <f t="shared" ca="1" si="58"/>
        <v>0</v>
      </c>
      <c r="Q27" s="670">
        <f t="shared" ca="1" si="59"/>
        <v>0</v>
      </c>
      <c r="S27" s="674">
        <f t="shared" ca="1" si="60"/>
        <v>0</v>
      </c>
      <c r="T27" s="674">
        <f t="shared" ca="1" si="60"/>
        <v>0</v>
      </c>
      <c r="U27" s="674">
        <f t="shared" ca="1" si="60"/>
        <v>0</v>
      </c>
      <c r="V27" s="674">
        <f t="shared" ca="1" si="60"/>
        <v>0</v>
      </c>
      <c r="W27" s="674">
        <f t="shared" ca="1" si="60"/>
        <v>0</v>
      </c>
      <c r="X27" s="674">
        <f t="shared" ca="1" si="61"/>
        <v>0</v>
      </c>
      <c r="Y27" s="674">
        <f t="shared" ca="1" si="61"/>
        <v>0</v>
      </c>
      <c r="Z27" s="674">
        <f t="shared" ca="1" si="61"/>
        <v>0</v>
      </c>
      <c r="AA27" s="674">
        <f t="shared" ca="1" si="60"/>
        <v>0</v>
      </c>
      <c r="AB27" s="674">
        <f t="shared" ca="1" si="60"/>
        <v>0</v>
      </c>
      <c r="AC27" s="674">
        <f t="shared" ca="1" si="60"/>
        <v>0</v>
      </c>
      <c r="AD27" s="674">
        <f t="shared" ca="1" si="60"/>
        <v>0</v>
      </c>
      <c r="AE27" s="674">
        <f t="shared" ca="1" si="60"/>
        <v>0</v>
      </c>
      <c r="AF27" s="674">
        <f t="shared" ca="1" si="60"/>
        <v>0</v>
      </c>
      <c r="AG27" s="674">
        <f t="shared" ca="1" si="60"/>
        <v>0</v>
      </c>
      <c r="AH27" s="674">
        <f t="shared" ca="1" si="60"/>
        <v>0</v>
      </c>
      <c r="AI27" s="674">
        <f t="shared" ca="1" si="60"/>
        <v>0</v>
      </c>
      <c r="AJ27" s="674">
        <f t="shared" ca="1" si="60"/>
        <v>0</v>
      </c>
      <c r="AK27" s="675">
        <f t="shared" ca="1" si="62"/>
        <v>0</v>
      </c>
      <c r="AM27" s="685">
        <f t="shared" ca="1" si="63"/>
        <v>0</v>
      </c>
      <c r="AN27" s="685">
        <f t="shared" ca="1" si="63"/>
        <v>0</v>
      </c>
      <c r="AO27" s="685">
        <f t="shared" ca="1" si="63"/>
        <v>0</v>
      </c>
      <c r="AP27" s="685">
        <f t="shared" ca="1" si="63"/>
        <v>0</v>
      </c>
      <c r="AQ27" s="685">
        <f t="shared" ca="1" si="63"/>
        <v>0</v>
      </c>
      <c r="AR27" s="685">
        <f t="shared" ca="1" si="63"/>
        <v>0</v>
      </c>
      <c r="AS27" s="685">
        <f t="shared" ca="1" si="63"/>
        <v>0</v>
      </c>
      <c r="AT27" s="685">
        <f t="shared" ca="1" si="63"/>
        <v>0</v>
      </c>
      <c r="AU27" s="685">
        <f t="shared" ca="1" si="63"/>
        <v>0</v>
      </c>
      <c r="AV27" s="685">
        <f t="shared" ca="1" si="60"/>
        <v>0</v>
      </c>
      <c r="AW27" s="685">
        <f t="shared" ca="1" si="60"/>
        <v>0</v>
      </c>
      <c r="AX27" s="685">
        <f t="shared" ca="1" si="60"/>
        <v>0</v>
      </c>
      <c r="AY27" s="685">
        <f t="shared" ca="1" si="60"/>
        <v>0</v>
      </c>
      <c r="AZ27" s="685">
        <f t="shared" ca="1" si="60"/>
        <v>0</v>
      </c>
      <c r="BA27" s="685">
        <f t="shared" ca="1" si="60"/>
        <v>0</v>
      </c>
      <c r="BB27" s="685">
        <f t="shared" ca="1" si="60"/>
        <v>0</v>
      </c>
      <c r="BC27" s="685">
        <f t="shared" ca="1" si="60"/>
        <v>0</v>
      </c>
      <c r="BD27" s="685">
        <f t="shared" ca="1" si="60"/>
        <v>0</v>
      </c>
      <c r="BE27" s="685">
        <f t="shared" ca="1" si="60"/>
        <v>0</v>
      </c>
      <c r="BF27" s="654">
        <f t="shared" ca="1" si="64"/>
        <v>0</v>
      </c>
      <c r="BH27" s="679">
        <f t="shared" ca="1" si="65"/>
        <v>0</v>
      </c>
      <c r="BI27" s="679">
        <f t="shared" ca="1" si="65"/>
        <v>0</v>
      </c>
      <c r="BJ27" s="690">
        <f t="shared" ca="1" si="66"/>
        <v>0</v>
      </c>
      <c r="BL27" s="653">
        <f t="shared" ca="1" si="9"/>
        <v>0</v>
      </c>
      <c r="BM27" s="653"/>
      <c r="BN27" s="555"/>
      <c r="BO27" s="944">
        <f t="shared" ca="1" si="67"/>
        <v>0</v>
      </c>
      <c r="BP27" s="945">
        <f t="shared" ca="1" si="67"/>
        <v>0</v>
      </c>
      <c r="BQ27" s="945">
        <f t="shared" ca="1" si="67"/>
        <v>0</v>
      </c>
      <c r="BR27" s="945">
        <f t="shared" ca="1" si="67"/>
        <v>0</v>
      </c>
      <c r="BS27" s="945">
        <f t="shared" ca="1" si="67"/>
        <v>0</v>
      </c>
      <c r="BT27" s="945">
        <f t="shared" ca="1" si="67"/>
        <v>0</v>
      </c>
      <c r="BU27" s="945">
        <f t="shared" ca="1" si="67"/>
        <v>0</v>
      </c>
      <c r="BV27" s="945">
        <f t="shared" ca="1" si="67"/>
        <v>0</v>
      </c>
      <c r="BW27" s="945">
        <f t="shared" ca="1" si="67"/>
        <v>0</v>
      </c>
      <c r="BX27" s="945">
        <f t="shared" ca="1" si="67"/>
        <v>0</v>
      </c>
      <c r="BY27" s="945">
        <f t="shared" ca="1" si="68"/>
        <v>0</v>
      </c>
      <c r="BZ27" s="945">
        <f t="shared" ca="1" si="68"/>
        <v>0</v>
      </c>
      <c r="CA27" s="945">
        <f t="shared" ca="1" si="68"/>
        <v>0</v>
      </c>
      <c r="CB27" s="945">
        <f t="shared" ca="1" si="68"/>
        <v>0</v>
      </c>
      <c r="CC27" s="945">
        <f t="shared" ca="1" si="68"/>
        <v>0</v>
      </c>
      <c r="CD27" s="945">
        <f t="shared" ca="1" si="68"/>
        <v>0</v>
      </c>
      <c r="CE27" s="945">
        <f t="shared" ca="1" si="68"/>
        <v>0</v>
      </c>
      <c r="CF27" s="945">
        <f t="shared" ca="1" si="68"/>
        <v>0</v>
      </c>
      <c r="CG27" s="945">
        <f t="shared" ca="1" si="68"/>
        <v>0</v>
      </c>
      <c r="CH27" s="945">
        <f t="shared" ca="1" si="68"/>
        <v>0</v>
      </c>
      <c r="CI27" s="945">
        <f t="shared" ca="1" si="69"/>
        <v>0</v>
      </c>
      <c r="CJ27" s="945">
        <f t="shared" ca="1" si="69"/>
        <v>0</v>
      </c>
      <c r="CK27" s="945">
        <f t="shared" ca="1" si="69"/>
        <v>0</v>
      </c>
      <c r="CL27" s="945">
        <f t="shared" ca="1" si="69"/>
        <v>0</v>
      </c>
      <c r="CM27" s="945">
        <f t="shared" ca="1" si="69"/>
        <v>0</v>
      </c>
      <c r="CN27" s="945">
        <f t="shared" ca="1" si="69"/>
        <v>0</v>
      </c>
      <c r="CO27" s="945">
        <f t="shared" ca="1" si="69"/>
        <v>0</v>
      </c>
      <c r="CP27" s="945">
        <f t="shared" ca="1" si="69"/>
        <v>0</v>
      </c>
      <c r="CQ27" s="945">
        <f t="shared" ca="1" si="69"/>
        <v>0</v>
      </c>
      <c r="CR27" s="945">
        <f t="shared" ca="1" si="69"/>
        <v>0</v>
      </c>
      <c r="CS27" s="945">
        <f t="shared" ca="1" si="70"/>
        <v>0</v>
      </c>
      <c r="CT27" s="945">
        <f t="shared" ca="1" si="70"/>
        <v>0</v>
      </c>
      <c r="CU27" s="945">
        <f t="shared" ca="1" si="70"/>
        <v>0</v>
      </c>
      <c r="CV27" s="945">
        <f t="shared" ca="1" si="70"/>
        <v>0</v>
      </c>
      <c r="CW27" s="945">
        <f t="shared" ca="1" si="70"/>
        <v>0</v>
      </c>
      <c r="CX27" s="945">
        <f t="shared" ca="1" si="70"/>
        <v>0</v>
      </c>
      <c r="CY27" s="945">
        <f t="shared" ca="1" si="70"/>
        <v>0</v>
      </c>
      <c r="CZ27" s="945">
        <f t="shared" ca="1" si="70"/>
        <v>0</v>
      </c>
      <c r="DA27" s="945">
        <f t="shared" ca="1" si="70"/>
        <v>0</v>
      </c>
      <c r="DB27" s="945">
        <f t="shared" ca="1" si="70"/>
        <v>0</v>
      </c>
      <c r="DC27" s="945">
        <f t="shared" ca="1" si="70"/>
        <v>0</v>
      </c>
      <c r="DD27" s="945">
        <f t="shared" ca="1" si="70"/>
        <v>0</v>
      </c>
      <c r="DE27" s="945">
        <f t="shared" ca="1" si="70"/>
        <v>0</v>
      </c>
      <c r="DF27" s="945">
        <f t="shared" ca="1" si="70"/>
        <v>0</v>
      </c>
      <c r="DH27" s="553">
        <f t="shared" ca="1" si="35"/>
        <v>0</v>
      </c>
    </row>
    <row r="28" spans="1:112" s="522" customFormat="1" ht="10.5" customHeight="1" outlineLevel="1">
      <c r="A28" s="947"/>
      <c r="B28" s="947"/>
      <c r="C28" s="524"/>
      <c r="D28" s="505" t="s">
        <v>741</v>
      </c>
      <c r="E28" s="652"/>
      <c r="G28" s="665">
        <f ca="1">SUM(G26:G27)</f>
        <v>0</v>
      </c>
      <c r="H28" s="665">
        <f t="shared" ref="H28:P28" ca="1" si="71">SUM(H26:H27)</f>
        <v>0</v>
      </c>
      <c r="I28" s="665">
        <f t="shared" ca="1" si="71"/>
        <v>0</v>
      </c>
      <c r="J28" s="665">
        <f t="shared" ca="1" si="71"/>
        <v>0</v>
      </c>
      <c r="K28" s="665">
        <f t="shared" ca="1" si="71"/>
        <v>0</v>
      </c>
      <c r="L28" s="665">
        <f t="shared" ca="1" si="71"/>
        <v>0</v>
      </c>
      <c r="M28" s="665">
        <f t="shared" ca="1" si="71"/>
        <v>0</v>
      </c>
      <c r="N28" s="665">
        <f ca="1">SUM(N26:N27)</f>
        <v>0</v>
      </c>
      <c r="O28" s="665">
        <f ca="1">SUM(O26:O27)</f>
        <v>0</v>
      </c>
      <c r="P28" s="665">
        <f t="shared" ca="1" si="71"/>
        <v>0</v>
      </c>
      <c r="Q28" s="665">
        <f t="shared" ca="1" si="59"/>
        <v>0</v>
      </c>
      <c r="S28" s="673">
        <f t="shared" ref="S28:AJ28" ca="1" si="72">SUM(S26:S27)</f>
        <v>0</v>
      </c>
      <c r="T28" s="673">
        <f t="shared" ca="1" si="72"/>
        <v>0</v>
      </c>
      <c r="U28" s="673">
        <f t="shared" ca="1" si="72"/>
        <v>0</v>
      </c>
      <c r="V28" s="673">
        <f t="shared" ca="1" si="72"/>
        <v>0</v>
      </c>
      <c r="W28" s="673">
        <f t="shared" ca="1" si="72"/>
        <v>0</v>
      </c>
      <c r="X28" s="673">
        <f t="shared" ca="1" si="72"/>
        <v>0</v>
      </c>
      <c r="Y28" s="673">
        <f t="shared" ca="1" si="72"/>
        <v>0</v>
      </c>
      <c r="Z28" s="673">
        <f t="shared" ca="1" si="72"/>
        <v>0</v>
      </c>
      <c r="AA28" s="673">
        <f t="shared" ca="1" si="72"/>
        <v>0</v>
      </c>
      <c r="AB28" s="673">
        <f t="shared" ca="1" si="72"/>
        <v>0</v>
      </c>
      <c r="AC28" s="673">
        <f t="shared" ca="1" si="72"/>
        <v>0</v>
      </c>
      <c r="AD28" s="673">
        <f t="shared" ca="1" si="72"/>
        <v>0</v>
      </c>
      <c r="AE28" s="673">
        <f ca="1">SUM(AE26:AE27)</f>
        <v>0</v>
      </c>
      <c r="AF28" s="673">
        <f t="shared" ca="1" si="72"/>
        <v>0</v>
      </c>
      <c r="AG28" s="673">
        <f t="shared" ca="1" si="72"/>
        <v>0</v>
      </c>
      <c r="AH28" s="673">
        <f ca="1">SUM(AH26:AH27)</f>
        <v>0</v>
      </c>
      <c r="AI28" s="673">
        <f t="shared" ca="1" si="72"/>
        <v>0</v>
      </c>
      <c r="AJ28" s="673">
        <f t="shared" ca="1" si="72"/>
        <v>0</v>
      </c>
      <c r="AK28" s="673">
        <f t="shared" ca="1" si="62"/>
        <v>0</v>
      </c>
      <c r="AM28" s="686">
        <f t="shared" ref="AM28:AU28" ca="1" si="73">SUM(AM26:AM27)</f>
        <v>0</v>
      </c>
      <c r="AN28" s="686">
        <f t="shared" ca="1" si="73"/>
        <v>0</v>
      </c>
      <c r="AO28" s="686">
        <f t="shared" ca="1" si="73"/>
        <v>0</v>
      </c>
      <c r="AP28" s="686">
        <f t="shared" ca="1" si="73"/>
        <v>0</v>
      </c>
      <c r="AQ28" s="686">
        <f t="shared" ca="1" si="73"/>
        <v>0</v>
      </c>
      <c r="AR28" s="686">
        <f t="shared" ca="1" si="73"/>
        <v>0</v>
      </c>
      <c r="AS28" s="686">
        <f t="shared" ca="1" si="73"/>
        <v>0</v>
      </c>
      <c r="AT28" s="686">
        <f t="shared" ca="1" si="73"/>
        <v>0</v>
      </c>
      <c r="AU28" s="686">
        <f t="shared" ca="1" si="73"/>
        <v>0</v>
      </c>
      <c r="AV28" s="686">
        <f t="shared" ref="AV28:BE28" ca="1" si="74">SUM(AV26:AV27)</f>
        <v>0</v>
      </c>
      <c r="AW28" s="686">
        <f t="shared" ca="1" si="74"/>
        <v>0</v>
      </c>
      <c r="AX28" s="686">
        <f t="shared" ca="1" si="74"/>
        <v>0</v>
      </c>
      <c r="AY28" s="686">
        <f t="shared" ca="1" si="74"/>
        <v>0</v>
      </c>
      <c r="AZ28" s="686">
        <f t="shared" ca="1" si="74"/>
        <v>0</v>
      </c>
      <c r="BA28" s="686">
        <f t="shared" ca="1" si="74"/>
        <v>0</v>
      </c>
      <c r="BB28" s="686">
        <f t="shared" ca="1" si="74"/>
        <v>0</v>
      </c>
      <c r="BC28" s="686">
        <f t="shared" ca="1" si="74"/>
        <v>0</v>
      </c>
      <c r="BD28" s="686">
        <f ca="1">SUM(BD26:BD27)</f>
        <v>0</v>
      </c>
      <c r="BE28" s="686">
        <f t="shared" ca="1" si="74"/>
        <v>0</v>
      </c>
      <c r="BF28" s="624">
        <f t="shared" ca="1" si="64"/>
        <v>0</v>
      </c>
      <c r="BH28" s="680">
        <f ca="1">SUM(BH26:BH27)</f>
        <v>0</v>
      </c>
      <c r="BI28" s="680">
        <f ca="1">SUM(BI26:BI27)</f>
        <v>0</v>
      </c>
      <c r="BJ28" s="680">
        <f t="shared" ca="1" si="66"/>
        <v>0</v>
      </c>
      <c r="BL28" s="506">
        <f t="shared" ca="1" si="9"/>
        <v>0</v>
      </c>
      <c r="BM28" s="506"/>
      <c r="BN28" s="555"/>
      <c r="BO28" s="944">
        <f t="shared" ref="BO28:DF28" ca="1" si="75">SUM(BO26:BO27)</f>
        <v>0</v>
      </c>
      <c r="BP28" s="945">
        <f t="shared" ca="1" si="75"/>
        <v>0</v>
      </c>
      <c r="BQ28" s="945">
        <f t="shared" ca="1" si="75"/>
        <v>0</v>
      </c>
      <c r="BR28" s="945">
        <f t="shared" ca="1" si="75"/>
        <v>0</v>
      </c>
      <c r="BS28" s="945">
        <f t="shared" ca="1" si="75"/>
        <v>0</v>
      </c>
      <c r="BT28" s="945">
        <f t="shared" ca="1" si="75"/>
        <v>0</v>
      </c>
      <c r="BU28" s="945">
        <f t="shared" ca="1" si="75"/>
        <v>0</v>
      </c>
      <c r="BV28" s="945">
        <f t="shared" ca="1" si="75"/>
        <v>0</v>
      </c>
      <c r="BW28" s="945">
        <f t="shared" ca="1" si="75"/>
        <v>0</v>
      </c>
      <c r="BX28" s="945">
        <f t="shared" ca="1" si="75"/>
        <v>0</v>
      </c>
      <c r="BY28" s="945">
        <f t="shared" ca="1" si="75"/>
        <v>0</v>
      </c>
      <c r="BZ28" s="945">
        <f t="shared" ca="1" si="75"/>
        <v>0</v>
      </c>
      <c r="CA28" s="945">
        <f t="shared" ca="1" si="75"/>
        <v>0</v>
      </c>
      <c r="CB28" s="945">
        <f t="shared" ca="1" si="75"/>
        <v>0</v>
      </c>
      <c r="CC28" s="945">
        <f t="shared" ca="1" si="75"/>
        <v>0</v>
      </c>
      <c r="CD28" s="945">
        <f t="shared" ca="1" si="75"/>
        <v>0</v>
      </c>
      <c r="CE28" s="945">
        <f t="shared" ca="1" si="75"/>
        <v>0</v>
      </c>
      <c r="CF28" s="945">
        <f t="shared" ca="1" si="75"/>
        <v>0</v>
      </c>
      <c r="CG28" s="945">
        <f t="shared" ca="1" si="75"/>
        <v>0</v>
      </c>
      <c r="CH28" s="945">
        <f t="shared" ca="1" si="75"/>
        <v>0</v>
      </c>
      <c r="CI28" s="945">
        <f t="shared" ca="1" si="75"/>
        <v>0</v>
      </c>
      <c r="CJ28" s="945">
        <f t="shared" ca="1" si="75"/>
        <v>0</v>
      </c>
      <c r="CK28" s="945">
        <f t="shared" ca="1" si="75"/>
        <v>0</v>
      </c>
      <c r="CL28" s="945">
        <f t="shared" ca="1" si="75"/>
        <v>0</v>
      </c>
      <c r="CM28" s="945">
        <f t="shared" ca="1" si="75"/>
        <v>0</v>
      </c>
      <c r="CN28" s="945">
        <f t="shared" ca="1" si="75"/>
        <v>0</v>
      </c>
      <c r="CO28" s="945">
        <f t="shared" ca="1" si="75"/>
        <v>0</v>
      </c>
      <c r="CP28" s="945">
        <f t="shared" ca="1" si="75"/>
        <v>0</v>
      </c>
      <c r="CQ28" s="945">
        <f t="shared" ca="1" si="75"/>
        <v>0</v>
      </c>
      <c r="CR28" s="945">
        <f t="shared" ca="1" si="75"/>
        <v>0</v>
      </c>
      <c r="CS28" s="945">
        <f t="shared" ca="1" si="75"/>
        <v>0</v>
      </c>
      <c r="CT28" s="945">
        <f t="shared" ca="1" si="75"/>
        <v>0</v>
      </c>
      <c r="CU28" s="945">
        <f t="shared" ca="1" si="75"/>
        <v>0</v>
      </c>
      <c r="CV28" s="945">
        <f t="shared" ca="1" si="75"/>
        <v>0</v>
      </c>
      <c r="CW28" s="945">
        <f t="shared" ca="1" si="75"/>
        <v>0</v>
      </c>
      <c r="CX28" s="945">
        <f t="shared" ca="1" si="75"/>
        <v>0</v>
      </c>
      <c r="CY28" s="945">
        <f t="shared" ca="1" si="75"/>
        <v>0</v>
      </c>
      <c r="CZ28" s="945">
        <f t="shared" ca="1" si="75"/>
        <v>0</v>
      </c>
      <c r="DA28" s="945">
        <f t="shared" ca="1" si="75"/>
        <v>0</v>
      </c>
      <c r="DB28" s="945">
        <f t="shared" ca="1" si="75"/>
        <v>0</v>
      </c>
      <c r="DC28" s="945">
        <f t="shared" ca="1" si="75"/>
        <v>0</v>
      </c>
      <c r="DD28" s="945">
        <f t="shared" ca="1" si="75"/>
        <v>0</v>
      </c>
      <c r="DE28" s="945">
        <f t="shared" ca="1" si="75"/>
        <v>0</v>
      </c>
      <c r="DF28" s="945">
        <f t="shared" ca="1" si="75"/>
        <v>0</v>
      </c>
      <c r="DH28" s="553">
        <f t="shared" ca="1" si="35"/>
        <v>0</v>
      </c>
    </row>
    <row r="29" spans="1:112" s="522" customFormat="1" ht="12.75" customHeight="1" outlineLevel="2">
      <c r="A29" s="943"/>
      <c r="B29" s="943"/>
      <c r="C29" s="524" t="s">
        <v>738</v>
      </c>
      <c r="D29" s="505" t="str">
        <f>INDEX(Modules[Module], MATCH($C29, Modules[Code], 0))</f>
        <v>International shipping</v>
      </c>
      <c r="E29" s="652"/>
      <c r="G29" s="663">
        <f t="shared" ref="G29:P30" ca="1" si="76">IFERROR(INDEX(INDIRECT($C29&amp;".Outputs["&amp;this.Year&amp;"]"), MATCH(G$5, INDIRECT($C29&amp;".Outputs[Vector]"), 0)), 0)</f>
        <v>0</v>
      </c>
      <c r="H29" s="663">
        <f t="shared" ca="1" si="76"/>
        <v>0</v>
      </c>
      <c r="I29" s="663">
        <f t="shared" ca="1" si="76"/>
        <v>0</v>
      </c>
      <c r="J29" s="663">
        <f t="shared" ca="1" si="76"/>
        <v>0</v>
      </c>
      <c r="K29" s="663">
        <f t="shared" ca="1" si="76"/>
        <v>0</v>
      </c>
      <c r="L29" s="663">
        <f t="shared" ca="1" si="76"/>
        <v>0</v>
      </c>
      <c r="M29" s="663">
        <f t="shared" ca="1" si="76"/>
        <v>0</v>
      </c>
      <c r="N29" s="663">
        <f t="shared" ca="1" si="76"/>
        <v>0</v>
      </c>
      <c r="O29" s="663">
        <f t="shared" ca="1" si="76"/>
        <v>0</v>
      </c>
      <c r="P29" s="663">
        <f t="shared" ca="1" si="76"/>
        <v>0</v>
      </c>
      <c r="Q29" s="665">
        <f t="shared" ca="1" si="59"/>
        <v>0</v>
      </c>
      <c r="S29" s="672">
        <f t="shared" ca="1" si="60"/>
        <v>0</v>
      </c>
      <c r="T29" s="672">
        <f t="shared" ca="1" si="60"/>
        <v>0</v>
      </c>
      <c r="U29" s="672">
        <f t="shared" ca="1" si="60"/>
        <v>0</v>
      </c>
      <c r="V29" s="672">
        <f t="shared" ca="1" si="60"/>
        <v>0</v>
      </c>
      <c r="W29" s="672">
        <f t="shared" ca="1" si="60"/>
        <v>0</v>
      </c>
      <c r="X29" s="672">
        <f t="shared" ref="X29:Z30" ca="1" si="77">IFERROR(INDEX(INDIRECT($C29&amp;".Outputs["&amp;this.Year&amp;"]"), MATCH(X$5, INDIRECT($C29&amp;".Outputs[Vector]"), 0)), 0)</f>
        <v>0</v>
      </c>
      <c r="Y29" s="672">
        <f t="shared" ca="1" si="77"/>
        <v>0</v>
      </c>
      <c r="Z29" s="672">
        <f t="shared" ca="1" si="77"/>
        <v>0</v>
      </c>
      <c r="AA29" s="672">
        <f t="shared" ca="1" si="60"/>
        <v>0</v>
      </c>
      <c r="AB29" s="672">
        <f t="shared" ca="1" si="60"/>
        <v>0</v>
      </c>
      <c r="AC29" s="672">
        <f t="shared" ca="1" si="60"/>
        <v>0</v>
      </c>
      <c r="AD29" s="672">
        <f t="shared" ca="1" si="60"/>
        <v>0</v>
      </c>
      <c r="AE29" s="672">
        <f t="shared" ca="1" si="60"/>
        <v>0</v>
      </c>
      <c r="AF29" s="672">
        <f t="shared" ca="1" si="60"/>
        <v>0</v>
      </c>
      <c r="AG29" s="672">
        <f t="shared" ca="1" si="60"/>
        <v>0</v>
      </c>
      <c r="AH29" s="672">
        <f t="shared" ca="1" si="60"/>
        <v>0</v>
      </c>
      <c r="AI29" s="672">
        <f t="shared" ca="1" si="60"/>
        <v>0</v>
      </c>
      <c r="AJ29" s="672">
        <f t="shared" ca="1" si="60"/>
        <v>0</v>
      </c>
      <c r="AK29" s="673">
        <f t="shared" ca="1" si="62"/>
        <v>0</v>
      </c>
      <c r="AM29" s="684">
        <f t="shared" ref="AM29:AU30" ca="1" si="78">IFERROR(INDEX(INDIRECT($C29&amp;".Outputs["&amp;this.Year&amp;"]"), MATCH(AM$5, INDIRECT($C29&amp;".Outputs[Vector]"), 0)), 0)</f>
        <v>0</v>
      </c>
      <c r="AN29" s="684">
        <f t="shared" ca="1" si="78"/>
        <v>0</v>
      </c>
      <c r="AO29" s="684">
        <f t="shared" ca="1" si="78"/>
        <v>0</v>
      </c>
      <c r="AP29" s="684">
        <f t="shared" ca="1" si="78"/>
        <v>0</v>
      </c>
      <c r="AQ29" s="684">
        <f t="shared" ca="1" si="78"/>
        <v>0</v>
      </c>
      <c r="AR29" s="684">
        <f t="shared" ca="1" si="78"/>
        <v>0</v>
      </c>
      <c r="AS29" s="684">
        <f t="shared" ca="1" si="78"/>
        <v>0</v>
      </c>
      <c r="AT29" s="684">
        <f t="shared" ca="1" si="78"/>
        <v>0</v>
      </c>
      <c r="AU29" s="684">
        <f t="shared" ca="1" si="78"/>
        <v>0</v>
      </c>
      <c r="AV29" s="684">
        <f t="shared" ca="1" si="60"/>
        <v>0</v>
      </c>
      <c r="AW29" s="684">
        <f t="shared" ca="1" si="60"/>
        <v>0</v>
      </c>
      <c r="AX29" s="684">
        <f t="shared" ca="1" si="60"/>
        <v>0</v>
      </c>
      <c r="AY29" s="684">
        <f t="shared" ca="1" si="60"/>
        <v>0</v>
      </c>
      <c r="AZ29" s="684">
        <f t="shared" ca="1" si="60"/>
        <v>0</v>
      </c>
      <c r="BA29" s="684">
        <f t="shared" ca="1" si="60"/>
        <v>0</v>
      </c>
      <c r="BB29" s="684">
        <f t="shared" ca="1" si="60"/>
        <v>0</v>
      </c>
      <c r="BC29" s="684">
        <f t="shared" ca="1" si="60"/>
        <v>0</v>
      </c>
      <c r="BD29" s="684">
        <f t="shared" ca="1" si="60"/>
        <v>0</v>
      </c>
      <c r="BE29" s="684">
        <f t="shared" ca="1" si="60"/>
        <v>0</v>
      </c>
      <c r="BF29" s="626">
        <f t="shared" ca="1" si="64"/>
        <v>0</v>
      </c>
      <c r="BH29" s="678">
        <f t="shared" ca="1" si="65"/>
        <v>0</v>
      </c>
      <c r="BI29" s="678">
        <f t="shared" ca="1" si="65"/>
        <v>0</v>
      </c>
      <c r="BJ29" s="680">
        <f t="shared" ca="1" si="66"/>
        <v>0</v>
      </c>
      <c r="BL29" s="547">
        <f t="shared" ca="1" si="9"/>
        <v>0</v>
      </c>
      <c r="BM29" s="547"/>
      <c r="BN29" s="555"/>
      <c r="BO29" s="944">
        <f t="shared" ref="BO29:BX30" ca="1" si="79">IFERROR(SUMIFS(INDIRECT($C29&amp;".Emissions["&amp;this.Year&amp;"]"), INDIRECT($C29&amp;".Emissions[GHG]"), BO$6, INDIRECT($C29&amp;".Emissions[IPCC Sector]"), BO$5),0)</f>
        <v>0</v>
      </c>
      <c r="BP29" s="945">
        <f t="shared" ca="1" si="79"/>
        <v>0</v>
      </c>
      <c r="BQ29" s="945">
        <f t="shared" ca="1" si="79"/>
        <v>0</v>
      </c>
      <c r="BR29" s="945">
        <f t="shared" ca="1" si="79"/>
        <v>0</v>
      </c>
      <c r="BS29" s="945">
        <f t="shared" ca="1" si="79"/>
        <v>0</v>
      </c>
      <c r="BT29" s="945">
        <f t="shared" ca="1" si="79"/>
        <v>0</v>
      </c>
      <c r="BU29" s="945">
        <f t="shared" ca="1" si="79"/>
        <v>0</v>
      </c>
      <c r="BV29" s="945">
        <f t="shared" ca="1" si="79"/>
        <v>0</v>
      </c>
      <c r="BW29" s="945">
        <f t="shared" ca="1" si="79"/>
        <v>0</v>
      </c>
      <c r="BX29" s="945">
        <f t="shared" ca="1" si="79"/>
        <v>0</v>
      </c>
      <c r="BY29" s="945">
        <f t="shared" ref="BY29:CH30" ca="1" si="80">IFERROR(SUMIFS(INDIRECT($C29&amp;".Emissions["&amp;this.Year&amp;"]"), INDIRECT($C29&amp;".Emissions[GHG]"), BY$6, INDIRECT($C29&amp;".Emissions[IPCC Sector]"), BY$5),0)</f>
        <v>0</v>
      </c>
      <c r="BZ29" s="945">
        <f t="shared" ca="1" si="80"/>
        <v>0</v>
      </c>
      <c r="CA29" s="945">
        <f t="shared" ca="1" si="80"/>
        <v>0</v>
      </c>
      <c r="CB29" s="945">
        <f t="shared" ca="1" si="80"/>
        <v>0</v>
      </c>
      <c r="CC29" s="945">
        <f t="shared" ca="1" si="80"/>
        <v>0</v>
      </c>
      <c r="CD29" s="945">
        <f t="shared" ca="1" si="80"/>
        <v>0</v>
      </c>
      <c r="CE29" s="945">
        <f t="shared" ca="1" si="80"/>
        <v>0</v>
      </c>
      <c r="CF29" s="945">
        <f t="shared" ca="1" si="80"/>
        <v>0</v>
      </c>
      <c r="CG29" s="945">
        <f t="shared" ca="1" si="80"/>
        <v>0</v>
      </c>
      <c r="CH29" s="945">
        <f t="shared" ca="1" si="80"/>
        <v>0</v>
      </c>
      <c r="CI29" s="945">
        <f t="shared" ref="CI29:CR30" ca="1" si="81">IFERROR(SUMIFS(INDIRECT($C29&amp;".Emissions["&amp;this.Year&amp;"]"), INDIRECT($C29&amp;".Emissions[GHG]"), CI$6, INDIRECT($C29&amp;".Emissions[IPCC Sector]"), CI$5),0)</f>
        <v>0</v>
      </c>
      <c r="CJ29" s="945">
        <f t="shared" ca="1" si="81"/>
        <v>0</v>
      </c>
      <c r="CK29" s="945">
        <f t="shared" ca="1" si="81"/>
        <v>0</v>
      </c>
      <c r="CL29" s="945">
        <f t="shared" ca="1" si="81"/>
        <v>0</v>
      </c>
      <c r="CM29" s="945">
        <f t="shared" ca="1" si="81"/>
        <v>0</v>
      </c>
      <c r="CN29" s="945">
        <f t="shared" ca="1" si="81"/>
        <v>0</v>
      </c>
      <c r="CO29" s="945">
        <f t="shared" ca="1" si="81"/>
        <v>0</v>
      </c>
      <c r="CP29" s="945">
        <f t="shared" ca="1" si="81"/>
        <v>0</v>
      </c>
      <c r="CQ29" s="945">
        <f t="shared" ca="1" si="81"/>
        <v>0</v>
      </c>
      <c r="CR29" s="945">
        <f t="shared" ca="1" si="81"/>
        <v>0</v>
      </c>
      <c r="CS29" s="945">
        <f t="shared" ref="CS29:DF30" ca="1" si="82">IFERROR(SUMIFS(INDIRECT($C29&amp;".Emissions["&amp;this.Year&amp;"]"), INDIRECT($C29&amp;".Emissions[GHG]"), CS$6, INDIRECT($C29&amp;".Emissions[IPCC Sector]"), CS$5),0)</f>
        <v>0</v>
      </c>
      <c r="CT29" s="945">
        <f t="shared" ca="1" si="82"/>
        <v>0</v>
      </c>
      <c r="CU29" s="945">
        <f t="shared" ca="1" si="82"/>
        <v>0</v>
      </c>
      <c r="CV29" s="945">
        <f t="shared" ca="1" si="82"/>
        <v>0</v>
      </c>
      <c r="CW29" s="945">
        <f t="shared" ca="1" si="82"/>
        <v>0</v>
      </c>
      <c r="CX29" s="945">
        <f t="shared" ca="1" si="82"/>
        <v>0</v>
      </c>
      <c r="CY29" s="945">
        <f t="shared" ca="1" si="82"/>
        <v>0</v>
      </c>
      <c r="CZ29" s="945">
        <f t="shared" ca="1" si="82"/>
        <v>0</v>
      </c>
      <c r="DA29" s="945">
        <f t="shared" ca="1" si="82"/>
        <v>0</v>
      </c>
      <c r="DB29" s="945">
        <f t="shared" ca="1" si="82"/>
        <v>0</v>
      </c>
      <c r="DC29" s="945">
        <f t="shared" ca="1" si="82"/>
        <v>0</v>
      </c>
      <c r="DD29" s="945">
        <f t="shared" ca="1" si="82"/>
        <v>0</v>
      </c>
      <c r="DE29" s="945">
        <f t="shared" ca="1" si="82"/>
        <v>0</v>
      </c>
      <c r="DF29" s="945">
        <f t="shared" ca="1" si="82"/>
        <v>0</v>
      </c>
      <c r="DH29" s="553">
        <f t="shared" ca="1" si="35"/>
        <v>0</v>
      </c>
    </row>
    <row r="30" spans="1:112" s="522" customFormat="1" ht="10.5" customHeight="1" outlineLevel="2">
      <c r="A30" s="946"/>
      <c r="B30" s="946"/>
      <c r="C30" s="655" t="s">
        <v>740</v>
      </c>
      <c r="D30" s="651" t="str">
        <f>INDEX(Modules[Module], MATCH($C30, Modules[Code], 0))</f>
        <v>National navigation [UNUSED - see XII.a]</v>
      </c>
      <c r="E30" s="652"/>
      <c r="G30" s="664">
        <f t="shared" ca="1" si="76"/>
        <v>0</v>
      </c>
      <c r="H30" s="664">
        <f t="shared" ca="1" si="76"/>
        <v>0</v>
      </c>
      <c r="I30" s="664">
        <f t="shared" ca="1" si="76"/>
        <v>0</v>
      </c>
      <c r="J30" s="664">
        <f t="shared" ca="1" si="76"/>
        <v>0</v>
      </c>
      <c r="K30" s="664">
        <f t="shared" ca="1" si="76"/>
        <v>0</v>
      </c>
      <c r="L30" s="664">
        <f t="shared" ca="1" si="76"/>
        <v>0</v>
      </c>
      <c r="M30" s="664">
        <f t="shared" ca="1" si="76"/>
        <v>0</v>
      </c>
      <c r="N30" s="664">
        <f t="shared" ca="1" si="76"/>
        <v>0</v>
      </c>
      <c r="O30" s="664">
        <f t="shared" ca="1" si="76"/>
        <v>0</v>
      </c>
      <c r="P30" s="664">
        <f t="shared" ca="1" si="76"/>
        <v>0</v>
      </c>
      <c r="Q30" s="670">
        <f t="shared" ca="1" si="59"/>
        <v>0</v>
      </c>
      <c r="S30" s="674">
        <f t="shared" ca="1" si="60"/>
        <v>0</v>
      </c>
      <c r="T30" s="674">
        <f t="shared" ca="1" si="60"/>
        <v>0</v>
      </c>
      <c r="U30" s="674">
        <f t="shared" ca="1" si="60"/>
        <v>0</v>
      </c>
      <c r="V30" s="674">
        <f t="shared" ca="1" si="60"/>
        <v>0</v>
      </c>
      <c r="W30" s="674">
        <f t="shared" ca="1" si="60"/>
        <v>0</v>
      </c>
      <c r="X30" s="674">
        <f t="shared" ca="1" si="77"/>
        <v>0</v>
      </c>
      <c r="Y30" s="674">
        <f t="shared" ca="1" si="77"/>
        <v>0</v>
      </c>
      <c r="Z30" s="674">
        <f t="shared" ca="1" si="77"/>
        <v>0</v>
      </c>
      <c r="AA30" s="674">
        <f t="shared" ca="1" si="60"/>
        <v>0</v>
      </c>
      <c r="AB30" s="674">
        <f t="shared" ca="1" si="60"/>
        <v>0</v>
      </c>
      <c r="AC30" s="674">
        <f t="shared" ca="1" si="60"/>
        <v>0</v>
      </c>
      <c r="AD30" s="674">
        <f t="shared" ca="1" si="60"/>
        <v>0</v>
      </c>
      <c r="AE30" s="674">
        <f t="shared" ca="1" si="60"/>
        <v>0</v>
      </c>
      <c r="AF30" s="674">
        <f t="shared" ca="1" si="60"/>
        <v>0</v>
      </c>
      <c r="AG30" s="674">
        <f t="shared" ca="1" si="60"/>
        <v>0</v>
      </c>
      <c r="AH30" s="674">
        <f t="shared" ca="1" si="60"/>
        <v>0</v>
      </c>
      <c r="AI30" s="674">
        <f t="shared" ca="1" si="60"/>
        <v>0</v>
      </c>
      <c r="AJ30" s="674">
        <f t="shared" ca="1" si="60"/>
        <v>0</v>
      </c>
      <c r="AK30" s="675">
        <f t="shared" ca="1" si="62"/>
        <v>0</v>
      </c>
      <c r="AM30" s="685">
        <f t="shared" ca="1" si="78"/>
        <v>0</v>
      </c>
      <c r="AN30" s="685">
        <f t="shared" ca="1" si="78"/>
        <v>0</v>
      </c>
      <c r="AO30" s="685">
        <f t="shared" ca="1" si="78"/>
        <v>0</v>
      </c>
      <c r="AP30" s="685">
        <f t="shared" ca="1" si="78"/>
        <v>0</v>
      </c>
      <c r="AQ30" s="685">
        <f t="shared" ca="1" si="78"/>
        <v>0</v>
      </c>
      <c r="AR30" s="685">
        <f t="shared" ca="1" si="78"/>
        <v>0</v>
      </c>
      <c r="AS30" s="685">
        <f t="shared" ca="1" si="78"/>
        <v>0</v>
      </c>
      <c r="AT30" s="685">
        <f t="shared" ca="1" si="78"/>
        <v>0</v>
      </c>
      <c r="AU30" s="685">
        <f t="shared" ca="1" si="78"/>
        <v>0</v>
      </c>
      <c r="AV30" s="685">
        <f t="shared" ca="1" si="60"/>
        <v>0</v>
      </c>
      <c r="AW30" s="685">
        <f t="shared" ca="1" si="60"/>
        <v>0</v>
      </c>
      <c r="AX30" s="685">
        <f t="shared" ca="1" si="60"/>
        <v>0</v>
      </c>
      <c r="AY30" s="685">
        <f t="shared" ca="1" si="60"/>
        <v>0</v>
      </c>
      <c r="AZ30" s="685">
        <f t="shared" ca="1" si="60"/>
        <v>0</v>
      </c>
      <c r="BA30" s="685">
        <f t="shared" ca="1" si="60"/>
        <v>0</v>
      </c>
      <c r="BB30" s="685">
        <f t="shared" ca="1" si="60"/>
        <v>0</v>
      </c>
      <c r="BC30" s="685">
        <f t="shared" ca="1" si="60"/>
        <v>0</v>
      </c>
      <c r="BD30" s="685">
        <f t="shared" ca="1" si="60"/>
        <v>0</v>
      </c>
      <c r="BE30" s="685">
        <f t="shared" ca="1" si="60"/>
        <v>0</v>
      </c>
      <c r="BF30" s="654">
        <f t="shared" ca="1" si="64"/>
        <v>0</v>
      </c>
      <c r="BH30" s="679">
        <f t="shared" ca="1" si="65"/>
        <v>0</v>
      </c>
      <c r="BI30" s="679">
        <f t="shared" ca="1" si="65"/>
        <v>0</v>
      </c>
      <c r="BJ30" s="690">
        <f t="shared" ca="1" si="66"/>
        <v>0</v>
      </c>
      <c r="BL30" s="653">
        <f t="shared" ca="1" si="9"/>
        <v>0</v>
      </c>
      <c r="BM30" s="653"/>
      <c r="BN30" s="555"/>
      <c r="BO30" s="944">
        <f t="shared" ca="1" si="79"/>
        <v>0</v>
      </c>
      <c r="BP30" s="945">
        <f t="shared" ca="1" si="79"/>
        <v>0</v>
      </c>
      <c r="BQ30" s="945">
        <f t="shared" ca="1" si="79"/>
        <v>0</v>
      </c>
      <c r="BR30" s="945">
        <f t="shared" ca="1" si="79"/>
        <v>0</v>
      </c>
      <c r="BS30" s="945">
        <f t="shared" ca="1" si="79"/>
        <v>0</v>
      </c>
      <c r="BT30" s="945">
        <f t="shared" ca="1" si="79"/>
        <v>0</v>
      </c>
      <c r="BU30" s="945">
        <f t="shared" ca="1" si="79"/>
        <v>0</v>
      </c>
      <c r="BV30" s="945">
        <f t="shared" ca="1" si="79"/>
        <v>0</v>
      </c>
      <c r="BW30" s="945">
        <f t="shared" ca="1" si="79"/>
        <v>0</v>
      </c>
      <c r="BX30" s="945">
        <f t="shared" ca="1" si="79"/>
        <v>0</v>
      </c>
      <c r="BY30" s="945">
        <f t="shared" ca="1" si="80"/>
        <v>0</v>
      </c>
      <c r="BZ30" s="945">
        <f t="shared" ca="1" si="80"/>
        <v>0</v>
      </c>
      <c r="CA30" s="945">
        <f t="shared" ca="1" si="80"/>
        <v>0</v>
      </c>
      <c r="CB30" s="945">
        <f t="shared" ca="1" si="80"/>
        <v>0</v>
      </c>
      <c r="CC30" s="945">
        <f t="shared" ca="1" si="80"/>
        <v>0</v>
      </c>
      <c r="CD30" s="945">
        <f t="shared" ca="1" si="80"/>
        <v>0</v>
      </c>
      <c r="CE30" s="945">
        <f t="shared" ca="1" si="80"/>
        <v>0</v>
      </c>
      <c r="CF30" s="945">
        <f t="shared" ca="1" si="80"/>
        <v>0</v>
      </c>
      <c r="CG30" s="945">
        <f t="shared" ca="1" si="80"/>
        <v>0</v>
      </c>
      <c r="CH30" s="945">
        <f t="shared" ca="1" si="80"/>
        <v>0</v>
      </c>
      <c r="CI30" s="945">
        <f t="shared" ca="1" si="81"/>
        <v>0</v>
      </c>
      <c r="CJ30" s="945">
        <f t="shared" ca="1" si="81"/>
        <v>0</v>
      </c>
      <c r="CK30" s="945">
        <f t="shared" ca="1" si="81"/>
        <v>0</v>
      </c>
      <c r="CL30" s="945">
        <f t="shared" ca="1" si="81"/>
        <v>0</v>
      </c>
      <c r="CM30" s="945">
        <f t="shared" ca="1" si="81"/>
        <v>0</v>
      </c>
      <c r="CN30" s="945">
        <f t="shared" ca="1" si="81"/>
        <v>0</v>
      </c>
      <c r="CO30" s="945">
        <f t="shared" ca="1" si="81"/>
        <v>0</v>
      </c>
      <c r="CP30" s="945">
        <f t="shared" ca="1" si="81"/>
        <v>0</v>
      </c>
      <c r="CQ30" s="945">
        <f t="shared" ca="1" si="81"/>
        <v>0</v>
      </c>
      <c r="CR30" s="945">
        <f t="shared" ca="1" si="81"/>
        <v>0</v>
      </c>
      <c r="CS30" s="945">
        <f t="shared" ca="1" si="82"/>
        <v>0</v>
      </c>
      <c r="CT30" s="945">
        <f t="shared" ca="1" si="82"/>
        <v>0</v>
      </c>
      <c r="CU30" s="945">
        <f t="shared" ca="1" si="82"/>
        <v>0</v>
      </c>
      <c r="CV30" s="945">
        <f t="shared" ca="1" si="82"/>
        <v>0</v>
      </c>
      <c r="CW30" s="945">
        <f t="shared" ca="1" si="82"/>
        <v>0</v>
      </c>
      <c r="CX30" s="945">
        <f t="shared" ca="1" si="82"/>
        <v>0</v>
      </c>
      <c r="CY30" s="945">
        <f t="shared" ca="1" si="82"/>
        <v>0</v>
      </c>
      <c r="CZ30" s="945">
        <f t="shared" ca="1" si="82"/>
        <v>0</v>
      </c>
      <c r="DA30" s="945">
        <f t="shared" ca="1" si="82"/>
        <v>0</v>
      </c>
      <c r="DB30" s="945">
        <f t="shared" ca="1" si="82"/>
        <v>0</v>
      </c>
      <c r="DC30" s="945">
        <f t="shared" ca="1" si="82"/>
        <v>0</v>
      </c>
      <c r="DD30" s="945">
        <f t="shared" ca="1" si="82"/>
        <v>0</v>
      </c>
      <c r="DE30" s="945">
        <f t="shared" ca="1" si="82"/>
        <v>0</v>
      </c>
      <c r="DF30" s="945">
        <f t="shared" ca="1" si="82"/>
        <v>0</v>
      </c>
      <c r="DH30" s="553">
        <f t="shared" ca="1" si="35"/>
        <v>0</v>
      </c>
    </row>
    <row r="31" spans="1:112" s="522" customFormat="1" ht="11.25" customHeight="1" outlineLevel="1">
      <c r="A31" s="947"/>
      <c r="B31" s="947"/>
      <c r="C31" s="524"/>
      <c r="D31" s="657" t="s">
        <v>742</v>
      </c>
      <c r="E31" s="656"/>
      <c r="G31" s="666">
        <f t="shared" ref="G31:P31" ca="1" si="83">SUM(G29:G30)</f>
        <v>0</v>
      </c>
      <c r="H31" s="666">
        <f t="shared" ca="1" si="83"/>
        <v>0</v>
      </c>
      <c r="I31" s="666">
        <f t="shared" ca="1" si="83"/>
        <v>0</v>
      </c>
      <c r="J31" s="666">
        <f t="shared" ca="1" si="83"/>
        <v>0</v>
      </c>
      <c r="K31" s="666">
        <f t="shared" ca="1" si="83"/>
        <v>0</v>
      </c>
      <c r="L31" s="666">
        <f t="shared" ca="1" si="83"/>
        <v>0</v>
      </c>
      <c r="M31" s="666">
        <f t="shared" ca="1" si="83"/>
        <v>0</v>
      </c>
      <c r="N31" s="666">
        <f t="shared" ca="1" si="83"/>
        <v>0</v>
      </c>
      <c r="O31" s="666">
        <f t="shared" ca="1" si="83"/>
        <v>0</v>
      </c>
      <c r="P31" s="666">
        <f t="shared" ca="1" si="83"/>
        <v>0</v>
      </c>
      <c r="Q31" s="666">
        <f t="shared" ca="1" si="59"/>
        <v>0</v>
      </c>
      <c r="S31" s="676">
        <f t="shared" ref="S31:AJ31" ca="1" si="84">SUM(S29:S30)</f>
        <v>0</v>
      </c>
      <c r="T31" s="676">
        <f t="shared" ca="1" si="84"/>
        <v>0</v>
      </c>
      <c r="U31" s="676">
        <f t="shared" ca="1" si="84"/>
        <v>0</v>
      </c>
      <c r="V31" s="676">
        <f t="shared" ca="1" si="84"/>
        <v>0</v>
      </c>
      <c r="W31" s="676">
        <f t="shared" ca="1" si="84"/>
        <v>0</v>
      </c>
      <c r="X31" s="742">
        <f t="shared" ca="1" si="84"/>
        <v>0</v>
      </c>
      <c r="Y31" s="742">
        <f t="shared" ca="1" si="84"/>
        <v>0</v>
      </c>
      <c r="Z31" s="742">
        <f t="shared" ca="1" si="84"/>
        <v>0</v>
      </c>
      <c r="AA31" s="676">
        <f t="shared" ca="1" si="84"/>
        <v>0</v>
      </c>
      <c r="AB31" s="676">
        <f t="shared" ca="1" si="84"/>
        <v>0</v>
      </c>
      <c r="AC31" s="676">
        <f t="shared" ca="1" si="84"/>
        <v>0</v>
      </c>
      <c r="AD31" s="676">
        <f t="shared" ca="1" si="84"/>
        <v>0</v>
      </c>
      <c r="AE31" s="676">
        <f ca="1">SUM(AE29:AE30)</f>
        <v>0</v>
      </c>
      <c r="AF31" s="676">
        <f t="shared" ca="1" si="84"/>
        <v>0</v>
      </c>
      <c r="AG31" s="676">
        <f t="shared" ca="1" si="84"/>
        <v>0</v>
      </c>
      <c r="AH31" s="676">
        <f ca="1">SUM(AH29:AH30)</f>
        <v>0</v>
      </c>
      <c r="AI31" s="676">
        <f t="shared" ca="1" si="84"/>
        <v>0</v>
      </c>
      <c r="AJ31" s="676">
        <f t="shared" ca="1" si="84"/>
        <v>0</v>
      </c>
      <c r="AK31" s="676">
        <f t="shared" ca="1" si="62"/>
        <v>0</v>
      </c>
      <c r="AM31" s="689">
        <f t="shared" ref="AM31:AU31" ca="1" si="85">SUM(AM29:AM30)</f>
        <v>0</v>
      </c>
      <c r="AN31" s="689">
        <f t="shared" ca="1" si="85"/>
        <v>0</v>
      </c>
      <c r="AO31" s="689">
        <f t="shared" ca="1" si="85"/>
        <v>0</v>
      </c>
      <c r="AP31" s="689">
        <f t="shared" ca="1" si="85"/>
        <v>0</v>
      </c>
      <c r="AQ31" s="689">
        <f t="shared" ca="1" si="85"/>
        <v>0</v>
      </c>
      <c r="AR31" s="689">
        <f t="shared" ca="1" si="85"/>
        <v>0</v>
      </c>
      <c r="AS31" s="689">
        <f t="shared" ca="1" si="85"/>
        <v>0</v>
      </c>
      <c r="AT31" s="689">
        <f t="shared" ca="1" si="85"/>
        <v>0</v>
      </c>
      <c r="AU31" s="689">
        <f t="shared" ca="1" si="85"/>
        <v>0</v>
      </c>
      <c r="AV31" s="689">
        <f t="shared" ref="AV31:BE31" ca="1" si="86">SUM(AV29:AV30)</f>
        <v>0</v>
      </c>
      <c r="AW31" s="689">
        <f t="shared" ca="1" si="86"/>
        <v>0</v>
      </c>
      <c r="AX31" s="689">
        <f t="shared" ca="1" si="86"/>
        <v>0</v>
      </c>
      <c r="AY31" s="689">
        <f t="shared" ca="1" si="86"/>
        <v>0</v>
      </c>
      <c r="AZ31" s="689">
        <f t="shared" ca="1" si="86"/>
        <v>0</v>
      </c>
      <c r="BA31" s="689">
        <f t="shared" ca="1" si="86"/>
        <v>0</v>
      </c>
      <c r="BB31" s="689">
        <f t="shared" ca="1" si="86"/>
        <v>0</v>
      </c>
      <c r="BC31" s="689">
        <f t="shared" ca="1" si="86"/>
        <v>0</v>
      </c>
      <c r="BD31" s="689">
        <f ca="1">SUM(BD29:BD30)</f>
        <v>0</v>
      </c>
      <c r="BE31" s="689">
        <f t="shared" ca="1" si="86"/>
        <v>0</v>
      </c>
      <c r="BF31" s="659">
        <f t="shared" ca="1" si="64"/>
        <v>0</v>
      </c>
      <c r="BH31" s="683">
        <f ca="1">SUM(BH29:BH30)</f>
        <v>0</v>
      </c>
      <c r="BI31" s="683">
        <f ca="1">SUM(BI29:BI30)</f>
        <v>0</v>
      </c>
      <c r="BJ31" s="681">
        <f t="shared" ca="1" si="66"/>
        <v>0</v>
      </c>
      <c r="BL31" s="506">
        <f t="shared" ca="1" si="9"/>
        <v>0</v>
      </c>
      <c r="BM31" s="506"/>
      <c r="BN31" s="947"/>
      <c r="BO31" s="948">
        <f t="shared" ref="BO31:DF31" ca="1" si="87">SUM(BO29:BO30)</f>
        <v>0</v>
      </c>
      <c r="BP31" s="949">
        <f t="shared" ca="1" si="87"/>
        <v>0</v>
      </c>
      <c r="BQ31" s="949">
        <f t="shared" ca="1" si="87"/>
        <v>0</v>
      </c>
      <c r="BR31" s="949">
        <f t="shared" ca="1" si="87"/>
        <v>0</v>
      </c>
      <c r="BS31" s="949">
        <f t="shared" ca="1" si="87"/>
        <v>0</v>
      </c>
      <c r="BT31" s="949">
        <f t="shared" ca="1" si="87"/>
        <v>0</v>
      </c>
      <c r="BU31" s="949">
        <f t="shared" ca="1" si="87"/>
        <v>0</v>
      </c>
      <c r="BV31" s="949">
        <f t="shared" ca="1" si="87"/>
        <v>0</v>
      </c>
      <c r="BW31" s="949">
        <f t="shared" ca="1" si="87"/>
        <v>0</v>
      </c>
      <c r="BX31" s="949">
        <f t="shared" ca="1" si="87"/>
        <v>0</v>
      </c>
      <c r="BY31" s="949">
        <f t="shared" ca="1" si="87"/>
        <v>0</v>
      </c>
      <c r="BZ31" s="949">
        <f t="shared" ca="1" si="87"/>
        <v>0</v>
      </c>
      <c r="CA31" s="949">
        <f t="shared" ca="1" si="87"/>
        <v>0</v>
      </c>
      <c r="CB31" s="949">
        <f t="shared" ca="1" si="87"/>
        <v>0</v>
      </c>
      <c r="CC31" s="949">
        <f t="shared" ca="1" si="87"/>
        <v>0</v>
      </c>
      <c r="CD31" s="949">
        <f t="shared" ca="1" si="87"/>
        <v>0</v>
      </c>
      <c r="CE31" s="949">
        <f t="shared" ca="1" si="87"/>
        <v>0</v>
      </c>
      <c r="CF31" s="949">
        <f t="shared" ca="1" si="87"/>
        <v>0</v>
      </c>
      <c r="CG31" s="949">
        <f t="shared" ca="1" si="87"/>
        <v>0</v>
      </c>
      <c r="CH31" s="949">
        <f t="shared" ca="1" si="87"/>
        <v>0</v>
      </c>
      <c r="CI31" s="949">
        <f t="shared" ca="1" si="87"/>
        <v>0</v>
      </c>
      <c r="CJ31" s="949">
        <f t="shared" ca="1" si="87"/>
        <v>0</v>
      </c>
      <c r="CK31" s="949">
        <f t="shared" ca="1" si="87"/>
        <v>0</v>
      </c>
      <c r="CL31" s="949">
        <f t="shared" ca="1" si="87"/>
        <v>0</v>
      </c>
      <c r="CM31" s="949">
        <f t="shared" ca="1" si="87"/>
        <v>0</v>
      </c>
      <c r="CN31" s="949">
        <f t="shared" ca="1" si="87"/>
        <v>0</v>
      </c>
      <c r="CO31" s="949">
        <f t="shared" ca="1" si="87"/>
        <v>0</v>
      </c>
      <c r="CP31" s="949">
        <f t="shared" ca="1" si="87"/>
        <v>0</v>
      </c>
      <c r="CQ31" s="949">
        <f t="shared" ca="1" si="87"/>
        <v>0</v>
      </c>
      <c r="CR31" s="949">
        <f t="shared" ca="1" si="87"/>
        <v>0</v>
      </c>
      <c r="CS31" s="949">
        <f t="shared" ca="1" si="87"/>
        <v>0</v>
      </c>
      <c r="CT31" s="949">
        <f t="shared" ca="1" si="87"/>
        <v>0</v>
      </c>
      <c r="CU31" s="949">
        <f t="shared" ca="1" si="87"/>
        <v>0</v>
      </c>
      <c r="CV31" s="949">
        <f t="shared" ca="1" si="87"/>
        <v>0</v>
      </c>
      <c r="CW31" s="949">
        <f t="shared" ca="1" si="87"/>
        <v>0</v>
      </c>
      <c r="CX31" s="949">
        <f t="shared" ca="1" si="87"/>
        <v>0</v>
      </c>
      <c r="CY31" s="949">
        <f t="shared" ca="1" si="87"/>
        <v>0</v>
      </c>
      <c r="CZ31" s="949">
        <f t="shared" ca="1" si="87"/>
        <v>0</v>
      </c>
      <c r="DA31" s="949">
        <f t="shared" ca="1" si="87"/>
        <v>0</v>
      </c>
      <c r="DB31" s="949">
        <f t="shared" ca="1" si="87"/>
        <v>0</v>
      </c>
      <c r="DC31" s="949">
        <f t="shared" ca="1" si="87"/>
        <v>0</v>
      </c>
      <c r="DD31" s="949">
        <f t="shared" ca="1" si="87"/>
        <v>0</v>
      </c>
      <c r="DE31" s="949">
        <f t="shared" ca="1" si="87"/>
        <v>0</v>
      </c>
      <c r="DF31" s="949">
        <f t="shared" ca="1" si="87"/>
        <v>0</v>
      </c>
      <c r="DH31" s="553">
        <f t="shared" ca="1" si="35"/>
        <v>0</v>
      </c>
    </row>
    <row r="32" spans="1:112" s="522" customFormat="1" ht="15">
      <c r="A32" s="16"/>
      <c r="B32" s="527"/>
      <c r="C32" s="523" t="s">
        <v>570</v>
      </c>
      <c r="D32" s="499" t="str">
        <f>INDEX(Workstreams[Workstream], MATCH($C32, Workstreams[Code], 0))</f>
        <v>Transport</v>
      </c>
      <c r="E32" s="495"/>
      <c r="G32" s="667">
        <f t="shared" ref="G32:P32" ca="1" si="88">G24+G25+G28+G31</f>
        <v>0</v>
      </c>
      <c r="H32" s="667">
        <f t="shared" ca="1" si="88"/>
        <v>0</v>
      </c>
      <c r="I32" s="667">
        <f t="shared" ca="1" si="88"/>
        <v>0</v>
      </c>
      <c r="J32" s="667">
        <f t="shared" ca="1" si="88"/>
        <v>0</v>
      </c>
      <c r="K32" s="667">
        <f t="shared" ca="1" si="88"/>
        <v>0</v>
      </c>
      <c r="L32" s="667">
        <f t="shared" ca="1" si="88"/>
        <v>0</v>
      </c>
      <c r="M32" s="667">
        <f t="shared" ca="1" si="88"/>
        <v>0</v>
      </c>
      <c r="N32" s="667">
        <f t="shared" ca="1" si="88"/>
        <v>0</v>
      </c>
      <c r="O32" s="667">
        <f t="shared" ca="1" si="88"/>
        <v>0</v>
      </c>
      <c r="P32" s="667">
        <f t="shared" ca="1" si="88"/>
        <v>0</v>
      </c>
      <c r="Q32" s="667">
        <f t="shared" ca="1" si="59"/>
        <v>0</v>
      </c>
      <c r="S32" s="617">
        <f t="shared" ref="S32:AJ32" ca="1" si="89">S24+S25+S28+S31</f>
        <v>0</v>
      </c>
      <c r="T32" s="617">
        <f t="shared" ca="1" si="89"/>
        <v>0</v>
      </c>
      <c r="U32" s="617">
        <f t="shared" ca="1" si="89"/>
        <v>0</v>
      </c>
      <c r="V32" s="617">
        <f t="shared" ca="1" si="89"/>
        <v>0</v>
      </c>
      <c r="W32" s="617">
        <f t="shared" ca="1" si="89"/>
        <v>0</v>
      </c>
      <c r="X32" s="617">
        <f t="shared" ca="1" si="89"/>
        <v>0</v>
      </c>
      <c r="Y32" s="617">
        <f t="shared" ca="1" si="89"/>
        <v>0</v>
      </c>
      <c r="Z32" s="617">
        <f t="shared" ca="1" si="89"/>
        <v>0</v>
      </c>
      <c r="AA32" s="617">
        <f t="shared" ca="1" si="89"/>
        <v>0</v>
      </c>
      <c r="AB32" s="617">
        <f t="shared" ca="1" si="89"/>
        <v>0</v>
      </c>
      <c r="AC32" s="617">
        <f t="shared" ca="1" si="89"/>
        <v>0</v>
      </c>
      <c r="AD32" s="617">
        <f t="shared" ca="1" si="89"/>
        <v>0</v>
      </c>
      <c r="AE32" s="617">
        <f ca="1">AE24+AE25+AE28+AE31</f>
        <v>0</v>
      </c>
      <c r="AF32" s="617">
        <f t="shared" ca="1" si="89"/>
        <v>0</v>
      </c>
      <c r="AG32" s="617">
        <f t="shared" ca="1" si="89"/>
        <v>0</v>
      </c>
      <c r="AH32" s="617">
        <f ca="1">AH24+AH25+AH28+AH31</f>
        <v>0</v>
      </c>
      <c r="AI32" s="617">
        <f t="shared" ca="1" si="89"/>
        <v>0</v>
      </c>
      <c r="AJ32" s="617">
        <f t="shared" ca="1" si="89"/>
        <v>0</v>
      </c>
      <c r="AK32" s="617">
        <f t="shared" ca="1" si="62"/>
        <v>0</v>
      </c>
      <c r="AM32" s="623">
        <f t="shared" ref="AM32:AU32" ca="1" si="90">AM24+AM25+AM28+AM31</f>
        <v>0</v>
      </c>
      <c r="AN32" s="623">
        <f t="shared" ca="1" si="90"/>
        <v>0</v>
      </c>
      <c r="AO32" s="623">
        <f t="shared" ca="1" si="90"/>
        <v>0</v>
      </c>
      <c r="AP32" s="623">
        <f t="shared" ca="1" si="90"/>
        <v>0</v>
      </c>
      <c r="AQ32" s="623">
        <f t="shared" ca="1" si="90"/>
        <v>0</v>
      </c>
      <c r="AR32" s="623">
        <f t="shared" ca="1" si="90"/>
        <v>0</v>
      </c>
      <c r="AS32" s="623">
        <f t="shared" ca="1" si="90"/>
        <v>0</v>
      </c>
      <c r="AT32" s="623">
        <f t="shared" ca="1" si="90"/>
        <v>0</v>
      </c>
      <c r="AU32" s="623">
        <f t="shared" ca="1" si="90"/>
        <v>0</v>
      </c>
      <c r="AV32" s="623">
        <f t="shared" ref="AV32:BE32" ca="1" si="91">AV24+AV25+AV28+AV31</f>
        <v>0</v>
      </c>
      <c r="AW32" s="623">
        <f t="shared" ca="1" si="91"/>
        <v>0</v>
      </c>
      <c r="AX32" s="623">
        <f t="shared" ca="1" si="91"/>
        <v>0</v>
      </c>
      <c r="AY32" s="623">
        <f t="shared" ca="1" si="91"/>
        <v>0</v>
      </c>
      <c r="AZ32" s="623">
        <f t="shared" ca="1" si="91"/>
        <v>0</v>
      </c>
      <c r="BA32" s="623">
        <f t="shared" ca="1" si="91"/>
        <v>0</v>
      </c>
      <c r="BB32" s="623">
        <f t="shared" ca="1" si="91"/>
        <v>0</v>
      </c>
      <c r="BC32" s="623">
        <f t="shared" ca="1" si="91"/>
        <v>0</v>
      </c>
      <c r="BD32" s="623">
        <f ca="1">BD24+BD25+BD28+BD31</f>
        <v>0</v>
      </c>
      <c r="BE32" s="623">
        <f t="shared" ca="1" si="91"/>
        <v>0</v>
      </c>
      <c r="BF32" s="623">
        <f t="shared" ca="1" si="64"/>
        <v>0</v>
      </c>
      <c r="BH32" s="637">
        <f ca="1">BH24+BH25+BH28+BH31</f>
        <v>0</v>
      </c>
      <c r="BI32" s="637">
        <f ca="1">BI24+BI25+BI28+BI31</f>
        <v>0</v>
      </c>
      <c r="BJ32" s="637">
        <f t="shared" ca="1" si="66"/>
        <v>0</v>
      </c>
      <c r="BL32" s="497">
        <f t="shared" ca="1" si="9"/>
        <v>0</v>
      </c>
      <c r="BM32" s="497"/>
      <c r="BN32" s="555"/>
      <c r="BO32" s="945">
        <f t="shared" ref="BO32:DF32" ca="1" si="92">BO24+BO25+BO28+BO31</f>
        <v>0</v>
      </c>
      <c r="BP32" s="945">
        <f t="shared" ca="1" si="92"/>
        <v>0</v>
      </c>
      <c r="BQ32" s="945">
        <f t="shared" ca="1" si="92"/>
        <v>0</v>
      </c>
      <c r="BR32" s="945">
        <f t="shared" ca="1" si="92"/>
        <v>0</v>
      </c>
      <c r="BS32" s="945">
        <f t="shared" ca="1" si="92"/>
        <v>0</v>
      </c>
      <c r="BT32" s="945">
        <f t="shared" ca="1" si="92"/>
        <v>0</v>
      </c>
      <c r="BU32" s="945">
        <f t="shared" ca="1" si="92"/>
        <v>0</v>
      </c>
      <c r="BV32" s="945">
        <f t="shared" ca="1" si="92"/>
        <v>0</v>
      </c>
      <c r="BW32" s="945">
        <f t="shared" ca="1" si="92"/>
        <v>0</v>
      </c>
      <c r="BX32" s="945">
        <f t="shared" ca="1" si="92"/>
        <v>0</v>
      </c>
      <c r="BY32" s="945">
        <f t="shared" ca="1" si="92"/>
        <v>0</v>
      </c>
      <c r="BZ32" s="945">
        <f t="shared" ca="1" si="92"/>
        <v>0</v>
      </c>
      <c r="CA32" s="945">
        <f t="shared" ca="1" si="92"/>
        <v>0</v>
      </c>
      <c r="CB32" s="945">
        <f t="shared" ca="1" si="92"/>
        <v>0</v>
      </c>
      <c r="CC32" s="945">
        <f t="shared" ca="1" si="92"/>
        <v>0</v>
      </c>
      <c r="CD32" s="945">
        <f t="shared" ca="1" si="92"/>
        <v>0</v>
      </c>
      <c r="CE32" s="945">
        <f t="shared" ca="1" si="92"/>
        <v>0</v>
      </c>
      <c r="CF32" s="945">
        <f t="shared" ca="1" si="92"/>
        <v>0</v>
      </c>
      <c r="CG32" s="945">
        <f t="shared" ca="1" si="92"/>
        <v>0</v>
      </c>
      <c r="CH32" s="945">
        <f t="shared" ca="1" si="92"/>
        <v>0</v>
      </c>
      <c r="CI32" s="945">
        <f t="shared" ca="1" si="92"/>
        <v>0</v>
      </c>
      <c r="CJ32" s="945">
        <f t="shared" ca="1" si="92"/>
        <v>0</v>
      </c>
      <c r="CK32" s="945">
        <f t="shared" ca="1" si="92"/>
        <v>0</v>
      </c>
      <c r="CL32" s="945">
        <f t="shared" ca="1" si="92"/>
        <v>0</v>
      </c>
      <c r="CM32" s="945">
        <f t="shared" ca="1" si="92"/>
        <v>0</v>
      </c>
      <c r="CN32" s="945">
        <f t="shared" ca="1" si="92"/>
        <v>0</v>
      </c>
      <c r="CO32" s="945">
        <f t="shared" ca="1" si="92"/>
        <v>0</v>
      </c>
      <c r="CP32" s="945">
        <f t="shared" ca="1" si="92"/>
        <v>0</v>
      </c>
      <c r="CQ32" s="945">
        <f t="shared" ca="1" si="92"/>
        <v>0</v>
      </c>
      <c r="CR32" s="945">
        <f t="shared" ca="1" si="92"/>
        <v>0</v>
      </c>
      <c r="CS32" s="945">
        <f t="shared" ca="1" si="92"/>
        <v>0</v>
      </c>
      <c r="CT32" s="945">
        <f t="shared" ca="1" si="92"/>
        <v>0</v>
      </c>
      <c r="CU32" s="945">
        <f t="shared" ca="1" si="92"/>
        <v>0</v>
      </c>
      <c r="CV32" s="945">
        <f t="shared" ca="1" si="92"/>
        <v>0</v>
      </c>
      <c r="CW32" s="945">
        <f t="shared" ca="1" si="92"/>
        <v>0</v>
      </c>
      <c r="CX32" s="945">
        <f t="shared" ca="1" si="92"/>
        <v>0</v>
      </c>
      <c r="CY32" s="945">
        <f t="shared" ca="1" si="92"/>
        <v>0</v>
      </c>
      <c r="CZ32" s="945">
        <f t="shared" ca="1" si="92"/>
        <v>0</v>
      </c>
      <c r="DA32" s="945">
        <f t="shared" ca="1" si="92"/>
        <v>0</v>
      </c>
      <c r="DB32" s="945">
        <f t="shared" ca="1" si="92"/>
        <v>0</v>
      </c>
      <c r="DC32" s="945">
        <f t="shared" ca="1" si="92"/>
        <v>0</v>
      </c>
      <c r="DD32" s="945">
        <f t="shared" ca="1" si="92"/>
        <v>0</v>
      </c>
      <c r="DE32" s="945">
        <f t="shared" ca="1" si="92"/>
        <v>0</v>
      </c>
      <c r="DF32" s="945">
        <f t="shared" ca="1" si="92"/>
        <v>0</v>
      </c>
      <c r="DH32" s="553">
        <f t="shared" ca="1" si="35"/>
        <v>0</v>
      </c>
    </row>
    <row r="33" spans="1:112" s="522" customFormat="1" ht="12.75" customHeight="1" outlineLevel="1">
      <c r="A33" s="16"/>
      <c r="B33" s="16"/>
      <c r="C33" s="525"/>
      <c r="D33" s="495"/>
      <c r="E33" s="495"/>
      <c r="G33" s="667"/>
      <c r="H33" s="667"/>
      <c r="I33" s="667"/>
      <c r="J33" s="667"/>
      <c r="K33" s="667"/>
      <c r="L33" s="667"/>
      <c r="M33" s="667"/>
      <c r="N33" s="667"/>
      <c r="O33" s="667"/>
      <c r="P33" s="667"/>
      <c r="Q33" s="667"/>
      <c r="S33" s="617"/>
      <c r="T33" s="617"/>
      <c r="U33" s="617"/>
      <c r="V33" s="617"/>
      <c r="W33" s="617"/>
      <c r="X33" s="617"/>
      <c r="Y33" s="617"/>
      <c r="Z33" s="617"/>
      <c r="AA33" s="617"/>
      <c r="AB33" s="617"/>
      <c r="AC33" s="617"/>
      <c r="AD33" s="617"/>
      <c r="AE33" s="617"/>
      <c r="AF33" s="617"/>
      <c r="AG33" s="617"/>
      <c r="AH33" s="617"/>
      <c r="AI33" s="617"/>
      <c r="AJ33" s="617"/>
      <c r="AK33" s="617"/>
      <c r="AM33" s="623"/>
      <c r="AN33" s="623"/>
      <c r="AO33" s="623"/>
      <c r="AP33" s="623"/>
      <c r="AQ33" s="623"/>
      <c r="AR33" s="623"/>
      <c r="AS33" s="623"/>
      <c r="AT33" s="623"/>
      <c r="AU33" s="623"/>
      <c r="AV33" s="623"/>
      <c r="AW33" s="623"/>
      <c r="AX33" s="623"/>
      <c r="AY33" s="623"/>
      <c r="AZ33" s="623"/>
      <c r="BA33" s="623"/>
      <c r="BB33" s="623"/>
      <c r="BC33" s="623"/>
      <c r="BD33" s="623"/>
      <c r="BE33" s="623"/>
      <c r="BF33" s="623"/>
      <c r="BH33" s="637"/>
      <c r="BI33" s="637"/>
      <c r="BJ33" s="637"/>
      <c r="BL33" s="497">
        <f t="shared" si="9"/>
        <v>0</v>
      </c>
      <c r="BM33" s="497"/>
      <c r="BN33" s="16"/>
      <c r="BO33" s="945"/>
      <c r="BP33" s="945"/>
      <c r="BQ33" s="945"/>
      <c r="BR33" s="945"/>
      <c r="BS33" s="945"/>
      <c r="BT33" s="945"/>
      <c r="BU33" s="945"/>
      <c r="BV33" s="945"/>
      <c r="BW33" s="945"/>
      <c r="BX33" s="945"/>
      <c r="BY33" s="945"/>
      <c r="BZ33" s="945"/>
      <c r="CA33" s="945"/>
      <c r="CB33" s="945"/>
      <c r="CC33" s="945"/>
      <c r="CD33" s="945"/>
      <c r="CE33" s="945"/>
      <c r="CF33" s="945"/>
      <c r="CG33" s="945"/>
      <c r="CH33" s="945"/>
      <c r="CI33" s="945"/>
      <c r="CJ33" s="945"/>
      <c r="CK33" s="945"/>
      <c r="CL33" s="945"/>
      <c r="CM33" s="945"/>
      <c r="CN33" s="945"/>
      <c r="CO33" s="945"/>
      <c r="CP33" s="945"/>
      <c r="CQ33" s="945"/>
      <c r="CR33" s="945"/>
      <c r="CS33" s="945"/>
      <c r="CT33" s="945"/>
      <c r="CU33" s="945"/>
      <c r="CV33" s="945"/>
      <c r="CW33" s="945"/>
      <c r="CX33" s="945"/>
      <c r="CY33" s="945"/>
      <c r="CZ33" s="945"/>
      <c r="DA33" s="945"/>
      <c r="DB33" s="945"/>
      <c r="DC33" s="945"/>
      <c r="DD33" s="945"/>
      <c r="DE33" s="945"/>
      <c r="DF33" s="945"/>
      <c r="DH33" s="553">
        <f t="shared" si="35"/>
        <v>0</v>
      </c>
    </row>
    <row r="34" spans="1:112" s="522" customFormat="1" ht="12.75" customHeight="1" outlineLevel="1">
      <c r="A34" s="947"/>
      <c r="B34" s="947"/>
      <c r="C34" s="524" t="s">
        <v>722</v>
      </c>
      <c r="D34" s="656" t="str">
        <f>INDEX(Modules[Module], MATCH($C34, Modules[Code], 0))</f>
        <v>Food consumption [UNUSED]</v>
      </c>
      <c r="E34" s="656"/>
      <c r="G34" s="668">
        <f t="shared" ref="G34:P34" ca="1" si="93">IFERROR(INDEX(INDIRECT($C34&amp;".Outputs["&amp;this.Year&amp;"]"), MATCH(G$5, INDIRECT($C34&amp;".Outputs[Vector]"), 0)), 0)</f>
        <v>0</v>
      </c>
      <c r="H34" s="668">
        <f t="shared" ca="1" si="93"/>
        <v>0</v>
      </c>
      <c r="I34" s="668">
        <f t="shared" ca="1" si="93"/>
        <v>0</v>
      </c>
      <c r="J34" s="668">
        <f t="shared" ca="1" si="93"/>
        <v>0</v>
      </c>
      <c r="K34" s="668">
        <f t="shared" ca="1" si="93"/>
        <v>0</v>
      </c>
      <c r="L34" s="668">
        <f t="shared" ca="1" si="93"/>
        <v>0</v>
      </c>
      <c r="M34" s="668">
        <f t="shared" ca="1" si="93"/>
        <v>0</v>
      </c>
      <c r="N34" s="668">
        <f t="shared" ca="1" si="93"/>
        <v>0</v>
      </c>
      <c r="O34" s="668">
        <f t="shared" ca="1" si="93"/>
        <v>0</v>
      </c>
      <c r="P34" s="668">
        <f t="shared" ca="1" si="93"/>
        <v>0</v>
      </c>
      <c r="Q34" s="666">
        <f ca="1">SUM(G34:P34)</f>
        <v>0</v>
      </c>
      <c r="S34" s="677">
        <f t="shared" ref="S34:BE34" ca="1" si="94">IFERROR(INDEX(INDIRECT($C34&amp;".Outputs["&amp;this.Year&amp;"]"), MATCH(S$5, INDIRECT($C34&amp;".Outputs[Vector]"), 0)), 0)</f>
        <v>0</v>
      </c>
      <c r="T34" s="677">
        <f t="shared" ca="1" si="94"/>
        <v>0</v>
      </c>
      <c r="U34" s="677">
        <f t="shared" ca="1" si="94"/>
        <v>0</v>
      </c>
      <c r="V34" s="677">
        <f t="shared" ca="1" si="94"/>
        <v>0</v>
      </c>
      <c r="W34" s="677">
        <f t="shared" ca="1" si="94"/>
        <v>0</v>
      </c>
      <c r="X34" s="677">
        <f ca="1">IFERROR(INDEX(INDIRECT($C34&amp;".Outputs["&amp;this.Year&amp;"]"), MATCH(X$5, INDIRECT($C34&amp;".Outputs[Vector]"), 0)), 0)</f>
        <v>0</v>
      </c>
      <c r="Y34" s="677">
        <f ca="1">IFERROR(INDEX(INDIRECT($C34&amp;".Outputs["&amp;this.Year&amp;"]"), MATCH(Y$5, INDIRECT($C34&amp;".Outputs[Vector]"), 0)), 0)</f>
        <v>0</v>
      </c>
      <c r="Z34" s="677">
        <f ca="1">IFERROR(INDEX(INDIRECT($C34&amp;".Outputs["&amp;this.Year&amp;"]"), MATCH(Z$5, INDIRECT($C34&amp;".Outputs[Vector]"), 0)), 0)</f>
        <v>0</v>
      </c>
      <c r="AA34" s="677">
        <f t="shared" ca="1" si="94"/>
        <v>0</v>
      </c>
      <c r="AB34" s="677">
        <f t="shared" ca="1" si="94"/>
        <v>0</v>
      </c>
      <c r="AC34" s="677">
        <f t="shared" ca="1" si="94"/>
        <v>0</v>
      </c>
      <c r="AD34" s="677">
        <f t="shared" ca="1" si="94"/>
        <v>0</v>
      </c>
      <c r="AE34" s="677">
        <f t="shared" ca="1" si="94"/>
        <v>0</v>
      </c>
      <c r="AF34" s="677">
        <f t="shared" ca="1" si="94"/>
        <v>0</v>
      </c>
      <c r="AG34" s="677">
        <f t="shared" ca="1" si="94"/>
        <v>0</v>
      </c>
      <c r="AH34" s="677">
        <f t="shared" ca="1" si="94"/>
        <v>0</v>
      </c>
      <c r="AI34" s="677">
        <f t="shared" ca="1" si="94"/>
        <v>0</v>
      </c>
      <c r="AJ34" s="677">
        <f t="shared" ca="1" si="94"/>
        <v>0</v>
      </c>
      <c r="AK34" s="676">
        <f ca="1">SUM(S34:AJ34)</f>
        <v>0</v>
      </c>
      <c r="AM34" s="688">
        <f t="shared" ref="AM34:AU34" ca="1" si="95">IFERROR(INDEX(INDIRECT($C34&amp;".Outputs["&amp;this.Year&amp;"]"), MATCH(AM$5, INDIRECT($C34&amp;".Outputs[Vector]"), 0)), 0)</f>
        <v>0</v>
      </c>
      <c r="AN34" s="688">
        <f t="shared" ca="1" si="95"/>
        <v>0</v>
      </c>
      <c r="AO34" s="688">
        <f t="shared" ca="1" si="95"/>
        <v>0</v>
      </c>
      <c r="AP34" s="688">
        <f t="shared" ca="1" si="95"/>
        <v>0</v>
      </c>
      <c r="AQ34" s="688">
        <f t="shared" ca="1" si="95"/>
        <v>0</v>
      </c>
      <c r="AR34" s="688">
        <f t="shared" ca="1" si="95"/>
        <v>0</v>
      </c>
      <c r="AS34" s="688">
        <f t="shared" ca="1" si="95"/>
        <v>0</v>
      </c>
      <c r="AT34" s="688">
        <f t="shared" ca="1" si="95"/>
        <v>0</v>
      </c>
      <c r="AU34" s="688">
        <f t="shared" ca="1" si="95"/>
        <v>0</v>
      </c>
      <c r="AV34" s="688">
        <f t="shared" ca="1" si="94"/>
        <v>0</v>
      </c>
      <c r="AW34" s="688">
        <f t="shared" ca="1" si="94"/>
        <v>0</v>
      </c>
      <c r="AX34" s="688">
        <f t="shared" ca="1" si="94"/>
        <v>0</v>
      </c>
      <c r="AY34" s="688">
        <f t="shared" ca="1" si="94"/>
        <v>0</v>
      </c>
      <c r="AZ34" s="688">
        <f t="shared" ca="1" si="94"/>
        <v>0</v>
      </c>
      <c r="BA34" s="688">
        <f t="shared" ca="1" si="94"/>
        <v>0</v>
      </c>
      <c r="BB34" s="688">
        <f t="shared" ca="1" si="94"/>
        <v>0</v>
      </c>
      <c r="BC34" s="688">
        <f t="shared" ca="1" si="94"/>
        <v>0</v>
      </c>
      <c r="BD34" s="688">
        <f t="shared" ca="1" si="94"/>
        <v>0</v>
      </c>
      <c r="BE34" s="688">
        <f t="shared" ca="1" si="94"/>
        <v>0</v>
      </c>
      <c r="BF34" s="658">
        <f ca="1">SUM(AM34:BE34)</f>
        <v>0</v>
      </c>
      <c r="BH34" s="682">
        <f ca="1">IFERROR(INDEX(INDIRECT($C34&amp;".Outputs["&amp;this.Year&amp;"]"), MATCH(BH$5, INDIRECT($C34&amp;".Outputs[Vector]"), 0)), 0)</f>
        <v>0</v>
      </c>
      <c r="BI34" s="682">
        <f ca="1">IFERROR(INDEX(INDIRECT($C34&amp;".Outputs["&amp;this.Year&amp;"]"), MATCH(BI$5, INDIRECT($C34&amp;".Outputs[Vector]"), 0)), 0)</f>
        <v>0</v>
      </c>
      <c r="BJ34" s="681">
        <f ca="1">SUM(BH34:BI34)</f>
        <v>0</v>
      </c>
      <c r="BL34" s="547">
        <f t="shared" ca="1" si="9"/>
        <v>0</v>
      </c>
      <c r="BM34" s="547"/>
      <c r="BN34" s="555"/>
      <c r="BO34" s="948">
        <f t="shared" ref="BO34:DF34" ca="1" si="96">IFERROR(SUMIFS(INDIRECT($C34&amp;".Emissions["&amp;this.Year&amp;"]"), INDIRECT($C34&amp;".Emissions[GHG]"), BO$6, INDIRECT($C34&amp;".Emissions[IPCC Sector]"), BO$5),0)</f>
        <v>0</v>
      </c>
      <c r="BP34" s="949">
        <f t="shared" ca="1" si="96"/>
        <v>0</v>
      </c>
      <c r="BQ34" s="949">
        <f t="shared" ca="1" si="96"/>
        <v>0</v>
      </c>
      <c r="BR34" s="949">
        <f t="shared" ca="1" si="96"/>
        <v>0</v>
      </c>
      <c r="BS34" s="949">
        <f t="shared" ca="1" si="96"/>
        <v>0</v>
      </c>
      <c r="BT34" s="949">
        <f t="shared" ca="1" si="96"/>
        <v>0</v>
      </c>
      <c r="BU34" s="949">
        <f t="shared" ca="1" si="96"/>
        <v>0</v>
      </c>
      <c r="BV34" s="949">
        <f t="shared" ca="1" si="96"/>
        <v>0</v>
      </c>
      <c r="BW34" s="949">
        <f t="shared" ca="1" si="96"/>
        <v>0</v>
      </c>
      <c r="BX34" s="949">
        <f t="shared" ca="1" si="96"/>
        <v>0</v>
      </c>
      <c r="BY34" s="949">
        <f t="shared" ca="1" si="96"/>
        <v>0</v>
      </c>
      <c r="BZ34" s="949">
        <f t="shared" ca="1" si="96"/>
        <v>0</v>
      </c>
      <c r="CA34" s="949">
        <f t="shared" ca="1" si="96"/>
        <v>0</v>
      </c>
      <c r="CB34" s="949">
        <f t="shared" ca="1" si="96"/>
        <v>0</v>
      </c>
      <c r="CC34" s="949">
        <f t="shared" ca="1" si="96"/>
        <v>0</v>
      </c>
      <c r="CD34" s="949">
        <f t="shared" ca="1" si="96"/>
        <v>0</v>
      </c>
      <c r="CE34" s="949">
        <f t="shared" ca="1" si="96"/>
        <v>0</v>
      </c>
      <c r="CF34" s="949">
        <f t="shared" ca="1" si="96"/>
        <v>0</v>
      </c>
      <c r="CG34" s="949">
        <f t="shared" ca="1" si="96"/>
        <v>0</v>
      </c>
      <c r="CH34" s="949">
        <f t="shared" ca="1" si="96"/>
        <v>0</v>
      </c>
      <c r="CI34" s="949">
        <f t="shared" ca="1" si="96"/>
        <v>0</v>
      </c>
      <c r="CJ34" s="949">
        <f t="shared" ca="1" si="96"/>
        <v>0</v>
      </c>
      <c r="CK34" s="949">
        <f t="shared" ca="1" si="96"/>
        <v>0</v>
      </c>
      <c r="CL34" s="949">
        <f t="shared" ca="1" si="96"/>
        <v>0</v>
      </c>
      <c r="CM34" s="949">
        <f t="shared" ca="1" si="96"/>
        <v>0</v>
      </c>
      <c r="CN34" s="949">
        <f t="shared" ca="1" si="96"/>
        <v>0</v>
      </c>
      <c r="CO34" s="949">
        <f t="shared" ca="1" si="96"/>
        <v>0</v>
      </c>
      <c r="CP34" s="949">
        <f t="shared" ca="1" si="96"/>
        <v>0</v>
      </c>
      <c r="CQ34" s="949">
        <f t="shared" ca="1" si="96"/>
        <v>0</v>
      </c>
      <c r="CR34" s="949">
        <f t="shared" ca="1" si="96"/>
        <v>0</v>
      </c>
      <c r="CS34" s="949">
        <f t="shared" ca="1" si="96"/>
        <v>0</v>
      </c>
      <c r="CT34" s="949">
        <f t="shared" ca="1" si="96"/>
        <v>0</v>
      </c>
      <c r="CU34" s="949">
        <f t="shared" ca="1" si="96"/>
        <v>0</v>
      </c>
      <c r="CV34" s="949">
        <f t="shared" ca="1" si="96"/>
        <v>0</v>
      </c>
      <c r="CW34" s="949">
        <f t="shared" ca="1" si="96"/>
        <v>0</v>
      </c>
      <c r="CX34" s="949">
        <f t="shared" ca="1" si="96"/>
        <v>0</v>
      </c>
      <c r="CY34" s="949">
        <f t="shared" ca="1" si="96"/>
        <v>0</v>
      </c>
      <c r="CZ34" s="949">
        <f t="shared" ca="1" si="96"/>
        <v>0</v>
      </c>
      <c r="DA34" s="949">
        <f t="shared" ca="1" si="96"/>
        <v>0</v>
      </c>
      <c r="DB34" s="949">
        <f t="shared" ca="1" si="96"/>
        <v>0</v>
      </c>
      <c r="DC34" s="949">
        <f t="shared" ca="1" si="96"/>
        <v>0</v>
      </c>
      <c r="DD34" s="949">
        <f t="shared" ca="1" si="96"/>
        <v>0</v>
      </c>
      <c r="DE34" s="949">
        <f t="shared" ca="1" si="96"/>
        <v>0</v>
      </c>
      <c r="DF34" s="949">
        <f t="shared" ca="1" si="96"/>
        <v>0</v>
      </c>
      <c r="DH34" s="553">
        <f t="shared" ca="1" si="35"/>
        <v>0</v>
      </c>
    </row>
    <row r="35" spans="1:112" s="522" customFormat="1" ht="15">
      <c r="A35" s="16"/>
      <c r="B35" s="527"/>
      <c r="C35" s="523" t="s">
        <v>571</v>
      </c>
      <c r="D35" s="499" t="str">
        <f>INDEX(Workstreams[Workstream], MATCH($C35, Workstreams[Code], 0))</f>
        <v>Food consumption [UNUSED]</v>
      </c>
      <c r="E35" s="495"/>
      <c r="G35" s="667">
        <f ca="1">G34</f>
        <v>0</v>
      </c>
      <c r="H35" s="667">
        <f t="shared" ref="H35:P35" ca="1" si="97">H34</f>
        <v>0</v>
      </c>
      <c r="I35" s="667">
        <f t="shared" ca="1" si="97"/>
        <v>0</v>
      </c>
      <c r="J35" s="667">
        <f t="shared" ca="1" si="97"/>
        <v>0</v>
      </c>
      <c r="K35" s="667">
        <f t="shared" ca="1" si="97"/>
        <v>0</v>
      </c>
      <c r="L35" s="667">
        <f t="shared" ca="1" si="97"/>
        <v>0</v>
      </c>
      <c r="M35" s="667">
        <f t="shared" ca="1" si="97"/>
        <v>0</v>
      </c>
      <c r="N35" s="667">
        <f ca="1">N34</f>
        <v>0</v>
      </c>
      <c r="O35" s="667">
        <f ca="1">O34</f>
        <v>0</v>
      </c>
      <c r="P35" s="667">
        <f t="shared" ca="1" si="97"/>
        <v>0</v>
      </c>
      <c r="Q35" s="667">
        <f ca="1">SUM(G35:P35)</f>
        <v>0</v>
      </c>
      <c r="S35" s="617">
        <f ca="1">S34</f>
        <v>0</v>
      </c>
      <c r="T35" s="617">
        <f t="shared" ref="T35:AJ35" ca="1" si="98">T34</f>
        <v>0</v>
      </c>
      <c r="U35" s="617">
        <f t="shared" ca="1" si="98"/>
        <v>0</v>
      </c>
      <c r="V35" s="617">
        <f t="shared" ca="1" si="98"/>
        <v>0</v>
      </c>
      <c r="W35" s="617">
        <f t="shared" ca="1" si="98"/>
        <v>0</v>
      </c>
      <c r="X35" s="617">
        <f ca="1">X34</f>
        <v>0</v>
      </c>
      <c r="Y35" s="617">
        <f ca="1">Y34</f>
        <v>0</v>
      </c>
      <c r="Z35" s="617">
        <f ca="1">Z34</f>
        <v>0</v>
      </c>
      <c r="AA35" s="617">
        <f t="shared" ca="1" si="98"/>
        <v>0</v>
      </c>
      <c r="AB35" s="617">
        <f t="shared" ca="1" si="98"/>
        <v>0</v>
      </c>
      <c r="AC35" s="617">
        <f t="shared" ca="1" si="98"/>
        <v>0</v>
      </c>
      <c r="AD35" s="617">
        <f ca="1">AD34</f>
        <v>0</v>
      </c>
      <c r="AE35" s="617">
        <f ca="1">AE34</f>
        <v>0</v>
      </c>
      <c r="AF35" s="617">
        <f t="shared" ca="1" si="98"/>
        <v>0</v>
      </c>
      <c r="AG35" s="617">
        <f ca="1">AG34</f>
        <v>0</v>
      </c>
      <c r="AH35" s="617">
        <f ca="1">AH34</f>
        <v>0</v>
      </c>
      <c r="AI35" s="617">
        <f ca="1">AI34</f>
        <v>0</v>
      </c>
      <c r="AJ35" s="617">
        <f t="shared" ca="1" si="98"/>
        <v>0</v>
      </c>
      <c r="AK35" s="617">
        <f ca="1">SUM(S35:AJ35)</f>
        <v>0</v>
      </c>
      <c r="AM35" s="623">
        <f t="shared" ref="AM35:AU35" ca="1" si="99">AM34</f>
        <v>0</v>
      </c>
      <c r="AN35" s="623">
        <f t="shared" ca="1" si="99"/>
        <v>0</v>
      </c>
      <c r="AO35" s="623">
        <f t="shared" ca="1" si="99"/>
        <v>0</v>
      </c>
      <c r="AP35" s="623">
        <f t="shared" ca="1" si="99"/>
        <v>0</v>
      </c>
      <c r="AQ35" s="623">
        <f t="shared" ca="1" si="99"/>
        <v>0</v>
      </c>
      <c r="AR35" s="623">
        <f t="shared" ca="1" si="99"/>
        <v>0</v>
      </c>
      <c r="AS35" s="623">
        <f t="shared" ca="1" si="99"/>
        <v>0</v>
      </c>
      <c r="AT35" s="623">
        <f t="shared" ca="1" si="99"/>
        <v>0</v>
      </c>
      <c r="AU35" s="623">
        <f t="shared" ca="1" si="99"/>
        <v>0</v>
      </c>
      <c r="AV35" s="623">
        <f t="shared" ref="AV35:BE35" ca="1" si="100">AV34</f>
        <v>0</v>
      </c>
      <c r="AW35" s="623">
        <f t="shared" ca="1" si="100"/>
        <v>0</v>
      </c>
      <c r="AX35" s="623">
        <f t="shared" ca="1" si="100"/>
        <v>0</v>
      </c>
      <c r="AY35" s="623">
        <f t="shared" ca="1" si="100"/>
        <v>0</v>
      </c>
      <c r="AZ35" s="623">
        <f t="shared" ca="1" si="100"/>
        <v>0</v>
      </c>
      <c r="BA35" s="623">
        <f t="shared" ca="1" si="100"/>
        <v>0</v>
      </c>
      <c r="BB35" s="623">
        <f t="shared" ca="1" si="100"/>
        <v>0</v>
      </c>
      <c r="BC35" s="623">
        <f t="shared" ca="1" si="100"/>
        <v>0</v>
      </c>
      <c r="BD35" s="623">
        <f ca="1">BD34</f>
        <v>0</v>
      </c>
      <c r="BE35" s="623">
        <f t="shared" ca="1" si="100"/>
        <v>0</v>
      </c>
      <c r="BF35" s="623">
        <f ca="1">SUM(AM35:BE35)</f>
        <v>0</v>
      </c>
      <c r="BH35" s="637">
        <f ca="1">BH34</f>
        <v>0</v>
      </c>
      <c r="BI35" s="637">
        <f ca="1">BI34</f>
        <v>0</v>
      </c>
      <c r="BJ35" s="637">
        <f ca="1">SUM(BH35:BI35)</f>
        <v>0</v>
      </c>
      <c r="BL35" s="497">
        <f t="shared" ca="1" si="9"/>
        <v>0</v>
      </c>
      <c r="BM35" s="497"/>
      <c r="BN35" s="555"/>
      <c r="BO35" s="945">
        <f t="shared" ref="BO35:DF35" ca="1" si="101">BO34</f>
        <v>0</v>
      </c>
      <c r="BP35" s="945">
        <f t="shared" ca="1" si="101"/>
        <v>0</v>
      </c>
      <c r="BQ35" s="945">
        <f t="shared" ca="1" si="101"/>
        <v>0</v>
      </c>
      <c r="BR35" s="945">
        <f t="shared" ca="1" si="101"/>
        <v>0</v>
      </c>
      <c r="BS35" s="945">
        <f t="shared" ca="1" si="101"/>
        <v>0</v>
      </c>
      <c r="BT35" s="945">
        <f t="shared" ca="1" si="101"/>
        <v>0</v>
      </c>
      <c r="BU35" s="945">
        <f t="shared" ca="1" si="101"/>
        <v>0</v>
      </c>
      <c r="BV35" s="945">
        <f t="shared" ca="1" si="101"/>
        <v>0</v>
      </c>
      <c r="BW35" s="945">
        <f t="shared" ca="1" si="101"/>
        <v>0</v>
      </c>
      <c r="BX35" s="945">
        <f t="shared" ca="1" si="101"/>
        <v>0</v>
      </c>
      <c r="BY35" s="945">
        <f t="shared" ca="1" si="101"/>
        <v>0</v>
      </c>
      <c r="BZ35" s="945">
        <f t="shared" ca="1" si="101"/>
        <v>0</v>
      </c>
      <c r="CA35" s="945">
        <f t="shared" ca="1" si="101"/>
        <v>0</v>
      </c>
      <c r="CB35" s="945">
        <f t="shared" ca="1" si="101"/>
        <v>0</v>
      </c>
      <c r="CC35" s="945">
        <f t="shared" ca="1" si="101"/>
        <v>0</v>
      </c>
      <c r="CD35" s="945">
        <f t="shared" ca="1" si="101"/>
        <v>0</v>
      </c>
      <c r="CE35" s="945">
        <f t="shared" ca="1" si="101"/>
        <v>0</v>
      </c>
      <c r="CF35" s="945">
        <f t="shared" ca="1" si="101"/>
        <v>0</v>
      </c>
      <c r="CG35" s="945">
        <f t="shared" ca="1" si="101"/>
        <v>0</v>
      </c>
      <c r="CH35" s="945">
        <f t="shared" ca="1" si="101"/>
        <v>0</v>
      </c>
      <c r="CI35" s="945">
        <f t="shared" ca="1" si="101"/>
        <v>0</v>
      </c>
      <c r="CJ35" s="945">
        <f t="shared" ca="1" si="101"/>
        <v>0</v>
      </c>
      <c r="CK35" s="945">
        <f t="shared" ca="1" si="101"/>
        <v>0</v>
      </c>
      <c r="CL35" s="945">
        <f t="shared" ca="1" si="101"/>
        <v>0</v>
      </c>
      <c r="CM35" s="945">
        <f t="shared" ca="1" si="101"/>
        <v>0</v>
      </c>
      <c r="CN35" s="945">
        <f t="shared" ca="1" si="101"/>
        <v>0</v>
      </c>
      <c r="CO35" s="945">
        <f t="shared" ca="1" si="101"/>
        <v>0</v>
      </c>
      <c r="CP35" s="945">
        <f t="shared" ca="1" si="101"/>
        <v>0</v>
      </c>
      <c r="CQ35" s="945">
        <f t="shared" ca="1" si="101"/>
        <v>0</v>
      </c>
      <c r="CR35" s="945">
        <f t="shared" ca="1" si="101"/>
        <v>0</v>
      </c>
      <c r="CS35" s="945">
        <f t="shared" ca="1" si="101"/>
        <v>0</v>
      </c>
      <c r="CT35" s="945">
        <f t="shared" ca="1" si="101"/>
        <v>0</v>
      </c>
      <c r="CU35" s="945">
        <f t="shared" ca="1" si="101"/>
        <v>0</v>
      </c>
      <c r="CV35" s="945">
        <f t="shared" ca="1" si="101"/>
        <v>0</v>
      </c>
      <c r="CW35" s="945">
        <f t="shared" ca="1" si="101"/>
        <v>0</v>
      </c>
      <c r="CX35" s="945">
        <f t="shared" ca="1" si="101"/>
        <v>0</v>
      </c>
      <c r="CY35" s="945">
        <f t="shared" ca="1" si="101"/>
        <v>0</v>
      </c>
      <c r="CZ35" s="945">
        <f t="shared" ca="1" si="101"/>
        <v>0</v>
      </c>
      <c r="DA35" s="945">
        <f t="shared" ca="1" si="101"/>
        <v>0</v>
      </c>
      <c r="DB35" s="945">
        <f t="shared" ca="1" si="101"/>
        <v>0</v>
      </c>
      <c r="DC35" s="945">
        <f t="shared" ca="1" si="101"/>
        <v>0</v>
      </c>
      <c r="DD35" s="945">
        <f t="shared" ca="1" si="101"/>
        <v>0</v>
      </c>
      <c r="DE35" s="945">
        <f t="shared" ca="1" si="101"/>
        <v>0</v>
      </c>
      <c r="DF35" s="945">
        <f t="shared" ca="1" si="101"/>
        <v>0</v>
      </c>
      <c r="DH35" s="553">
        <f t="shared" ca="1" si="35"/>
        <v>0</v>
      </c>
    </row>
    <row r="36" spans="1:112" s="522" customFormat="1" ht="12.75" customHeight="1" outlineLevel="1">
      <c r="A36" s="16"/>
      <c r="B36" s="16"/>
      <c r="C36" s="525"/>
      <c r="D36" s="495"/>
      <c r="E36" s="495"/>
      <c r="G36" s="667"/>
      <c r="H36" s="667"/>
      <c r="I36" s="667"/>
      <c r="J36" s="667"/>
      <c r="K36" s="667"/>
      <c r="L36" s="667"/>
      <c r="M36" s="667"/>
      <c r="N36" s="667"/>
      <c r="O36" s="667"/>
      <c r="P36" s="667"/>
      <c r="Q36" s="667"/>
      <c r="S36" s="617"/>
      <c r="T36" s="617"/>
      <c r="U36" s="617"/>
      <c r="V36" s="617"/>
      <c r="W36" s="617"/>
      <c r="X36" s="617"/>
      <c r="Y36" s="617"/>
      <c r="Z36" s="617"/>
      <c r="AA36" s="617"/>
      <c r="AB36" s="617"/>
      <c r="AC36" s="617"/>
      <c r="AD36" s="617"/>
      <c r="AE36" s="617"/>
      <c r="AF36" s="617"/>
      <c r="AG36" s="617"/>
      <c r="AH36" s="617"/>
      <c r="AI36" s="617"/>
      <c r="AJ36" s="617"/>
      <c r="AK36" s="617"/>
      <c r="AM36" s="623"/>
      <c r="AN36" s="623"/>
      <c r="AO36" s="623"/>
      <c r="AP36" s="623"/>
      <c r="AQ36" s="623"/>
      <c r="AR36" s="623"/>
      <c r="AS36" s="623"/>
      <c r="AT36" s="623"/>
      <c r="AU36" s="623"/>
      <c r="AV36" s="623"/>
      <c r="AW36" s="623"/>
      <c r="AX36" s="623"/>
      <c r="AY36" s="623"/>
      <c r="AZ36" s="623"/>
      <c r="BA36" s="623"/>
      <c r="BB36" s="623"/>
      <c r="BC36" s="623"/>
      <c r="BD36" s="623"/>
      <c r="BE36" s="623"/>
      <c r="BF36" s="623"/>
      <c r="BH36" s="637"/>
      <c r="BI36" s="637"/>
      <c r="BJ36" s="637"/>
      <c r="BL36" s="497">
        <f t="shared" si="9"/>
        <v>0</v>
      </c>
      <c r="BM36" s="497"/>
      <c r="BN36" s="16"/>
      <c r="BO36" s="944"/>
      <c r="BP36" s="945"/>
      <c r="BQ36" s="945"/>
      <c r="BR36" s="945"/>
      <c r="BS36" s="945"/>
      <c r="BT36" s="945"/>
      <c r="BU36" s="945"/>
      <c r="BV36" s="945"/>
      <c r="BW36" s="945"/>
      <c r="BX36" s="945"/>
      <c r="BY36" s="945"/>
      <c r="BZ36" s="945"/>
      <c r="CA36" s="945"/>
      <c r="CB36" s="945"/>
      <c r="CC36" s="945"/>
      <c r="CD36" s="945"/>
      <c r="CE36" s="945"/>
      <c r="CF36" s="945"/>
      <c r="CG36" s="945"/>
      <c r="CH36" s="945"/>
      <c r="CI36" s="945"/>
      <c r="CJ36" s="945"/>
      <c r="CK36" s="945"/>
      <c r="CL36" s="945"/>
      <c r="CM36" s="945"/>
      <c r="CN36" s="945"/>
      <c r="CO36" s="945"/>
      <c r="CP36" s="945"/>
      <c r="CQ36" s="945"/>
      <c r="CR36" s="945"/>
      <c r="CS36" s="945"/>
      <c r="CT36" s="945"/>
      <c r="CU36" s="945"/>
      <c r="CV36" s="945"/>
      <c r="CW36" s="945"/>
      <c r="CX36" s="945"/>
      <c r="CY36" s="945"/>
      <c r="CZ36" s="945"/>
      <c r="DA36" s="945"/>
      <c r="DB36" s="945"/>
      <c r="DC36" s="945"/>
      <c r="DD36" s="945"/>
      <c r="DE36" s="945"/>
      <c r="DF36" s="945"/>
      <c r="DH36" s="553">
        <f t="shared" si="35"/>
        <v>0</v>
      </c>
    </row>
    <row r="37" spans="1:112" s="522" customFormat="1" ht="12.75" customHeight="1" outlineLevel="1">
      <c r="A37" s="947"/>
      <c r="B37" s="947"/>
      <c r="C37" s="524" t="s">
        <v>743</v>
      </c>
      <c r="D37" s="656" t="str">
        <f>INDEX(Modules[Module], MATCH($C37, Modules[Code], 0))</f>
        <v>Geosequestration</v>
      </c>
      <c r="E37" s="656"/>
      <c r="G37" s="668">
        <f t="shared" ref="G37:P37" ca="1" si="102">IFERROR(INDEX(INDIRECT($C37&amp;".Outputs["&amp;this.Year&amp;"]"), MATCH(G$5, INDIRECT($C37&amp;".Outputs[Vector]"), 0)), 0)</f>
        <v>0</v>
      </c>
      <c r="H37" s="668">
        <f t="shared" ca="1" si="102"/>
        <v>0</v>
      </c>
      <c r="I37" s="668">
        <f t="shared" ca="1" si="102"/>
        <v>0</v>
      </c>
      <c r="J37" s="668">
        <f t="shared" ca="1" si="102"/>
        <v>0</v>
      </c>
      <c r="K37" s="668">
        <f t="shared" ca="1" si="102"/>
        <v>0</v>
      </c>
      <c r="L37" s="668">
        <f t="shared" ca="1" si="102"/>
        <v>0</v>
      </c>
      <c r="M37" s="668">
        <f t="shared" ca="1" si="102"/>
        <v>0</v>
      </c>
      <c r="N37" s="668">
        <f t="shared" ca="1" si="102"/>
        <v>0</v>
      </c>
      <c r="O37" s="668">
        <f t="shared" ca="1" si="102"/>
        <v>0</v>
      </c>
      <c r="P37" s="668">
        <f t="shared" ca="1" si="102"/>
        <v>0</v>
      </c>
      <c r="Q37" s="666">
        <f ca="1">SUM(G37:P37)</f>
        <v>0</v>
      </c>
      <c r="S37" s="677">
        <f t="shared" ref="S37:BE37" ca="1" si="103">IFERROR(INDEX(INDIRECT($C37&amp;".Outputs["&amp;this.Year&amp;"]"), MATCH(S$5, INDIRECT($C37&amp;".Outputs[Vector]"), 0)), 0)</f>
        <v>0</v>
      </c>
      <c r="T37" s="677">
        <f t="shared" ca="1" si="103"/>
        <v>0</v>
      </c>
      <c r="U37" s="677">
        <f t="shared" ca="1" si="103"/>
        <v>0</v>
      </c>
      <c r="V37" s="677">
        <f t="shared" ca="1" si="103"/>
        <v>0</v>
      </c>
      <c r="W37" s="677">
        <f t="shared" ca="1" si="103"/>
        <v>0</v>
      </c>
      <c r="X37" s="677">
        <f ca="1">IFERROR(INDEX(INDIRECT($C37&amp;".Outputs["&amp;this.Year&amp;"]"), MATCH(X$5, INDIRECT($C37&amp;".Outputs[Vector]"), 0)), 0)</f>
        <v>0</v>
      </c>
      <c r="Y37" s="677">
        <f ca="1">IFERROR(INDEX(INDIRECT($C37&amp;".Outputs["&amp;this.Year&amp;"]"), MATCH(Y$5, INDIRECT($C37&amp;".Outputs[Vector]"), 0)), 0)</f>
        <v>0</v>
      </c>
      <c r="Z37" s="677">
        <f ca="1">IFERROR(INDEX(INDIRECT($C37&amp;".Outputs["&amp;this.Year&amp;"]"), MATCH(Z$5, INDIRECT($C37&amp;".Outputs[Vector]"), 0)), 0)</f>
        <v>0</v>
      </c>
      <c r="AA37" s="677">
        <f t="shared" ca="1" si="103"/>
        <v>0</v>
      </c>
      <c r="AB37" s="677">
        <f t="shared" ca="1" si="103"/>
        <v>0</v>
      </c>
      <c r="AC37" s="677">
        <f t="shared" ca="1" si="103"/>
        <v>0</v>
      </c>
      <c r="AD37" s="677">
        <f t="shared" ca="1" si="103"/>
        <v>0</v>
      </c>
      <c r="AE37" s="677">
        <f t="shared" ca="1" si="103"/>
        <v>0</v>
      </c>
      <c r="AF37" s="677">
        <f t="shared" ca="1" si="103"/>
        <v>0</v>
      </c>
      <c r="AG37" s="677">
        <f t="shared" ca="1" si="103"/>
        <v>0</v>
      </c>
      <c r="AH37" s="677">
        <f t="shared" ca="1" si="103"/>
        <v>0</v>
      </c>
      <c r="AI37" s="677">
        <f t="shared" ca="1" si="103"/>
        <v>0</v>
      </c>
      <c r="AJ37" s="677">
        <f t="shared" ca="1" si="103"/>
        <v>0</v>
      </c>
      <c r="AK37" s="676">
        <f ca="1">SUM(S37:AJ37)</f>
        <v>0</v>
      </c>
      <c r="AM37" s="688">
        <f t="shared" ref="AM37:AU37" ca="1" si="104">IFERROR(INDEX(INDIRECT($C37&amp;".Outputs["&amp;this.Year&amp;"]"), MATCH(AM$5, INDIRECT($C37&amp;".Outputs[Vector]"), 0)), 0)</f>
        <v>0</v>
      </c>
      <c r="AN37" s="688">
        <f t="shared" ca="1" si="104"/>
        <v>0</v>
      </c>
      <c r="AO37" s="688">
        <f t="shared" ca="1" si="104"/>
        <v>0</v>
      </c>
      <c r="AP37" s="688">
        <f t="shared" ca="1" si="104"/>
        <v>0</v>
      </c>
      <c r="AQ37" s="688">
        <f t="shared" ca="1" si="104"/>
        <v>0</v>
      </c>
      <c r="AR37" s="688">
        <f t="shared" ca="1" si="104"/>
        <v>0</v>
      </c>
      <c r="AS37" s="688">
        <f t="shared" ca="1" si="104"/>
        <v>0</v>
      </c>
      <c r="AT37" s="688">
        <f t="shared" ca="1" si="104"/>
        <v>0</v>
      </c>
      <c r="AU37" s="688">
        <f t="shared" ca="1" si="104"/>
        <v>0</v>
      </c>
      <c r="AV37" s="688">
        <f t="shared" ca="1" si="103"/>
        <v>0</v>
      </c>
      <c r="AW37" s="688">
        <f t="shared" ca="1" si="103"/>
        <v>0</v>
      </c>
      <c r="AX37" s="688">
        <f t="shared" ca="1" si="103"/>
        <v>0</v>
      </c>
      <c r="AY37" s="688">
        <f t="shared" ca="1" si="103"/>
        <v>0</v>
      </c>
      <c r="AZ37" s="688">
        <f t="shared" ca="1" si="103"/>
        <v>0</v>
      </c>
      <c r="BA37" s="688">
        <f t="shared" ca="1" si="103"/>
        <v>0</v>
      </c>
      <c r="BB37" s="688">
        <f t="shared" ca="1" si="103"/>
        <v>0</v>
      </c>
      <c r="BC37" s="688">
        <f t="shared" ca="1" si="103"/>
        <v>0</v>
      </c>
      <c r="BD37" s="688">
        <f t="shared" ca="1" si="103"/>
        <v>0</v>
      </c>
      <c r="BE37" s="688">
        <f t="shared" ca="1" si="103"/>
        <v>0</v>
      </c>
      <c r="BF37" s="658">
        <f ca="1">SUM(AM37:BE37)</f>
        <v>0</v>
      </c>
      <c r="BH37" s="682">
        <f ca="1">IFERROR(INDEX(INDIRECT($C37&amp;".Outputs["&amp;this.Year&amp;"]"), MATCH(BH$5, INDIRECT($C37&amp;".Outputs[Vector]"), 0)), 0)</f>
        <v>0</v>
      </c>
      <c r="BI37" s="682">
        <f ca="1">IFERROR(INDEX(INDIRECT($C37&amp;".Outputs["&amp;this.Year&amp;"]"), MATCH(BI$5, INDIRECT($C37&amp;".Outputs[Vector]"), 0)), 0)</f>
        <v>0</v>
      </c>
      <c r="BJ37" s="681">
        <f ca="1">SUM(BH37:BI37)</f>
        <v>0</v>
      </c>
      <c r="BL37" s="547">
        <f t="shared" ca="1" si="9"/>
        <v>0</v>
      </c>
      <c r="BM37" s="547"/>
      <c r="BN37" s="555"/>
      <c r="BO37" s="948">
        <f t="shared" ref="BO37:DF37" ca="1" si="105">IFERROR(SUMIFS(INDIRECT($C37&amp;".Emissions["&amp;this.Year&amp;"]"), INDIRECT($C37&amp;".Emissions[GHG]"), BO$6, INDIRECT($C37&amp;".Emissions[IPCC Sector]"), BO$5),0)</f>
        <v>0</v>
      </c>
      <c r="BP37" s="949">
        <f t="shared" ca="1" si="105"/>
        <v>0</v>
      </c>
      <c r="BQ37" s="949">
        <f t="shared" ca="1" si="105"/>
        <v>0</v>
      </c>
      <c r="BR37" s="949">
        <f t="shared" ca="1" si="105"/>
        <v>0</v>
      </c>
      <c r="BS37" s="949">
        <f t="shared" ca="1" si="105"/>
        <v>0</v>
      </c>
      <c r="BT37" s="949">
        <f t="shared" ca="1" si="105"/>
        <v>0</v>
      </c>
      <c r="BU37" s="949">
        <f t="shared" ca="1" si="105"/>
        <v>0</v>
      </c>
      <c r="BV37" s="949">
        <f t="shared" ca="1" si="105"/>
        <v>0</v>
      </c>
      <c r="BW37" s="949">
        <f t="shared" ca="1" si="105"/>
        <v>0</v>
      </c>
      <c r="BX37" s="949">
        <f t="shared" ca="1" si="105"/>
        <v>0</v>
      </c>
      <c r="BY37" s="949">
        <f t="shared" ca="1" si="105"/>
        <v>0</v>
      </c>
      <c r="BZ37" s="949">
        <f t="shared" ca="1" si="105"/>
        <v>0</v>
      </c>
      <c r="CA37" s="949">
        <f t="shared" ca="1" si="105"/>
        <v>0</v>
      </c>
      <c r="CB37" s="949">
        <f t="shared" ca="1" si="105"/>
        <v>0</v>
      </c>
      <c r="CC37" s="949">
        <f t="shared" ca="1" si="105"/>
        <v>0</v>
      </c>
      <c r="CD37" s="949">
        <f t="shared" ca="1" si="105"/>
        <v>0</v>
      </c>
      <c r="CE37" s="949">
        <f t="shared" ca="1" si="105"/>
        <v>0</v>
      </c>
      <c r="CF37" s="949">
        <f t="shared" ca="1" si="105"/>
        <v>0</v>
      </c>
      <c r="CG37" s="949">
        <f t="shared" ca="1" si="105"/>
        <v>0</v>
      </c>
      <c r="CH37" s="949">
        <f t="shared" ca="1" si="105"/>
        <v>0</v>
      </c>
      <c r="CI37" s="949">
        <f t="shared" ca="1" si="105"/>
        <v>0</v>
      </c>
      <c r="CJ37" s="949">
        <f t="shared" ca="1" si="105"/>
        <v>0</v>
      </c>
      <c r="CK37" s="949">
        <f t="shared" ca="1" si="105"/>
        <v>0</v>
      </c>
      <c r="CL37" s="949">
        <f t="shared" ca="1" si="105"/>
        <v>0</v>
      </c>
      <c r="CM37" s="949">
        <f t="shared" ca="1" si="105"/>
        <v>0</v>
      </c>
      <c r="CN37" s="949">
        <f t="shared" ca="1" si="105"/>
        <v>0</v>
      </c>
      <c r="CO37" s="949">
        <f t="shared" ca="1" si="105"/>
        <v>0</v>
      </c>
      <c r="CP37" s="949">
        <f t="shared" ca="1" si="105"/>
        <v>0</v>
      </c>
      <c r="CQ37" s="949">
        <f t="shared" ca="1" si="105"/>
        <v>0</v>
      </c>
      <c r="CR37" s="949">
        <f t="shared" ca="1" si="105"/>
        <v>0</v>
      </c>
      <c r="CS37" s="949">
        <f t="shared" ca="1" si="105"/>
        <v>0</v>
      </c>
      <c r="CT37" s="949">
        <f t="shared" ca="1" si="105"/>
        <v>0</v>
      </c>
      <c r="CU37" s="949">
        <f t="shared" ca="1" si="105"/>
        <v>0</v>
      </c>
      <c r="CV37" s="949">
        <f t="shared" ca="1" si="105"/>
        <v>0</v>
      </c>
      <c r="CW37" s="949">
        <f t="shared" ca="1" si="105"/>
        <v>0</v>
      </c>
      <c r="CX37" s="949">
        <f t="shared" ca="1" si="105"/>
        <v>0</v>
      </c>
      <c r="CY37" s="949">
        <f t="shared" ca="1" si="105"/>
        <v>0</v>
      </c>
      <c r="CZ37" s="949">
        <f t="shared" ca="1" si="105"/>
        <v>0</v>
      </c>
      <c r="DA37" s="949">
        <f t="shared" ca="1" si="105"/>
        <v>0</v>
      </c>
      <c r="DB37" s="949">
        <f t="shared" ca="1" si="105"/>
        <v>0</v>
      </c>
      <c r="DC37" s="949">
        <f t="shared" ca="1" si="105"/>
        <v>0</v>
      </c>
      <c r="DD37" s="949">
        <f t="shared" ca="1" si="105"/>
        <v>0</v>
      </c>
      <c r="DE37" s="949">
        <f t="shared" ca="1" si="105"/>
        <v>0</v>
      </c>
      <c r="DF37" s="949">
        <f t="shared" ca="1" si="105"/>
        <v>0</v>
      </c>
      <c r="DH37" s="553">
        <f t="shared" ca="1" si="35"/>
        <v>0</v>
      </c>
    </row>
    <row r="38" spans="1:112" s="522" customFormat="1" ht="15">
      <c r="A38" s="16"/>
      <c r="B38" s="527"/>
      <c r="C38" s="523" t="s">
        <v>566</v>
      </c>
      <c r="D38" s="499" t="str">
        <f>INDEX(Workstreams[Workstream], MATCH($C38, Workstreams[Code], 0))</f>
        <v>Geosequestration</v>
      </c>
      <c r="E38" s="495"/>
      <c r="G38" s="667">
        <f t="shared" ref="G38:P38" ca="1" si="106">G37</f>
        <v>0</v>
      </c>
      <c r="H38" s="667">
        <f t="shared" ca="1" si="106"/>
        <v>0</v>
      </c>
      <c r="I38" s="667">
        <f t="shared" ca="1" si="106"/>
        <v>0</v>
      </c>
      <c r="J38" s="667">
        <f t="shared" ca="1" si="106"/>
        <v>0</v>
      </c>
      <c r="K38" s="667">
        <f t="shared" ca="1" si="106"/>
        <v>0</v>
      </c>
      <c r="L38" s="667">
        <f t="shared" ca="1" si="106"/>
        <v>0</v>
      </c>
      <c r="M38" s="667">
        <f t="shared" ca="1" si="106"/>
        <v>0</v>
      </c>
      <c r="N38" s="667">
        <f t="shared" ca="1" si="106"/>
        <v>0</v>
      </c>
      <c r="O38" s="667">
        <f t="shared" ca="1" si="106"/>
        <v>0</v>
      </c>
      <c r="P38" s="667">
        <f t="shared" ca="1" si="106"/>
        <v>0</v>
      </c>
      <c r="Q38" s="667">
        <f ca="1">SUM(G38:P38)</f>
        <v>0</v>
      </c>
      <c r="S38" s="617">
        <f t="shared" ref="S38:AJ38" ca="1" si="107">S37</f>
        <v>0</v>
      </c>
      <c r="T38" s="617">
        <f t="shared" ca="1" si="107"/>
        <v>0</v>
      </c>
      <c r="U38" s="617">
        <f t="shared" ca="1" si="107"/>
        <v>0</v>
      </c>
      <c r="V38" s="617">
        <f t="shared" ca="1" si="107"/>
        <v>0</v>
      </c>
      <c r="W38" s="617">
        <f t="shared" ca="1" si="107"/>
        <v>0</v>
      </c>
      <c r="X38" s="617">
        <f ca="1">X37</f>
        <v>0</v>
      </c>
      <c r="Y38" s="617">
        <f ca="1">Y37</f>
        <v>0</v>
      </c>
      <c r="Z38" s="617">
        <f ca="1">Z37</f>
        <v>0</v>
      </c>
      <c r="AA38" s="617">
        <f t="shared" ca="1" si="107"/>
        <v>0</v>
      </c>
      <c r="AB38" s="617">
        <f t="shared" ca="1" si="107"/>
        <v>0</v>
      </c>
      <c r="AC38" s="617">
        <f t="shared" ca="1" si="107"/>
        <v>0</v>
      </c>
      <c r="AD38" s="617">
        <f ca="1">AD37</f>
        <v>0</v>
      </c>
      <c r="AE38" s="617">
        <f ca="1">AE37</f>
        <v>0</v>
      </c>
      <c r="AF38" s="617">
        <f t="shared" ca="1" si="107"/>
        <v>0</v>
      </c>
      <c r="AG38" s="617">
        <f ca="1">AG37</f>
        <v>0</v>
      </c>
      <c r="AH38" s="617">
        <f ca="1">AH37</f>
        <v>0</v>
      </c>
      <c r="AI38" s="617">
        <f ca="1">AI37</f>
        <v>0</v>
      </c>
      <c r="AJ38" s="617">
        <f t="shared" ca="1" si="107"/>
        <v>0</v>
      </c>
      <c r="AK38" s="617">
        <f ca="1">SUM(S38:AJ38)</f>
        <v>0</v>
      </c>
      <c r="AM38" s="623">
        <f t="shared" ref="AM38:AU38" ca="1" si="108">AM37</f>
        <v>0</v>
      </c>
      <c r="AN38" s="623">
        <f t="shared" ca="1" si="108"/>
        <v>0</v>
      </c>
      <c r="AO38" s="623">
        <f t="shared" ca="1" si="108"/>
        <v>0</v>
      </c>
      <c r="AP38" s="623">
        <f t="shared" ca="1" si="108"/>
        <v>0</v>
      </c>
      <c r="AQ38" s="623">
        <f t="shared" ca="1" si="108"/>
        <v>0</v>
      </c>
      <c r="AR38" s="623">
        <f t="shared" ca="1" si="108"/>
        <v>0</v>
      </c>
      <c r="AS38" s="623">
        <f t="shared" ca="1" si="108"/>
        <v>0</v>
      </c>
      <c r="AT38" s="623">
        <f t="shared" ca="1" si="108"/>
        <v>0</v>
      </c>
      <c r="AU38" s="623">
        <f t="shared" ca="1" si="108"/>
        <v>0</v>
      </c>
      <c r="AV38" s="623">
        <f t="shared" ref="AV38:BE38" ca="1" si="109">AV37</f>
        <v>0</v>
      </c>
      <c r="AW38" s="623">
        <f t="shared" ca="1" si="109"/>
        <v>0</v>
      </c>
      <c r="AX38" s="623">
        <f t="shared" ca="1" si="109"/>
        <v>0</v>
      </c>
      <c r="AY38" s="623">
        <f t="shared" ca="1" si="109"/>
        <v>0</v>
      </c>
      <c r="AZ38" s="623">
        <f t="shared" ca="1" si="109"/>
        <v>0</v>
      </c>
      <c r="BA38" s="623">
        <f t="shared" ca="1" si="109"/>
        <v>0</v>
      </c>
      <c r="BB38" s="623">
        <f t="shared" ca="1" si="109"/>
        <v>0</v>
      </c>
      <c r="BC38" s="623">
        <f t="shared" ca="1" si="109"/>
        <v>0</v>
      </c>
      <c r="BD38" s="623">
        <f ca="1">BD37</f>
        <v>0</v>
      </c>
      <c r="BE38" s="623">
        <f t="shared" ca="1" si="109"/>
        <v>0</v>
      </c>
      <c r="BF38" s="623">
        <f ca="1">SUM(AM38:BE38)</f>
        <v>0</v>
      </c>
      <c r="BH38" s="637">
        <f ca="1">BH37</f>
        <v>0</v>
      </c>
      <c r="BI38" s="637">
        <f ca="1">BI37</f>
        <v>0</v>
      </c>
      <c r="BJ38" s="637">
        <f ca="1">SUM(BH38:BI38)</f>
        <v>0</v>
      </c>
      <c r="BL38" s="497">
        <f t="shared" ca="1" si="9"/>
        <v>0</v>
      </c>
      <c r="BM38" s="497"/>
      <c r="BN38" s="555"/>
      <c r="BO38" s="945">
        <f t="shared" ref="BO38:DF38" ca="1" si="110">BO37</f>
        <v>0</v>
      </c>
      <c r="BP38" s="945">
        <f t="shared" ca="1" si="110"/>
        <v>0</v>
      </c>
      <c r="BQ38" s="945">
        <f t="shared" ca="1" si="110"/>
        <v>0</v>
      </c>
      <c r="BR38" s="945">
        <f t="shared" ca="1" si="110"/>
        <v>0</v>
      </c>
      <c r="BS38" s="945">
        <f t="shared" ca="1" si="110"/>
        <v>0</v>
      </c>
      <c r="BT38" s="945">
        <f t="shared" ca="1" si="110"/>
        <v>0</v>
      </c>
      <c r="BU38" s="945">
        <f t="shared" ca="1" si="110"/>
        <v>0</v>
      </c>
      <c r="BV38" s="945">
        <f t="shared" ca="1" si="110"/>
        <v>0</v>
      </c>
      <c r="BW38" s="945">
        <f t="shared" ca="1" si="110"/>
        <v>0</v>
      </c>
      <c r="BX38" s="945">
        <f t="shared" ca="1" si="110"/>
        <v>0</v>
      </c>
      <c r="BY38" s="945">
        <f t="shared" ca="1" si="110"/>
        <v>0</v>
      </c>
      <c r="BZ38" s="945">
        <f t="shared" ca="1" si="110"/>
        <v>0</v>
      </c>
      <c r="CA38" s="945">
        <f t="shared" ca="1" si="110"/>
        <v>0</v>
      </c>
      <c r="CB38" s="945">
        <f t="shared" ca="1" si="110"/>
        <v>0</v>
      </c>
      <c r="CC38" s="945">
        <f t="shared" ca="1" si="110"/>
        <v>0</v>
      </c>
      <c r="CD38" s="945">
        <f t="shared" ca="1" si="110"/>
        <v>0</v>
      </c>
      <c r="CE38" s="945">
        <f t="shared" ca="1" si="110"/>
        <v>0</v>
      </c>
      <c r="CF38" s="945">
        <f t="shared" ca="1" si="110"/>
        <v>0</v>
      </c>
      <c r="CG38" s="945">
        <f t="shared" ca="1" si="110"/>
        <v>0</v>
      </c>
      <c r="CH38" s="945">
        <f t="shared" ca="1" si="110"/>
        <v>0</v>
      </c>
      <c r="CI38" s="945">
        <f t="shared" ca="1" si="110"/>
        <v>0</v>
      </c>
      <c r="CJ38" s="945">
        <f t="shared" ca="1" si="110"/>
        <v>0</v>
      </c>
      <c r="CK38" s="945">
        <f t="shared" ca="1" si="110"/>
        <v>0</v>
      </c>
      <c r="CL38" s="945">
        <f t="shared" ca="1" si="110"/>
        <v>0</v>
      </c>
      <c r="CM38" s="945">
        <f t="shared" ca="1" si="110"/>
        <v>0</v>
      </c>
      <c r="CN38" s="945">
        <f t="shared" ca="1" si="110"/>
        <v>0</v>
      </c>
      <c r="CO38" s="945">
        <f t="shared" ca="1" si="110"/>
        <v>0</v>
      </c>
      <c r="CP38" s="945">
        <f t="shared" ca="1" si="110"/>
        <v>0</v>
      </c>
      <c r="CQ38" s="945">
        <f t="shared" ca="1" si="110"/>
        <v>0</v>
      </c>
      <c r="CR38" s="945">
        <f t="shared" ca="1" si="110"/>
        <v>0</v>
      </c>
      <c r="CS38" s="945">
        <f t="shared" ca="1" si="110"/>
        <v>0</v>
      </c>
      <c r="CT38" s="945">
        <f t="shared" ca="1" si="110"/>
        <v>0</v>
      </c>
      <c r="CU38" s="945">
        <f t="shared" ca="1" si="110"/>
        <v>0</v>
      </c>
      <c r="CV38" s="945">
        <f t="shared" ca="1" si="110"/>
        <v>0</v>
      </c>
      <c r="CW38" s="945">
        <f t="shared" ca="1" si="110"/>
        <v>0</v>
      </c>
      <c r="CX38" s="945">
        <f t="shared" ca="1" si="110"/>
        <v>0</v>
      </c>
      <c r="CY38" s="945">
        <f t="shared" ca="1" si="110"/>
        <v>0</v>
      </c>
      <c r="CZ38" s="945">
        <f t="shared" ca="1" si="110"/>
        <v>0</v>
      </c>
      <c r="DA38" s="945">
        <f t="shared" ca="1" si="110"/>
        <v>0</v>
      </c>
      <c r="DB38" s="945">
        <f t="shared" ca="1" si="110"/>
        <v>0</v>
      </c>
      <c r="DC38" s="945">
        <f t="shared" ca="1" si="110"/>
        <v>0</v>
      </c>
      <c r="DD38" s="945">
        <f t="shared" ca="1" si="110"/>
        <v>0</v>
      </c>
      <c r="DE38" s="945">
        <f t="shared" ca="1" si="110"/>
        <v>0</v>
      </c>
      <c r="DF38" s="945">
        <f t="shared" ca="1" si="110"/>
        <v>0</v>
      </c>
      <c r="DH38" s="553">
        <f t="shared" ca="1" si="35"/>
        <v>0</v>
      </c>
    </row>
    <row r="39" spans="1:112" s="522" customFormat="1" ht="6" customHeight="1">
      <c r="C39" s="498"/>
      <c r="D39" s="499"/>
      <c r="E39" s="493"/>
      <c r="G39" s="667"/>
      <c r="H39" s="667"/>
      <c r="I39" s="667"/>
      <c r="J39" s="667"/>
      <c r="K39" s="667"/>
      <c r="L39" s="667"/>
      <c r="M39" s="667"/>
      <c r="N39" s="667"/>
      <c r="O39" s="667"/>
      <c r="P39" s="667"/>
      <c r="Q39" s="667"/>
      <c r="S39" s="617"/>
      <c r="T39" s="617"/>
      <c r="U39" s="617"/>
      <c r="V39" s="617"/>
      <c r="W39" s="617"/>
      <c r="X39" s="617"/>
      <c r="Y39" s="617"/>
      <c r="Z39" s="617"/>
      <c r="AA39" s="617"/>
      <c r="AB39" s="617"/>
      <c r="AC39" s="617"/>
      <c r="AD39" s="617"/>
      <c r="AE39" s="617"/>
      <c r="AF39" s="617"/>
      <c r="AG39" s="617"/>
      <c r="AH39" s="617"/>
      <c r="AI39" s="617"/>
      <c r="AJ39" s="617"/>
      <c r="AK39" s="617"/>
      <c r="AM39" s="623"/>
      <c r="AN39" s="623"/>
      <c r="AO39" s="623"/>
      <c r="AP39" s="623"/>
      <c r="AQ39" s="623"/>
      <c r="AR39" s="623"/>
      <c r="AS39" s="623"/>
      <c r="AT39" s="623"/>
      <c r="AU39" s="623"/>
      <c r="AV39" s="623"/>
      <c r="AW39" s="623"/>
      <c r="AX39" s="623"/>
      <c r="AY39" s="623"/>
      <c r="AZ39" s="623"/>
      <c r="BA39" s="623"/>
      <c r="BB39" s="623"/>
      <c r="BC39" s="623"/>
      <c r="BD39" s="623"/>
      <c r="BE39" s="623"/>
      <c r="BF39" s="623">
        <f>SUM(AM39:BE39)</f>
        <v>0</v>
      </c>
      <c r="BH39" s="637"/>
      <c r="BI39" s="637"/>
      <c r="BJ39" s="637"/>
      <c r="BL39" s="497">
        <f t="shared" si="9"/>
        <v>0</v>
      </c>
      <c r="BM39" s="497"/>
      <c r="BO39" s="945"/>
      <c r="BP39" s="945"/>
      <c r="BQ39" s="945"/>
      <c r="BR39" s="945"/>
      <c r="BS39" s="945"/>
      <c r="BT39" s="945"/>
      <c r="BU39" s="945"/>
      <c r="BV39" s="945"/>
      <c r="BW39" s="945"/>
      <c r="BX39" s="945"/>
      <c r="BY39" s="945"/>
      <c r="BZ39" s="945"/>
      <c r="CA39" s="945"/>
      <c r="CB39" s="945"/>
      <c r="CC39" s="945"/>
      <c r="CD39" s="945"/>
      <c r="CE39" s="945"/>
      <c r="CF39" s="945"/>
      <c r="CG39" s="945"/>
      <c r="CH39" s="945"/>
      <c r="CI39" s="945"/>
      <c r="CJ39" s="945"/>
      <c r="CK39" s="945"/>
      <c r="CL39" s="945"/>
      <c r="CM39" s="945"/>
      <c r="CN39" s="945"/>
      <c r="CO39" s="945"/>
      <c r="CP39" s="945"/>
      <c r="CQ39" s="945"/>
      <c r="CR39" s="945"/>
      <c r="CS39" s="945"/>
      <c r="CT39" s="945"/>
      <c r="CU39" s="945"/>
      <c r="CV39" s="945"/>
      <c r="CW39" s="945"/>
      <c r="CX39" s="945"/>
      <c r="CY39" s="945"/>
      <c r="CZ39" s="945"/>
      <c r="DA39" s="945"/>
      <c r="DB39" s="945"/>
      <c r="DC39" s="945"/>
      <c r="DD39" s="945"/>
      <c r="DE39" s="945"/>
      <c r="DF39" s="945"/>
      <c r="DH39" s="553"/>
    </row>
    <row r="40" spans="1:112" s="522" customFormat="1" ht="15">
      <c r="B40" s="527"/>
      <c r="C40" s="1108" t="s">
        <v>1092</v>
      </c>
      <c r="D40" s="510" t="s">
        <v>528</v>
      </c>
      <c r="E40" s="511"/>
      <c r="G40" s="669">
        <f t="shared" ref="G40:Q40" ca="1" si="111">G$15+G$19+G$22+G$32+G$35+G$38</f>
        <v>382.53018590696547</v>
      </c>
      <c r="H40" s="669">
        <f t="shared" ca="1" si="111"/>
        <v>0</v>
      </c>
      <c r="I40" s="669">
        <f t="shared" ca="1" si="111"/>
        <v>0</v>
      </c>
      <c r="J40" s="669">
        <f t="shared" ca="1" si="111"/>
        <v>0</v>
      </c>
      <c r="K40" s="669">
        <f t="shared" ca="1" si="111"/>
        <v>0</v>
      </c>
      <c r="L40" s="669">
        <f t="shared" ca="1" si="111"/>
        <v>0</v>
      </c>
      <c r="M40" s="669">
        <f t="shared" ca="1" si="111"/>
        <v>0</v>
      </c>
      <c r="N40" s="669">
        <f t="shared" ca="1" si="111"/>
        <v>0</v>
      </c>
      <c r="O40" s="669">
        <f t="shared" ca="1" si="111"/>
        <v>0</v>
      </c>
      <c r="P40" s="669">
        <f t="shared" ca="1" si="111"/>
        <v>0</v>
      </c>
      <c r="Q40" s="669">
        <f t="shared" ca="1" si="111"/>
        <v>382.53018590696547</v>
      </c>
      <c r="S40" s="660">
        <f t="shared" ref="S40:AJ40" ca="1" si="112">S$15+S$19+S$22+S$32+S$35+S$38</f>
        <v>-31.008546529888466</v>
      </c>
      <c r="T40" s="660">
        <f t="shared" ca="1" si="112"/>
        <v>0</v>
      </c>
      <c r="U40" s="660">
        <f t="shared" ca="1" si="112"/>
        <v>-14.256803002247571</v>
      </c>
      <c r="V40" s="660">
        <f t="shared" ca="1" si="112"/>
        <v>-12.787029496861225</v>
      </c>
      <c r="W40" s="660">
        <f t="shared" ca="1" si="112"/>
        <v>-324.47780687796825</v>
      </c>
      <c r="X40" s="660">
        <f ca="1">X$15+X$19+X$22+X$32+X$35+X$38</f>
        <v>0</v>
      </c>
      <c r="Y40" s="660">
        <f ca="1">Y$15+Y$19+Y$22+Y$32+Y$35+Y$38</f>
        <v>0</v>
      </c>
      <c r="Z40" s="660">
        <f ca="1">Z$15+Z$19+Z$22+Z$32+Z$35+Z$38</f>
        <v>0</v>
      </c>
      <c r="AA40" s="660">
        <f t="shared" ca="1" si="112"/>
        <v>0</v>
      </c>
      <c r="AB40" s="660">
        <f t="shared" ca="1" si="112"/>
        <v>0</v>
      </c>
      <c r="AC40" s="660">
        <f t="shared" ca="1" si="112"/>
        <v>0</v>
      </c>
      <c r="AD40" s="660">
        <f t="shared" ca="1" si="112"/>
        <v>0</v>
      </c>
      <c r="AE40" s="660">
        <f t="shared" ca="1" si="112"/>
        <v>0</v>
      </c>
      <c r="AF40" s="660">
        <f t="shared" ca="1" si="112"/>
        <v>0</v>
      </c>
      <c r="AG40" s="660">
        <f t="shared" ca="1" si="112"/>
        <v>0</v>
      </c>
      <c r="AH40" s="660">
        <f t="shared" ca="1" si="112"/>
        <v>0</v>
      </c>
      <c r="AI40" s="660">
        <f t="shared" ca="1" si="112"/>
        <v>0</v>
      </c>
      <c r="AJ40" s="660">
        <f t="shared" ca="1" si="112"/>
        <v>0</v>
      </c>
      <c r="AK40" s="660">
        <f ca="1">SUM(S40:AJ40)</f>
        <v>-382.53018590696553</v>
      </c>
      <c r="AM40" s="661">
        <f t="shared" ref="AM40:AU40" ca="1" si="113">AM$15+AM$19+AM$22+AM$32+AM$35+AM$38</f>
        <v>0</v>
      </c>
      <c r="AN40" s="661">
        <f t="shared" ca="1" si="113"/>
        <v>0</v>
      </c>
      <c r="AO40" s="661">
        <f t="shared" ca="1" si="113"/>
        <v>0</v>
      </c>
      <c r="AP40" s="661">
        <f t="shared" ca="1" si="113"/>
        <v>0</v>
      </c>
      <c r="AQ40" s="661">
        <f t="shared" ca="1" si="113"/>
        <v>0</v>
      </c>
      <c r="AR40" s="661">
        <f t="shared" ca="1" si="113"/>
        <v>0</v>
      </c>
      <c r="AS40" s="661">
        <f t="shared" ca="1" si="113"/>
        <v>0</v>
      </c>
      <c r="AT40" s="661">
        <f t="shared" ca="1" si="113"/>
        <v>0</v>
      </c>
      <c r="AU40" s="661">
        <f t="shared" ca="1" si="113"/>
        <v>0</v>
      </c>
      <c r="AV40" s="661">
        <f t="shared" ref="AV40:BE40" ca="1" si="114">AV$15+AV$19+AV$22+AV$32+AV$35+AV$38</f>
        <v>0</v>
      </c>
      <c r="AW40" s="661">
        <f t="shared" ca="1" si="114"/>
        <v>0</v>
      </c>
      <c r="AX40" s="661">
        <f t="shared" ca="1" si="114"/>
        <v>0</v>
      </c>
      <c r="AY40" s="661">
        <f t="shared" ca="1" si="114"/>
        <v>0</v>
      </c>
      <c r="AZ40" s="661">
        <f t="shared" ca="1" si="114"/>
        <v>0</v>
      </c>
      <c r="BA40" s="661">
        <f t="shared" ca="1" si="114"/>
        <v>0</v>
      </c>
      <c r="BB40" s="661">
        <f t="shared" ca="1" si="114"/>
        <v>0</v>
      </c>
      <c r="BC40" s="661">
        <f t="shared" ca="1" si="114"/>
        <v>0</v>
      </c>
      <c r="BD40" s="661">
        <f t="shared" ca="1" si="114"/>
        <v>0</v>
      </c>
      <c r="BE40" s="661">
        <f t="shared" ca="1" si="114"/>
        <v>0</v>
      </c>
      <c r="BF40" s="661">
        <f ca="1">SUM(AM40:BE40)</f>
        <v>0</v>
      </c>
      <c r="BH40" s="662">
        <f ca="1">BH$15+BH$19+BH$22+BH$32+BH$35+BH$38</f>
        <v>0</v>
      </c>
      <c r="BI40" s="662">
        <f ca="1">BI$15+BI$19+BI$22+BI$32+BI$35+BI$38</f>
        <v>0</v>
      </c>
      <c r="BJ40" s="662">
        <f ca="1">SUM(BH40:BI40)</f>
        <v>0</v>
      </c>
      <c r="BL40" s="500">
        <f t="shared" ca="1" si="9"/>
        <v>-5.6843418860808015E-14</v>
      </c>
      <c r="BM40" s="500"/>
      <c r="BO40" s="950">
        <f t="shared" ref="BO40:DF40" ca="1" si="115">BO$15+BO$19+BO$22+BO$32+BO$35+BO$38</f>
        <v>67.291769164453711</v>
      </c>
      <c r="BP40" s="950">
        <f t="shared" ca="1" si="115"/>
        <v>0.13655504882378258</v>
      </c>
      <c r="BQ40" s="950">
        <f t="shared" ca="1" si="115"/>
        <v>0.22513176941521534</v>
      </c>
      <c r="BR40" s="950">
        <f t="shared" ca="1" si="115"/>
        <v>0</v>
      </c>
      <c r="BS40" s="950">
        <f t="shared" ca="1" si="115"/>
        <v>0</v>
      </c>
      <c r="BT40" s="950">
        <f t="shared" ca="1" si="115"/>
        <v>0</v>
      </c>
      <c r="BU40" s="950">
        <f t="shared" ca="1" si="115"/>
        <v>0</v>
      </c>
      <c r="BV40" s="950">
        <f t="shared" ca="1" si="115"/>
        <v>0</v>
      </c>
      <c r="BW40" s="950">
        <f t="shared" ca="1" si="115"/>
        <v>0</v>
      </c>
      <c r="BX40" s="950">
        <f t="shared" ca="1" si="115"/>
        <v>0</v>
      </c>
      <c r="BY40" s="950">
        <f t="shared" ca="1" si="115"/>
        <v>0</v>
      </c>
      <c r="BZ40" s="950">
        <f t="shared" ca="1" si="115"/>
        <v>0</v>
      </c>
      <c r="CA40" s="950">
        <f t="shared" ca="1" si="115"/>
        <v>0</v>
      </c>
      <c r="CB40" s="950">
        <f t="shared" ca="1" si="115"/>
        <v>0</v>
      </c>
      <c r="CC40" s="950">
        <f t="shared" ca="1" si="115"/>
        <v>0</v>
      </c>
      <c r="CD40" s="950">
        <f t="shared" ca="1" si="115"/>
        <v>0</v>
      </c>
      <c r="CE40" s="950">
        <f t="shared" ca="1" si="115"/>
        <v>0</v>
      </c>
      <c r="CF40" s="950">
        <f t="shared" ca="1" si="115"/>
        <v>0</v>
      </c>
      <c r="CG40" s="950">
        <f t="shared" ca="1" si="115"/>
        <v>0</v>
      </c>
      <c r="CH40" s="950">
        <f t="shared" ca="1" si="115"/>
        <v>0</v>
      </c>
      <c r="CI40" s="950">
        <f t="shared" ca="1" si="115"/>
        <v>0</v>
      </c>
      <c r="CJ40" s="950">
        <f t="shared" ca="1" si="115"/>
        <v>0</v>
      </c>
      <c r="CK40" s="950">
        <f t="shared" ca="1" si="115"/>
        <v>0</v>
      </c>
      <c r="CL40" s="950">
        <f t="shared" ca="1" si="115"/>
        <v>0</v>
      </c>
      <c r="CM40" s="950">
        <f t="shared" ca="1" si="115"/>
        <v>0</v>
      </c>
      <c r="CN40" s="950">
        <f t="shared" ca="1" si="115"/>
        <v>0</v>
      </c>
      <c r="CO40" s="950">
        <f t="shared" ca="1" si="115"/>
        <v>0</v>
      </c>
      <c r="CP40" s="950">
        <f t="shared" ca="1" si="115"/>
        <v>0</v>
      </c>
      <c r="CQ40" s="950">
        <f t="shared" ca="1" si="115"/>
        <v>0</v>
      </c>
      <c r="CR40" s="950">
        <f t="shared" ca="1" si="115"/>
        <v>0</v>
      </c>
      <c r="CS40" s="950">
        <f t="shared" ca="1" si="115"/>
        <v>0</v>
      </c>
      <c r="CT40" s="950">
        <f t="shared" ca="1" si="115"/>
        <v>0</v>
      </c>
      <c r="CU40" s="950">
        <f t="shared" ca="1" si="115"/>
        <v>0</v>
      </c>
      <c r="CV40" s="950">
        <f t="shared" ca="1" si="115"/>
        <v>0</v>
      </c>
      <c r="CW40" s="950">
        <f t="shared" ca="1" si="115"/>
        <v>0</v>
      </c>
      <c r="CX40" s="950">
        <f t="shared" ca="1" si="115"/>
        <v>0</v>
      </c>
      <c r="CY40" s="950">
        <f t="shared" ca="1" si="115"/>
        <v>0</v>
      </c>
      <c r="CZ40" s="950">
        <f t="shared" ca="1" si="115"/>
        <v>0</v>
      </c>
      <c r="DA40" s="950">
        <f t="shared" ca="1" si="115"/>
        <v>0</v>
      </c>
      <c r="DB40" s="950">
        <f t="shared" ca="1" si="115"/>
        <v>0</v>
      </c>
      <c r="DC40" s="950">
        <f t="shared" ca="1" si="115"/>
        <v>0</v>
      </c>
      <c r="DD40" s="950">
        <f t="shared" ca="1" si="115"/>
        <v>0</v>
      </c>
      <c r="DE40" s="950">
        <f t="shared" ca="1" si="115"/>
        <v>0</v>
      </c>
      <c r="DF40" s="950">
        <f t="shared" ca="1" si="115"/>
        <v>0</v>
      </c>
      <c r="DH40" s="551">
        <f ca="1">SUM(BO40:DF40)</f>
        <v>67.653455982692705</v>
      </c>
    </row>
    <row r="41" spans="1:112" s="522" customFormat="1" ht="6" customHeight="1">
      <c r="C41" s="493"/>
      <c r="D41" s="493"/>
      <c r="E41" s="493"/>
      <c r="G41" s="605"/>
      <c r="H41" s="605"/>
      <c r="I41" s="605"/>
      <c r="J41" s="605"/>
      <c r="K41" s="607"/>
      <c r="L41" s="605"/>
      <c r="M41" s="605"/>
      <c r="N41" s="605"/>
      <c r="O41" s="605"/>
      <c r="P41" s="605"/>
      <c r="Q41" s="605"/>
      <c r="S41" s="617"/>
      <c r="T41" s="617"/>
      <c r="U41" s="617"/>
      <c r="V41" s="617"/>
      <c r="W41" s="617"/>
      <c r="X41" s="617"/>
      <c r="Y41" s="617"/>
      <c r="Z41" s="617"/>
      <c r="AA41" s="617"/>
      <c r="AB41" s="617"/>
      <c r="AC41" s="617"/>
      <c r="AD41" s="617"/>
      <c r="AE41" s="617"/>
      <c r="AF41" s="617"/>
      <c r="AG41" s="617"/>
      <c r="AH41" s="617"/>
      <c r="AI41" s="617"/>
      <c r="AJ41" s="617"/>
      <c r="AK41" s="617"/>
      <c r="AM41" s="623"/>
      <c r="AN41" s="623"/>
      <c r="AO41" s="623"/>
      <c r="AP41" s="623"/>
      <c r="AQ41" s="623"/>
      <c r="AR41" s="623"/>
      <c r="AS41" s="623"/>
      <c r="AT41" s="623"/>
      <c r="AU41" s="623"/>
      <c r="AV41" s="623"/>
      <c r="AW41" s="623"/>
      <c r="AX41" s="623"/>
      <c r="AY41" s="623"/>
      <c r="AZ41" s="623"/>
      <c r="BA41" s="623"/>
      <c r="BB41" s="623"/>
      <c r="BC41" s="623"/>
      <c r="BD41" s="623"/>
      <c r="BE41" s="623"/>
      <c r="BF41" s="623"/>
      <c r="BH41" s="637"/>
      <c r="BI41" s="637"/>
      <c r="BJ41" s="637"/>
      <c r="BL41" s="497">
        <f t="shared" si="9"/>
        <v>0</v>
      </c>
      <c r="BM41" s="497"/>
      <c r="BO41" s="945"/>
      <c r="BP41" s="945"/>
      <c r="BQ41" s="945"/>
      <c r="BR41" s="945"/>
      <c r="BS41" s="945"/>
      <c r="BT41" s="945"/>
      <c r="BU41" s="945"/>
      <c r="BV41" s="945"/>
      <c r="BW41" s="945"/>
      <c r="BX41" s="945"/>
      <c r="BY41" s="945"/>
      <c r="BZ41" s="945"/>
      <c r="CA41" s="945"/>
      <c r="CB41" s="945"/>
      <c r="CC41" s="945"/>
      <c r="CD41" s="945"/>
      <c r="CE41" s="945"/>
      <c r="CF41" s="945"/>
      <c r="CG41" s="945"/>
      <c r="CH41" s="945"/>
      <c r="CI41" s="945"/>
      <c r="CJ41" s="945"/>
      <c r="CK41" s="945"/>
      <c r="CL41" s="945"/>
      <c r="CM41" s="945"/>
      <c r="CN41" s="945"/>
      <c r="CO41" s="945"/>
      <c r="CP41" s="945"/>
      <c r="CQ41" s="945"/>
      <c r="CR41" s="945"/>
      <c r="CS41" s="945"/>
      <c r="CT41" s="945"/>
      <c r="CU41" s="945"/>
      <c r="CV41" s="945"/>
      <c r="CW41" s="945"/>
      <c r="CX41" s="945"/>
      <c r="CY41" s="945"/>
      <c r="CZ41" s="945"/>
      <c r="DA41" s="945"/>
      <c r="DB41" s="945"/>
      <c r="DC41" s="945"/>
      <c r="DD41" s="945"/>
      <c r="DE41" s="945"/>
      <c r="DF41" s="945"/>
      <c r="DH41" s="553"/>
    </row>
    <row r="42" spans="1:112" s="522" customFormat="1" ht="24" customHeight="1">
      <c r="C42" s="487" t="s">
        <v>66</v>
      </c>
      <c r="D42" s="487"/>
      <c r="E42" s="509"/>
      <c r="G42" s="604"/>
      <c r="H42" s="604"/>
      <c r="I42" s="604"/>
      <c r="J42" s="604"/>
      <c r="K42" s="604"/>
      <c r="L42" s="604"/>
      <c r="M42" s="604"/>
      <c r="N42" s="604"/>
      <c r="O42" s="604"/>
      <c r="P42" s="604"/>
      <c r="Q42" s="604"/>
      <c r="S42" s="616"/>
      <c r="T42" s="616"/>
      <c r="U42" s="616"/>
      <c r="V42" s="616"/>
      <c r="W42" s="616"/>
      <c r="X42" s="616"/>
      <c r="Y42" s="616"/>
      <c r="Z42" s="616"/>
      <c r="AA42" s="616"/>
      <c r="AB42" s="616"/>
      <c r="AC42" s="616"/>
      <c r="AD42" s="616"/>
      <c r="AE42" s="616"/>
      <c r="AF42" s="616"/>
      <c r="AG42" s="616"/>
      <c r="AH42" s="616"/>
      <c r="AI42" s="616"/>
      <c r="AJ42" s="616"/>
      <c r="AK42" s="616"/>
      <c r="AM42" s="622"/>
      <c r="AN42" s="622"/>
      <c r="AO42" s="622"/>
      <c r="AP42" s="622"/>
      <c r="AQ42" s="622"/>
      <c r="AR42" s="622"/>
      <c r="AS42" s="622"/>
      <c r="AT42" s="622"/>
      <c r="AU42" s="622"/>
      <c r="AV42" s="622"/>
      <c r="AW42" s="622"/>
      <c r="AX42" s="622"/>
      <c r="AY42" s="622"/>
      <c r="AZ42" s="622"/>
      <c r="BA42" s="622"/>
      <c r="BB42" s="622"/>
      <c r="BC42" s="622"/>
      <c r="BD42" s="622"/>
      <c r="BE42" s="622"/>
      <c r="BF42" s="622"/>
      <c r="BH42" s="636"/>
      <c r="BI42" s="636"/>
      <c r="BJ42" s="636"/>
      <c r="BL42" s="496">
        <f t="shared" si="9"/>
        <v>0</v>
      </c>
      <c r="BM42" s="496"/>
      <c r="BO42" s="945"/>
      <c r="BP42" s="945"/>
      <c r="BQ42" s="945"/>
      <c r="BR42" s="945"/>
      <c r="BS42" s="945"/>
      <c r="BT42" s="945"/>
      <c r="BU42" s="945"/>
      <c r="BV42" s="945"/>
      <c r="BW42" s="945"/>
      <c r="BX42" s="945"/>
      <c r="BY42" s="945"/>
      <c r="BZ42" s="945"/>
      <c r="CA42" s="945"/>
      <c r="CB42" s="945"/>
      <c r="CC42" s="945"/>
      <c r="CD42" s="945"/>
      <c r="CE42" s="945"/>
      <c r="CF42" s="945"/>
      <c r="CG42" s="945"/>
      <c r="CH42" s="945"/>
      <c r="CI42" s="945"/>
      <c r="CJ42" s="945"/>
      <c r="CK42" s="945"/>
      <c r="CL42" s="945"/>
      <c r="CM42" s="945"/>
      <c r="CN42" s="945"/>
      <c r="CO42" s="945"/>
      <c r="CP42" s="945"/>
      <c r="CQ42" s="945"/>
      <c r="CR42" s="945"/>
      <c r="CS42" s="945"/>
      <c r="CT42" s="945"/>
      <c r="CU42" s="945"/>
      <c r="CV42" s="945"/>
      <c r="CW42" s="945"/>
      <c r="CX42" s="945"/>
      <c r="CY42" s="945"/>
      <c r="CZ42" s="945"/>
      <c r="DA42" s="945"/>
      <c r="DB42" s="945"/>
      <c r="DC42" s="945"/>
      <c r="DD42" s="945"/>
      <c r="DE42" s="945"/>
      <c r="DF42" s="945"/>
      <c r="DH42" s="553"/>
    </row>
    <row r="43" spans="1:112" s="522" customFormat="1" ht="12.75" customHeight="1" outlineLevel="1">
      <c r="A43" s="16"/>
      <c r="B43" s="16"/>
      <c r="C43" s="525"/>
      <c r="D43" s="495"/>
      <c r="E43" s="495"/>
      <c r="G43" s="605"/>
      <c r="H43" s="605"/>
      <c r="I43" s="605"/>
      <c r="J43" s="605"/>
      <c r="K43" s="607"/>
      <c r="L43" s="605"/>
      <c r="M43" s="605"/>
      <c r="N43" s="605"/>
      <c r="O43" s="605"/>
      <c r="P43" s="605"/>
      <c r="Q43" s="605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M43" s="623"/>
      <c r="AN43" s="623"/>
      <c r="AO43" s="623"/>
      <c r="AP43" s="623"/>
      <c r="AQ43" s="623"/>
      <c r="AR43" s="623"/>
      <c r="AS43" s="623"/>
      <c r="AT43" s="623"/>
      <c r="AU43" s="623"/>
      <c r="AV43" s="623"/>
      <c r="AW43" s="623"/>
      <c r="AX43" s="623"/>
      <c r="AY43" s="623"/>
      <c r="AZ43" s="623"/>
      <c r="BA43" s="623"/>
      <c r="BB43" s="623"/>
      <c r="BC43" s="623"/>
      <c r="BD43" s="623"/>
      <c r="BE43" s="623"/>
      <c r="BF43" s="623"/>
      <c r="BH43" s="637"/>
      <c r="BI43" s="637"/>
      <c r="BJ43" s="637"/>
      <c r="BL43" s="497">
        <f t="shared" si="9"/>
        <v>0</v>
      </c>
      <c r="BM43" s="497"/>
      <c r="BN43" s="16"/>
      <c r="BO43" s="945"/>
      <c r="BP43" s="945"/>
      <c r="BQ43" s="945"/>
      <c r="BR43" s="945"/>
      <c r="BS43" s="945"/>
      <c r="BT43" s="945"/>
      <c r="BU43" s="945"/>
      <c r="BV43" s="945"/>
      <c r="BW43" s="945"/>
      <c r="BX43" s="945"/>
      <c r="BY43" s="945"/>
      <c r="BZ43" s="945"/>
      <c r="CA43" s="945"/>
      <c r="CB43" s="945"/>
      <c r="CC43" s="945"/>
      <c r="CD43" s="945"/>
      <c r="CE43" s="945"/>
      <c r="CF43" s="945"/>
      <c r="CG43" s="945"/>
      <c r="CH43" s="945"/>
      <c r="CI43" s="945"/>
      <c r="CJ43" s="945"/>
      <c r="CK43" s="945"/>
      <c r="CL43" s="945"/>
      <c r="CM43" s="945"/>
      <c r="CN43" s="945"/>
      <c r="CO43" s="945"/>
      <c r="CP43" s="945"/>
      <c r="CQ43" s="945"/>
      <c r="CR43" s="945"/>
      <c r="CS43" s="945"/>
      <c r="CT43" s="945"/>
      <c r="CU43" s="945"/>
      <c r="CV43" s="945"/>
      <c r="CW43" s="945"/>
      <c r="CX43" s="945"/>
      <c r="CY43" s="945"/>
      <c r="CZ43" s="945"/>
      <c r="DA43" s="945"/>
      <c r="DB43" s="945"/>
      <c r="DC43" s="945"/>
      <c r="DD43" s="945"/>
      <c r="DE43" s="945"/>
      <c r="DF43" s="945"/>
      <c r="DH43" s="553"/>
    </row>
    <row r="44" spans="1:112" s="954" customFormat="1" ht="12.75" customHeight="1" outlineLevel="1">
      <c r="C44" s="963" t="s">
        <v>1145</v>
      </c>
      <c r="D44" s="964" t="s">
        <v>1146</v>
      </c>
      <c r="E44" s="964"/>
      <c r="F44" s="1044"/>
      <c r="G44" s="708"/>
      <c r="H44" s="708"/>
      <c r="I44" s="708"/>
      <c r="J44" s="708"/>
      <c r="K44" s="709"/>
      <c r="L44" s="708"/>
      <c r="M44" s="708"/>
      <c r="N44" s="708"/>
      <c r="O44" s="708"/>
      <c r="P44" s="708"/>
      <c r="Q44" s="708"/>
      <c r="R44" s="1044"/>
      <c r="S44" s="710"/>
      <c r="T44" s="710"/>
      <c r="U44" s="710"/>
      <c r="V44" s="710"/>
      <c r="W44" s="710"/>
      <c r="X44" s="710"/>
      <c r="Y44" s="710"/>
      <c r="Z44" s="710"/>
      <c r="AA44" s="710"/>
      <c r="AB44" s="710"/>
      <c r="AC44" s="710"/>
      <c r="AD44" s="710"/>
      <c r="AE44" s="710"/>
      <c r="AF44" s="710"/>
      <c r="AG44" s="710"/>
      <c r="AH44" s="710"/>
      <c r="AI44" s="710"/>
      <c r="AJ44" s="710">
        <f ca="1">AJ$40</f>
        <v>0</v>
      </c>
      <c r="AK44" s="710"/>
      <c r="AL44" s="1044"/>
      <c r="AM44" s="711"/>
      <c r="AN44" s="711"/>
      <c r="AO44" s="711"/>
      <c r="AP44" s="711"/>
      <c r="AQ44" s="711"/>
      <c r="AR44" s="711"/>
      <c r="AS44" s="711"/>
      <c r="AT44" s="711"/>
      <c r="AU44" s="711"/>
      <c r="AV44" s="711"/>
      <c r="AW44" s="711"/>
      <c r="AX44" s="711"/>
      <c r="AY44" s="711"/>
      <c r="AZ44" s="711"/>
      <c r="BA44" s="711"/>
      <c r="BB44" s="711"/>
      <c r="BC44" s="711"/>
      <c r="BD44" s="711"/>
      <c r="BE44" s="711"/>
      <c r="BF44" s="711"/>
      <c r="BG44" s="1044"/>
      <c r="BH44" s="712"/>
      <c r="BI44" s="712"/>
      <c r="BJ44" s="712"/>
      <c r="BK44" s="1044"/>
      <c r="BL44" s="965">
        <f t="shared" si="9"/>
        <v>0</v>
      </c>
      <c r="BM44" s="965"/>
      <c r="BO44" s="1050"/>
      <c r="BP44" s="1050"/>
      <c r="BQ44" s="1050"/>
      <c r="BR44" s="1050"/>
      <c r="BS44" s="1050"/>
      <c r="BT44" s="1050"/>
      <c r="BU44" s="1050"/>
      <c r="BV44" s="1050"/>
      <c r="BW44" s="1050"/>
      <c r="BX44" s="1050"/>
      <c r="BY44" s="1050"/>
      <c r="BZ44" s="1050"/>
      <c r="CA44" s="1050"/>
      <c r="CB44" s="1050"/>
      <c r="CC44" s="1050"/>
      <c r="CD44" s="1050"/>
      <c r="CE44" s="1050"/>
      <c r="CF44" s="1050"/>
      <c r="CG44" s="1050"/>
      <c r="CH44" s="1050"/>
      <c r="CI44" s="1050"/>
      <c r="CJ44" s="1050"/>
      <c r="CK44" s="1050"/>
      <c r="CL44" s="1050"/>
      <c r="CM44" s="1050"/>
      <c r="CN44" s="1050"/>
      <c r="CO44" s="1050"/>
      <c r="CP44" s="1050"/>
      <c r="CQ44" s="1050"/>
      <c r="CR44" s="1050"/>
      <c r="CS44" s="1050"/>
      <c r="CT44" s="1050"/>
      <c r="CU44" s="1050"/>
      <c r="CV44" s="1050"/>
      <c r="CW44" s="1050"/>
      <c r="CX44" s="1050"/>
      <c r="CY44" s="1050"/>
      <c r="CZ44" s="1050"/>
      <c r="DA44" s="1050"/>
      <c r="DB44" s="1050"/>
      <c r="DC44" s="1050"/>
      <c r="DD44" s="1050"/>
      <c r="DE44" s="1050"/>
      <c r="DF44" s="1050"/>
      <c r="DH44" s="1049">
        <f>SUM(BO44:DF44)</f>
        <v>0</v>
      </c>
    </row>
    <row r="45" spans="1:112" s="522" customFormat="1" ht="12.75" customHeight="1" outlineLevel="1">
      <c r="A45" s="16"/>
      <c r="B45" s="16"/>
      <c r="C45" s="524" t="s">
        <v>753</v>
      </c>
      <c r="D45" s="656" t="str">
        <f>INDEX(Modules[Module], MATCH($C45, Modules[Code], 0))</f>
        <v>H2 Production for Transport</v>
      </c>
      <c r="E45" s="707"/>
      <c r="G45" s="668">
        <f t="shared" ref="G45:P45" ca="1" si="116">IFERROR(INDEX(INDIRECT($C45&amp;".Outputs["&amp;this.Year&amp;"]"), MATCH(G$5, INDIRECT($C45&amp;".Outputs[Vector]"), 0)), 0)</f>
        <v>0</v>
      </c>
      <c r="H45" s="668">
        <f t="shared" ca="1" si="116"/>
        <v>0</v>
      </c>
      <c r="I45" s="668">
        <f t="shared" ca="1" si="116"/>
        <v>0</v>
      </c>
      <c r="J45" s="668">
        <f t="shared" ca="1" si="116"/>
        <v>0</v>
      </c>
      <c r="K45" s="668">
        <f t="shared" ca="1" si="116"/>
        <v>0</v>
      </c>
      <c r="L45" s="668">
        <f t="shared" ca="1" si="116"/>
        <v>0</v>
      </c>
      <c r="M45" s="668">
        <f t="shared" ca="1" si="116"/>
        <v>0</v>
      </c>
      <c r="N45" s="668">
        <f t="shared" ca="1" si="116"/>
        <v>0</v>
      </c>
      <c r="O45" s="668">
        <f t="shared" ca="1" si="116"/>
        <v>0</v>
      </c>
      <c r="P45" s="668">
        <f t="shared" ca="1" si="116"/>
        <v>0</v>
      </c>
      <c r="Q45" s="666">
        <f ca="1">SUM(G45:P45)</f>
        <v>0</v>
      </c>
      <c r="S45" s="677">
        <f t="shared" ref="S45:AJ45" ca="1" si="117">IFERROR(INDEX(INDIRECT($C45&amp;".Outputs["&amp;this.Year&amp;"]"), MATCH(S$5, INDIRECT($C45&amp;".Outputs[Vector]"), 0)), 0)</f>
        <v>0</v>
      </c>
      <c r="T45" s="677">
        <f t="shared" ca="1" si="117"/>
        <v>0</v>
      </c>
      <c r="U45" s="677">
        <f t="shared" ca="1" si="117"/>
        <v>0</v>
      </c>
      <c r="V45" s="677">
        <f t="shared" ca="1" si="117"/>
        <v>0</v>
      </c>
      <c r="W45" s="677">
        <f t="shared" ca="1" si="117"/>
        <v>0</v>
      </c>
      <c r="X45" s="677">
        <f ca="1">IFERROR(INDEX(INDIRECT($C45&amp;".Outputs["&amp;this.Year&amp;"]"), MATCH(X$5, INDIRECT($C45&amp;".Outputs[Vector]"), 0)), 0)</f>
        <v>0</v>
      </c>
      <c r="Y45" s="677">
        <f ca="1">IFERROR(INDEX(INDIRECT($C45&amp;".Outputs["&amp;this.Year&amp;"]"), MATCH(Y$5, INDIRECT($C45&amp;".Outputs[Vector]"), 0)), 0)</f>
        <v>0</v>
      </c>
      <c r="Z45" s="677">
        <f ca="1">IFERROR(INDEX(INDIRECT($C45&amp;".Outputs["&amp;this.Year&amp;"]"), MATCH(Z$5, INDIRECT($C45&amp;".Outputs[Vector]"), 0)), 0)</f>
        <v>0</v>
      </c>
      <c r="AA45" s="677">
        <f t="shared" ca="1" si="117"/>
        <v>0</v>
      </c>
      <c r="AB45" s="677">
        <f t="shared" ca="1" si="117"/>
        <v>0</v>
      </c>
      <c r="AC45" s="677">
        <f t="shared" ca="1" si="117"/>
        <v>0</v>
      </c>
      <c r="AD45" s="677">
        <f t="shared" ca="1" si="117"/>
        <v>0</v>
      </c>
      <c r="AE45" s="677">
        <f t="shared" ca="1" si="117"/>
        <v>0</v>
      </c>
      <c r="AF45" s="677">
        <f t="shared" ca="1" si="117"/>
        <v>0</v>
      </c>
      <c r="AG45" s="677">
        <f t="shared" ca="1" si="117"/>
        <v>0</v>
      </c>
      <c r="AH45" s="677">
        <f t="shared" ca="1" si="117"/>
        <v>0</v>
      </c>
      <c r="AI45" s="677">
        <f t="shared" ca="1" si="117"/>
        <v>0</v>
      </c>
      <c r="AJ45" s="677">
        <f t="shared" ca="1" si="117"/>
        <v>0</v>
      </c>
      <c r="AK45" s="676">
        <f ca="1">SUM(S45:AJ45)</f>
        <v>0</v>
      </c>
      <c r="AM45" s="688">
        <f t="shared" ref="AM45:AU45" ca="1" si="118">IFERROR(INDEX(INDIRECT($C45&amp;".Outputs["&amp;this.Year&amp;"]"), MATCH(AM$5, INDIRECT($C45&amp;".Outputs[Vector]"), 0)), 0)</f>
        <v>0</v>
      </c>
      <c r="AN45" s="688">
        <f t="shared" ca="1" si="118"/>
        <v>0</v>
      </c>
      <c r="AO45" s="688">
        <f t="shared" ca="1" si="118"/>
        <v>0</v>
      </c>
      <c r="AP45" s="688">
        <f t="shared" ca="1" si="118"/>
        <v>0</v>
      </c>
      <c r="AQ45" s="688">
        <f t="shared" ca="1" si="118"/>
        <v>0</v>
      </c>
      <c r="AR45" s="688">
        <f t="shared" ca="1" si="118"/>
        <v>0</v>
      </c>
      <c r="AS45" s="688">
        <f t="shared" ca="1" si="118"/>
        <v>0</v>
      </c>
      <c r="AT45" s="688">
        <f t="shared" ca="1" si="118"/>
        <v>0</v>
      </c>
      <c r="AU45" s="688">
        <f t="shared" ca="1" si="118"/>
        <v>0</v>
      </c>
      <c r="AV45" s="688">
        <f t="shared" ref="AV45:BE45" ca="1" si="119">IFERROR(INDEX(INDIRECT($C45&amp;".Outputs["&amp;this.Year&amp;"]"), MATCH(AV$5, INDIRECT($C45&amp;".Outputs[Vector]"), 0)), 0)</f>
        <v>0</v>
      </c>
      <c r="AW45" s="688">
        <f t="shared" ca="1" si="119"/>
        <v>0</v>
      </c>
      <c r="AX45" s="688">
        <f t="shared" ca="1" si="119"/>
        <v>0</v>
      </c>
      <c r="AY45" s="688">
        <f t="shared" ca="1" si="119"/>
        <v>0</v>
      </c>
      <c r="AZ45" s="688">
        <f t="shared" ca="1" si="119"/>
        <v>0</v>
      </c>
      <c r="BA45" s="688">
        <f t="shared" ca="1" si="119"/>
        <v>0</v>
      </c>
      <c r="BB45" s="688">
        <f t="shared" ca="1" si="119"/>
        <v>0</v>
      </c>
      <c r="BC45" s="688">
        <f t="shared" ca="1" si="119"/>
        <v>0</v>
      </c>
      <c r="BD45" s="688">
        <f t="shared" ca="1" si="119"/>
        <v>0</v>
      </c>
      <c r="BE45" s="688">
        <f t="shared" ca="1" si="119"/>
        <v>0</v>
      </c>
      <c r="BF45" s="658">
        <f ca="1">SUM(AM45:BE45)</f>
        <v>0</v>
      </c>
      <c r="BH45" s="682">
        <f ca="1">IFERROR(INDEX(INDIRECT($C45&amp;".Outputs["&amp;this.Year&amp;"]"), MATCH(BH$5, INDIRECT($C45&amp;".Outputs[Vector]"), 0)), 0)</f>
        <v>0</v>
      </c>
      <c r="BI45" s="682">
        <f ca="1">IFERROR(INDEX(INDIRECT($C45&amp;".Outputs["&amp;this.Year&amp;"]"), MATCH(BI$5, INDIRECT($C45&amp;".Outputs[Vector]"), 0)), 0)</f>
        <v>0</v>
      </c>
      <c r="BJ45" s="681">
        <f ca="1">SUM(BH45:BI45)</f>
        <v>0</v>
      </c>
      <c r="BL45" s="497"/>
      <c r="BM45" s="497"/>
      <c r="BN45" s="555"/>
      <c r="BO45" s="948">
        <f t="shared" ref="BO45:DF45" ca="1" si="120">IFERROR(SUMIFS(INDIRECT($C45&amp;".Emissions["&amp;this.Year&amp;"]"), INDIRECT($C45&amp;".Emissions[GHG]"), BO$6, INDIRECT($C45&amp;".Emissions[IPCC Sector]"), BO$5),0)</f>
        <v>0</v>
      </c>
      <c r="BP45" s="949">
        <f t="shared" ca="1" si="120"/>
        <v>0</v>
      </c>
      <c r="BQ45" s="949">
        <f t="shared" ca="1" si="120"/>
        <v>0</v>
      </c>
      <c r="BR45" s="949">
        <f t="shared" ca="1" si="120"/>
        <v>0</v>
      </c>
      <c r="BS45" s="949">
        <f t="shared" ca="1" si="120"/>
        <v>0</v>
      </c>
      <c r="BT45" s="949">
        <f t="shared" ca="1" si="120"/>
        <v>0</v>
      </c>
      <c r="BU45" s="949">
        <f t="shared" ca="1" si="120"/>
        <v>0</v>
      </c>
      <c r="BV45" s="949">
        <f t="shared" ca="1" si="120"/>
        <v>0</v>
      </c>
      <c r="BW45" s="949">
        <f t="shared" ca="1" si="120"/>
        <v>0</v>
      </c>
      <c r="BX45" s="949">
        <f t="shared" ca="1" si="120"/>
        <v>0</v>
      </c>
      <c r="BY45" s="949">
        <f t="shared" ca="1" si="120"/>
        <v>0</v>
      </c>
      <c r="BZ45" s="949">
        <f t="shared" ca="1" si="120"/>
        <v>0</v>
      </c>
      <c r="CA45" s="949">
        <f t="shared" ca="1" si="120"/>
        <v>0</v>
      </c>
      <c r="CB45" s="949">
        <f t="shared" ca="1" si="120"/>
        <v>0</v>
      </c>
      <c r="CC45" s="949">
        <f t="shared" ca="1" si="120"/>
        <v>0</v>
      </c>
      <c r="CD45" s="949">
        <f t="shared" ca="1" si="120"/>
        <v>0</v>
      </c>
      <c r="CE45" s="949">
        <f t="shared" ca="1" si="120"/>
        <v>0</v>
      </c>
      <c r="CF45" s="949">
        <f t="shared" ca="1" si="120"/>
        <v>0</v>
      </c>
      <c r="CG45" s="949">
        <f t="shared" ca="1" si="120"/>
        <v>0</v>
      </c>
      <c r="CH45" s="949">
        <f t="shared" ca="1" si="120"/>
        <v>0</v>
      </c>
      <c r="CI45" s="949">
        <f t="shared" ca="1" si="120"/>
        <v>0</v>
      </c>
      <c r="CJ45" s="949">
        <f t="shared" ca="1" si="120"/>
        <v>0</v>
      </c>
      <c r="CK45" s="949">
        <f t="shared" ca="1" si="120"/>
        <v>0</v>
      </c>
      <c r="CL45" s="949">
        <f t="shared" ca="1" si="120"/>
        <v>0</v>
      </c>
      <c r="CM45" s="949">
        <f t="shared" ca="1" si="120"/>
        <v>0</v>
      </c>
      <c r="CN45" s="949">
        <f t="shared" ca="1" si="120"/>
        <v>0</v>
      </c>
      <c r="CO45" s="949">
        <f t="shared" ca="1" si="120"/>
        <v>0</v>
      </c>
      <c r="CP45" s="949">
        <f t="shared" ca="1" si="120"/>
        <v>0</v>
      </c>
      <c r="CQ45" s="949">
        <f t="shared" ca="1" si="120"/>
        <v>0</v>
      </c>
      <c r="CR45" s="949">
        <f t="shared" ca="1" si="120"/>
        <v>0</v>
      </c>
      <c r="CS45" s="949">
        <f t="shared" ca="1" si="120"/>
        <v>0</v>
      </c>
      <c r="CT45" s="949">
        <f t="shared" ca="1" si="120"/>
        <v>0</v>
      </c>
      <c r="CU45" s="949">
        <f t="shared" ca="1" si="120"/>
        <v>0</v>
      </c>
      <c r="CV45" s="949">
        <f t="shared" ca="1" si="120"/>
        <v>0</v>
      </c>
      <c r="CW45" s="949">
        <f t="shared" ca="1" si="120"/>
        <v>0</v>
      </c>
      <c r="CX45" s="949">
        <f t="shared" ca="1" si="120"/>
        <v>0</v>
      </c>
      <c r="CY45" s="949">
        <f t="shared" ca="1" si="120"/>
        <v>0</v>
      </c>
      <c r="CZ45" s="949">
        <f t="shared" ca="1" si="120"/>
        <v>0</v>
      </c>
      <c r="DA45" s="949">
        <f t="shared" ca="1" si="120"/>
        <v>0</v>
      </c>
      <c r="DB45" s="949">
        <f t="shared" ca="1" si="120"/>
        <v>0</v>
      </c>
      <c r="DC45" s="949">
        <f t="shared" ca="1" si="120"/>
        <v>0</v>
      </c>
      <c r="DD45" s="949">
        <f t="shared" ca="1" si="120"/>
        <v>0</v>
      </c>
      <c r="DE45" s="949">
        <f t="shared" ca="1" si="120"/>
        <v>0</v>
      </c>
      <c r="DF45" s="949">
        <f t="shared" ca="1" si="120"/>
        <v>0</v>
      </c>
      <c r="DH45" s="553"/>
    </row>
    <row r="46" spans="1:112" s="522" customFormat="1" ht="15">
      <c r="A46" s="16"/>
      <c r="B46" s="527"/>
      <c r="C46" s="523" t="s">
        <v>565</v>
      </c>
      <c r="D46" s="499" t="str">
        <f>INDEX(Workstreams[Workstream], MATCH($C46, Workstreams[Code], 0))</f>
        <v>H2 Production</v>
      </c>
      <c r="E46" s="495"/>
      <c r="G46" s="667">
        <f ca="1">G45</f>
        <v>0</v>
      </c>
      <c r="H46" s="667">
        <f t="shared" ref="H46:P46" ca="1" si="121">H45</f>
        <v>0</v>
      </c>
      <c r="I46" s="667">
        <f t="shared" ca="1" si="121"/>
        <v>0</v>
      </c>
      <c r="J46" s="667">
        <f t="shared" ca="1" si="121"/>
        <v>0</v>
      </c>
      <c r="K46" s="667">
        <f t="shared" ca="1" si="121"/>
        <v>0</v>
      </c>
      <c r="L46" s="667">
        <f t="shared" ca="1" si="121"/>
        <v>0</v>
      </c>
      <c r="M46" s="667">
        <f t="shared" ca="1" si="121"/>
        <v>0</v>
      </c>
      <c r="N46" s="667">
        <f t="shared" ca="1" si="121"/>
        <v>0</v>
      </c>
      <c r="O46" s="667">
        <f t="shared" ca="1" si="121"/>
        <v>0</v>
      </c>
      <c r="P46" s="667">
        <f t="shared" ca="1" si="121"/>
        <v>0</v>
      </c>
      <c r="Q46" s="667">
        <f ca="1">SUM(G46:P46)</f>
        <v>0</v>
      </c>
      <c r="S46" s="617">
        <f t="shared" ref="S46:AJ46" ca="1" si="122">S45</f>
        <v>0</v>
      </c>
      <c r="T46" s="617">
        <f t="shared" ca="1" si="122"/>
        <v>0</v>
      </c>
      <c r="U46" s="617">
        <f t="shared" ca="1" si="122"/>
        <v>0</v>
      </c>
      <c r="V46" s="617">
        <f t="shared" ca="1" si="122"/>
        <v>0</v>
      </c>
      <c r="W46" s="617">
        <f t="shared" ca="1" si="122"/>
        <v>0</v>
      </c>
      <c r="X46" s="617">
        <f t="shared" ca="1" si="122"/>
        <v>0</v>
      </c>
      <c r="Y46" s="617">
        <f t="shared" ca="1" si="122"/>
        <v>0</v>
      </c>
      <c r="Z46" s="617">
        <f t="shared" ca="1" si="122"/>
        <v>0</v>
      </c>
      <c r="AA46" s="617">
        <f t="shared" ca="1" si="122"/>
        <v>0</v>
      </c>
      <c r="AB46" s="617">
        <f t="shared" ca="1" si="122"/>
        <v>0</v>
      </c>
      <c r="AC46" s="617">
        <f t="shared" ca="1" si="122"/>
        <v>0</v>
      </c>
      <c r="AD46" s="617">
        <f t="shared" ca="1" si="122"/>
        <v>0</v>
      </c>
      <c r="AE46" s="617">
        <f ca="1">AE45</f>
        <v>0</v>
      </c>
      <c r="AF46" s="617">
        <f t="shared" ca="1" si="122"/>
        <v>0</v>
      </c>
      <c r="AG46" s="617">
        <f t="shared" ca="1" si="122"/>
        <v>0</v>
      </c>
      <c r="AH46" s="617">
        <f ca="1">AH45</f>
        <v>0</v>
      </c>
      <c r="AI46" s="617">
        <f t="shared" ca="1" si="122"/>
        <v>0</v>
      </c>
      <c r="AJ46" s="617">
        <f t="shared" ca="1" si="122"/>
        <v>0</v>
      </c>
      <c r="AK46" s="617">
        <f ca="1">SUM(S46:AJ46)</f>
        <v>0</v>
      </c>
      <c r="AM46" s="623">
        <f t="shared" ref="AM46:BE46" ca="1" si="123">AM45</f>
        <v>0</v>
      </c>
      <c r="AN46" s="623">
        <f t="shared" ca="1" si="123"/>
        <v>0</v>
      </c>
      <c r="AO46" s="623">
        <f t="shared" ca="1" si="123"/>
        <v>0</v>
      </c>
      <c r="AP46" s="623">
        <f t="shared" ca="1" si="123"/>
        <v>0</v>
      </c>
      <c r="AQ46" s="623">
        <f t="shared" ca="1" si="123"/>
        <v>0</v>
      </c>
      <c r="AR46" s="623">
        <f t="shared" ca="1" si="123"/>
        <v>0</v>
      </c>
      <c r="AS46" s="623">
        <f t="shared" ca="1" si="123"/>
        <v>0</v>
      </c>
      <c r="AT46" s="623">
        <f t="shared" ca="1" si="123"/>
        <v>0</v>
      </c>
      <c r="AU46" s="623">
        <f t="shared" ca="1" si="123"/>
        <v>0</v>
      </c>
      <c r="AV46" s="623">
        <f t="shared" ca="1" si="123"/>
        <v>0</v>
      </c>
      <c r="AW46" s="623">
        <f t="shared" ca="1" si="123"/>
        <v>0</v>
      </c>
      <c r="AX46" s="623">
        <f t="shared" ca="1" si="123"/>
        <v>0</v>
      </c>
      <c r="AY46" s="623">
        <f t="shared" ca="1" si="123"/>
        <v>0</v>
      </c>
      <c r="AZ46" s="623">
        <f t="shared" ca="1" si="123"/>
        <v>0</v>
      </c>
      <c r="BA46" s="623">
        <f t="shared" ca="1" si="123"/>
        <v>0</v>
      </c>
      <c r="BB46" s="623">
        <f t="shared" ca="1" si="123"/>
        <v>0</v>
      </c>
      <c r="BC46" s="623">
        <f t="shared" ca="1" si="123"/>
        <v>0</v>
      </c>
      <c r="BD46" s="623">
        <f t="shared" ca="1" si="123"/>
        <v>0</v>
      </c>
      <c r="BE46" s="623">
        <f t="shared" ca="1" si="123"/>
        <v>0</v>
      </c>
      <c r="BF46" s="623">
        <f ca="1">SUM(AM46:BE46)</f>
        <v>0</v>
      </c>
      <c r="BH46" s="637">
        <f ca="1">BH45</f>
        <v>0</v>
      </c>
      <c r="BI46" s="637">
        <f ca="1">BI45</f>
        <v>0</v>
      </c>
      <c r="BJ46" s="637">
        <f ca="1">SUM(BH46:BI46)</f>
        <v>0</v>
      </c>
      <c r="BL46" s="497">
        <f ca="1">Q46+AK46+BF46+BJ46</f>
        <v>0</v>
      </c>
      <c r="BM46" s="497"/>
      <c r="BN46" s="555"/>
      <c r="BO46" s="945">
        <f t="shared" ref="BO46:DF46" ca="1" si="124">BO45</f>
        <v>0</v>
      </c>
      <c r="BP46" s="945">
        <f t="shared" ca="1" si="124"/>
        <v>0</v>
      </c>
      <c r="BQ46" s="945">
        <f t="shared" ca="1" si="124"/>
        <v>0</v>
      </c>
      <c r="BR46" s="945">
        <f t="shared" ca="1" si="124"/>
        <v>0</v>
      </c>
      <c r="BS46" s="945">
        <f t="shared" ca="1" si="124"/>
        <v>0</v>
      </c>
      <c r="BT46" s="945">
        <f t="shared" ca="1" si="124"/>
        <v>0</v>
      </c>
      <c r="BU46" s="945">
        <f t="shared" ca="1" si="124"/>
        <v>0</v>
      </c>
      <c r="BV46" s="945">
        <f t="shared" ca="1" si="124"/>
        <v>0</v>
      </c>
      <c r="BW46" s="945">
        <f t="shared" ca="1" si="124"/>
        <v>0</v>
      </c>
      <c r="BX46" s="945">
        <f t="shared" ca="1" si="124"/>
        <v>0</v>
      </c>
      <c r="BY46" s="945">
        <f t="shared" ca="1" si="124"/>
        <v>0</v>
      </c>
      <c r="BZ46" s="945">
        <f t="shared" ca="1" si="124"/>
        <v>0</v>
      </c>
      <c r="CA46" s="945">
        <f t="shared" ca="1" si="124"/>
        <v>0</v>
      </c>
      <c r="CB46" s="945">
        <f t="shared" ca="1" si="124"/>
        <v>0</v>
      </c>
      <c r="CC46" s="945">
        <f t="shared" ca="1" si="124"/>
        <v>0</v>
      </c>
      <c r="CD46" s="945">
        <f t="shared" ca="1" si="124"/>
        <v>0</v>
      </c>
      <c r="CE46" s="945">
        <f t="shared" ca="1" si="124"/>
        <v>0</v>
      </c>
      <c r="CF46" s="945">
        <f t="shared" ca="1" si="124"/>
        <v>0</v>
      </c>
      <c r="CG46" s="945">
        <f t="shared" ca="1" si="124"/>
        <v>0</v>
      </c>
      <c r="CH46" s="945">
        <f t="shared" ca="1" si="124"/>
        <v>0</v>
      </c>
      <c r="CI46" s="945">
        <f t="shared" ca="1" si="124"/>
        <v>0</v>
      </c>
      <c r="CJ46" s="945">
        <f t="shared" ca="1" si="124"/>
        <v>0</v>
      </c>
      <c r="CK46" s="945">
        <f t="shared" ca="1" si="124"/>
        <v>0</v>
      </c>
      <c r="CL46" s="945">
        <f t="shared" ca="1" si="124"/>
        <v>0</v>
      </c>
      <c r="CM46" s="945">
        <f t="shared" ca="1" si="124"/>
        <v>0</v>
      </c>
      <c r="CN46" s="945">
        <f t="shared" ca="1" si="124"/>
        <v>0</v>
      </c>
      <c r="CO46" s="945">
        <f t="shared" ca="1" si="124"/>
        <v>0</v>
      </c>
      <c r="CP46" s="945">
        <f t="shared" ca="1" si="124"/>
        <v>0</v>
      </c>
      <c r="CQ46" s="945">
        <f t="shared" ca="1" si="124"/>
        <v>0</v>
      </c>
      <c r="CR46" s="945">
        <f t="shared" ca="1" si="124"/>
        <v>0</v>
      </c>
      <c r="CS46" s="945">
        <f t="shared" ca="1" si="124"/>
        <v>0</v>
      </c>
      <c r="CT46" s="945">
        <f t="shared" ca="1" si="124"/>
        <v>0</v>
      </c>
      <c r="CU46" s="945">
        <f t="shared" ca="1" si="124"/>
        <v>0</v>
      </c>
      <c r="CV46" s="945">
        <f t="shared" ca="1" si="124"/>
        <v>0</v>
      </c>
      <c r="CW46" s="945">
        <f t="shared" ca="1" si="124"/>
        <v>0</v>
      </c>
      <c r="CX46" s="945">
        <f t="shared" ca="1" si="124"/>
        <v>0</v>
      </c>
      <c r="CY46" s="945">
        <f t="shared" ca="1" si="124"/>
        <v>0</v>
      </c>
      <c r="CZ46" s="945">
        <f t="shared" ca="1" si="124"/>
        <v>0</v>
      </c>
      <c r="DA46" s="945">
        <f t="shared" ca="1" si="124"/>
        <v>0</v>
      </c>
      <c r="DB46" s="945">
        <f t="shared" ca="1" si="124"/>
        <v>0</v>
      </c>
      <c r="DC46" s="945">
        <f t="shared" ca="1" si="124"/>
        <v>0</v>
      </c>
      <c r="DD46" s="945">
        <f t="shared" ca="1" si="124"/>
        <v>0</v>
      </c>
      <c r="DE46" s="945">
        <f t="shared" ca="1" si="124"/>
        <v>0</v>
      </c>
      <c r="DF46" s="945">
        <f t="shared" ca="1" si="124"/>
        <v>0</v>
      </c>
      <c r="DH46" s="553">
        <f t="shared" ref="DH46:DH82" ca="1" si="125">SUM(BO46:DF46)</f>
        <v>0</v>
      </c>
    </row>
    <row r="47" spans="1:112" s="522" customFormat="1" outlineLevel="1">
      <c r="C47" s="492"/>
      <c r="D47" s="493"/>
      <c r="E47" s="493"/>
      <c r="G47" s="605"/>
      <c r="H47" s="605"/>
      <c r="I47" s="605"/>
      <c r="J47" s="605"/>
      <c r="K47" s="607"/>
      <c r="L47" s="605"/>
      <c r="M47" s="605"/>
      <c r="N47" s="605"/>
      <c r="O47" s="605"/>
      <c r="P47" s="605"/>
      <c r="Q47" s="605"/>
      <c r="S47" s="617"/>
      <c r="T47" s="617"/>
      <c r="U47" s="617"/>
      <c r="V47" s="617"/>
      <c r="W47" s="617"/>
      <c r="X47" s="617"/>
      <c r="Y47" s="617"/>
      <c r="Z47" s="617"/>
      <c r="AA47" s="617"/>
      <c r="AB47" s="617"/>
      <c r="AC47" s="617"/>
      <c r="AD47" s="617"/>
      <c r="AE47" s="617"/>
      <c r="AF47" s="617"/>
      <c r="AG47" s="617"/>
      <c r="AH47" s="617"/>
      <c r="AI47" s="617"/>
      <c r="AJ47" s="617"/>
      <c r="AK47" s="617"/>
      <c r="AM47" s="623"/>
      <c r="AN47" s="623"/>
      <c r="AO47" s="623"/>
      <c r="AP47" s="623"/>
      <c r="AQ47" s="623"/>
      <c r="AR47" s="623"/>
      <c r="AS47" s="623"/>
      <c r="AT47" s="623"/>
      <c r="AU47" s="623"/>
      <c r="AV47" s="623"/>
      <c r="AW47" s="623"/>
      <c r="AX47" s="623"/>
      <c r="AY47" s="623"/>
      <c r="AZ47" s="623"/>
      <c r="BA47" s="623"/>
      <c r="BB47" s="623"/>
      <c r="BC47" s="623"/>
      <c r="BD47" s="623"/>
      <c r="BE47" s="623"/>
      <c r="BF47" s="623"/>
      <c r="BH47" s="637"/>
      <c r="BI47" s="637"/>
      <c r="BJ47" s="637"/>
      <c r="BL47" s="497">
        <f>Q47+AK47+BF47+BJ47</f>
        <v>0</v>
      </c>
      <c r="BM47" s="497"/>
      <c r="BO47" s="945"/>
      <c r="BP47" s="945"/>
      <c r="BQ47" s="945"/>
      <c r="BR47" s="945"/>
      <c r="BS47" s="945"/>
      <c r="BT47" s="945"/>
      <c r="BU47" s="945"/>
      <c r="BV47" s="945"/>
      <c r="BW47" s="945"/>
      <c r="BX47" s="945"/>
      <c r="BY47" s="945"/>
      <c r="BZ47" s="945"/>
      <c r="CA47" s="945"/>
      <c r="CB47" s="945"/>
      <c r="CC47" s="945"/>
      <c r="CD47" s="945"/>
      <c r="CE47" s="945"/>
      <c r="CF47" s="945"/>
      <c r="CG47" s="945"/>
      <c r="CH47" s="945"/>
      <c r="CI47" s="945"/>
      <c r="CJ47" s="945"/>
      <c r="CK47" s="945"/>
      <c r="CL47" s="945"/>
      <c r="CM47" s="945"/>
      <c r="CN47" s="945"/>
      <c r="CO47" s="945"/>
      <c r="CP47" s="945"/>
      <c r="CQ47" s="945"/>
      <c r="CR47" s="945"/>
      <c r="CS47" s="945"/>
      <c r="CT47" s="945"/>
      <c r="CU47" s="945"/>
      <c r="CV47" s="945"/>
      <c r="CW47" s="945"/>
      <c r="CX47" s="945"/>
      <c r="CY47" s="945"/>
      <c r="CZ47" s="945"/>
      <c r="DA47" s="945"/>
      <c r="DB47" s="945"/>
      <c r="DC47" s="945"/>
      <c r="DD47" s="945"/>
      <c r="DE47" s="945"/>
      <c r="DF47" s="945"/>
      <c r="DH47" s="553">
        <f t="shared" si="125"/>
        <v>0</v>
      </c>
    </row>
    <row r="48" spans="1:112" s="522" customFormat="1" outlineLevel="1">
      <c r="A48" s="947"/>
      <c r="B48" s="947"/>
      <c r="C48" s="524" t="s">
        <v>1175</v>
      </c>
      <c r="D48" s="503" t="str">
        <f>INDEX(Modules[Module], MATCH($C48, Modules[Code], 0))</f>
        <v>Marine algae</v>
      </c>
      <c r="E48" s="503"/>
      <c r="G48" s="663">
        <f t="shared" ref="G48:P49" ca="1" si="126">IFERROR(INDEX(INDIRECT($C48&amp;".Outputs["&amp;this.Year&amp;"]"), MATCH(G$5, INDIRECT($C48&amp;".Outputs[Vector]"), 0)), 0)</f>
        <v>0</v>
      </c>
      <c r="H48" s="663">
        <f t="shared" ca="1" si="126"/>
        <v>0</v>
      </c>
      <c r="I48" s="663">
        <f t="shared" ca="1" si="126"/>
        <v>0</v>
      </c>
      <c r="J48" s="663">
        <f t="shared" ca="1" si="126"/>
        <v>0</v>
      </c>
      <c r="K48" s="663">
        <f t="shared" ca="1" si="126"/>
        <v>0</v>
      </c>
      <c r="L48" s="663">
        <f t="shared" ca="1" si="126"/>
        <v>0</v>
      </c>
      <c r="M48" s="663">
        <f t="shared" ca="1" si="126"/>
        <v>0</v>
      </c>
      <c r="N48" s="663">
        <f t="shared" ca="1" si="126"/>
        <v>0</v>
      </c>
      <c r="O48" s="663">
        <f t="shared" ca="1" si="126"/>
        <v>0</v>
      </c>
      <c r="P48" s="663">
        <f t="shared" ca="1" si="126"/>
        <v>0</v>
      </c>
      <c r="Q48" s="665">
        <f ca="1">SUM(G48:P48)</f>
        <v>0</v>
      </c>
      <c r="S48" s="672">
        <f t="shared" ref="S48:BE49" ca="1" si="127">IFERROR(INDEX(INDIRECT($C48&amp;".Outputs["&amp;this.Year&amp;"]"), MATCH(S$5, INDIRECT($C48&amp;".Outputs[Vector]"), 0)), 0)</f>
        <v>0</v>
      </c>
      <c r="T48" s="672">
        <f t="shared" ca="1" si="127"/>
        <v>0</v>
      </c>
      <c r="U48" s="672">
        <f t="shared" ca="1" si="127"/>
        <v>0</v>
      </c>
      <c r="V48" s="672">
        <f t="shared" ca="1" si="127"/>
        <v>0</v>
      </c>
      <c r="W48" s="672">
        <f t="shared" ca="1" si="127"/>
        <v>0</v>
      </c>
      <c r="X48" s="672">
        <f t="shared" ref="X48:Z50" ca="1" si="128">IFERROR(INDEX(INDIRECT($C48&amp;".Outputs["&amp;this.Year&amp;"]"), MATCH(X$5, INDIRECT($C48&amp;".Outputs[Vector]"), 0)), 0)</f>
        <v>0</v>
      </c>
      <c r="Y48" s="672">
        <f t="shared" ca="1" si="128"/>
        <v>0</v>
      </c>
      <c r="Z48" s="672">
        <f t="shared" ca="1" si="128"/>
        <v>0</v>
      </c>
      <c r="AA48" s="672">
        <f t="shared" ca="1" si="127"/>
        <v>0</v>
      </c>
      <c r="AB48" s="672">
        <f t="shared" ca="1" si="127"/>
        <v>0</v>
      </c>
      <c r="AC48" s="672">
        <f t="shared" ca="1" si="127"/>
        <v>0</v>
      </c>
      <c r="AD48" s="672">
        <f t="shared" ca="1" si="127"/>
        <v>0</v>
      </c>
      <c r="AE48" s="672">
        <f t="shared" ca="1" si="127"/>
        <v>0</v>
      </c>
      <c r="AF48" s="672">
        <f t="shared" ca="1" si="127"/>
        <v>0</v>
      </c>
      <c r="AG48" s="672">
        <f t="shared" ca="1" si="127"/>
        <v>0</v>
      </c>
      <c r="AH48" s="672">
        <f t="shared" ca="1" si="127"/>
        <v>0</v>
      </c>
      <c r="AI48" s="672">
        <f t="shared" ca="1" si="127"/>
        <v>0</v>
      </c>
      <c r="AJ48" s="672">
        <f t="shared" ca="1" si="127"/>
        <v>0</v>
      </c>
      <c r="AK48" s="673">
        <f ca="1">SUM(S48:AJ48)</f>
        <v>0</v>
      </c>
      <c r="AM48" s="684">
        <f t="shared" ref="AM48:AU50" ca="1" si="129">IFERROR(INDEX(INDIRECT($C48&amp;".Outputs["&amp;this.Year&amp;"]"), MATCH(AM$5, INDIRECT($C48&amp;".Outputs[Vector]"), 0)), 0)</f>
        <v>0</v>
      </c>
      <c r="AN48" s="684">
        <f t="shared" ca="1" si="129"/>
        <v>0</v>
      </c>
      <c r="AO48" s="684">
        <f t="shared" ca="1" si="129"/>
        <v>0</v>
      </c>
      <c r="AP48" s="684">
        <f t="shared" ca="1" si="129"/>
        <v>0</v>
      </c>
      <c r="AQ48" s="684">
        <f t="shared" ca="1" si="129"/>
        <v>0</v>
      </c>
      <c r="AR48" s="684">
        <f t="shared" ca="1" si="129"/>
        <v>0</v>
      </c>
      <c r="AS48" s="684">
        <f t="shared" ca="1" si="129"/>
        <v>0</v>
      </c>
      <c r="AT48" s="684">
        <f t="shared" ca="1" si="129"/>
        <v>0</v>
      </c>
      <c r="AU48" s="684">
        <f t="shared" ca="1" si="129"/>
        <v>0</v>
      </c>
      <c r="AV48" s="684">
        <f t="shared" ca="1" si="127"/>
        <v>0</v>
      </c>
      <c r="AW48" s="684">
        <f t="shared" ca="1" si="127"/>
        <v>0</v>
      </c>
      <c r="AX48" s="684">
        <f t="shared" ca="1" si="127"/>
        <v>0</v>
      </c>
      <c r="AY48" s="684">
        <f t="shared" ca="1" si="127"/>
        <v>0</v>
      </c>
      <c r="AZ48" s="684">
        <f t="shared" ca="1" si="127"/>
        <v>0</v>
      </c>
      <c r="BA48" s="684">
        <f t="shared" ca="1" si="127"/>
        <v>0</v>
      </c>
      <c r="BB48" s="684">
        <f t="shared" ca="1" si="127"/>
        <v>0</v>
      </c>
      <c r="BC48" s="684">
        <f t="shared" ca="1" si="127"/>
        <v>0</v>
      </c>
      <c r="BD48" s="684">
        <f t="shared" ca="1" si="127"/>
        <v>0</v>
      </c>
      <c r="BE48" s="684">
        <f t="shared" ca="1" si="127"/>
        <v>0</v>
      </c>
      <c r="BF48" s="626">
        <f ca="1">SUM(AM48:BE48)</f>
        <v>0</v>
      </c>
      <c r="BH48" s="678">
        <f t="shared" ref="BH48:BI50" ca="1" si="130">IFERROR(INDEX(INDIRECT($C48&amp;".Outputs["&amp;this.Year&amp;"]"), MATCH(BH$5, INDIRECT($C48&amp;".Outputs[Vector]"), 0)), 0)</f>
        <v>0</v>
      </c>
      <c r="BI48" s="678">
        <f t="shared" ca="1" si="130"/>
        <v>0</v>
      </c>
      <c r="BJ48" s="680">
        <f ca="1">SUM(BH48:BI48)</f>
        <v>0</v>
      </c>
      <c r="BL48" s="547"/>
      <c r="BM48" s="547"/>
      <c r="BN48" s="555"/>
      <c r="BO48" s="944">
        <f t="shared" ref="BO48:BX50" ca="1" si="131">IFERROR(SUMIFS(INDIRECT($C48&amp;".Emissions["&amp;this.Year&amp;"]"), INDIRECT($C48&amp;".Emissions[GHG]"), BO$6, INDIRECT($C48&amp;".Emissions[IPCC Sector]"), BO$5),0)</f>
        <v>0</v>
      </c>
      <c r="BP48" s="945">
        <f t="shared" ca="1" si="131"/>
        <v>0</v>
      </c>
      <c r="BQ48" s="945">
        <f t="shared" ca="1" si="131"/>
        <v>0</v>
      </c>
      <c r="BR48" s="945">
        <f t="shared" ca="1" si="131"/>
        <v>0</v>
      </c>
      <c r="BS48" s="945">
        <f t="shared" ca="1" si="131"/>
        <v>0</v>
      </c>
      <c r="BT48" s="945">
        <f t="shared" ca="1" si="131"/>
        <v>0</v>
      </c>
      <c r="BU48" s="945">
        <f t="shared" ca="1" si="131"/>
        <v>0</v>
      </c>
      <c r="BV48" s="945">
        <f t="shared" ca="1" si="131"/>
        <v>0</v>
      </c>
      <c r="BW48" s="945">
        <f t="shared" ca="1" si="131"/>
        <v>0</v>
      </c>
      <c r="BX48" s="945">
        <f t="shared" ca="1" si="131"/>
        <v>0</v>
      </c>
      <c r="BY48" s="945">
        <f t="shared" ref="BY48:CH50" ca="1" si="132">IFERROR(SUMIFS(INDIRECT($C48&amp;".Emissions["&amp;this.Year&amp;"]"), INDIRECT($C48&amp;".Emissions[GHG]"), BY$6, INDIRECT($C48&amp;".Emissions[IPCC Sector]"), BY$5),0)</f>
        <v>0</v>
      </c>
      <c r="BZ48" s="945">
        <f t="shared" ca="1" si="132"/>
        <v>0</v>
      </c>
      <c r="CA48" s="945">
        <f t="shared" ca="1" si="132"/>
        <v>0</v>
      </c>
      <c r="CB48" s="945">
        <f t="shared" ca="1" si="132"/>
        <v>0</v>
      </c>
      <c r="CC48" s="945">
        <f t="shared" ca="1" si="132"/>
        <v>0</v>
      </c>
      <c r="CD48" s="945">
        <f t="shared" ca="1" si="132"/>
        <v>0</v>
      </c>
      <c r="CE48" s="945">
        <f t="shared" ca="1" si="132"/>
        <v>0</v>
      </c>
      <c r="CF48" s="945">
        <f t="shared" ca="1" si="132"/>
        <v>0</v>
      </c>
      <c r="CG48" s="945">
        <f t="shared" ca="1" si="132"/>
        <v>0</v>
      </c>
      <c r="CH48" s="945">
        <f t="shared" ca="1" si="132"/>
        <v>0</v>
      </c>
      <c r="CI48" s="945">
        <f t="shared" ref="CI48:CR50" ca="1" si="133">IFERROR(SUMIFS(INDIRECT($C48&amp;".Emissions["&amp;this.Year&amp;"]"), INDIRECT($C48&amp;".Emissions[GHG]"), CI$6, INDIRECT($C48&amp;".Emissions[IPCC Sector]"), CI$5),0)</f>
        <v>0</v>
      </c>
      <c r="CJ48" s="945">
        <f t="shared" ca="1" si="133"/>
        <v>0</v>
      </c>
      <c r="CK48" s="945">
        <f t="shared" ca="1" si="133"/>
        <v>0</v>
      </c>
      <c r="CL48" s="945">
        <f t="shared" ca="1" si="133"/>
        <v>0</v>
      </c>
      <c r="CM48" s="945">
        <f t="shared" ca="1" si="133"/>
        <v>0</v>
      </c>
      <c r="CN48" s="945">
        <f t="shared" ca="1" si="133"/>
        <v>0</v>
      </c>
      <c r="CO48" s="945">
        <f t="shared" ca="1" si="133"/>
        <v>0</v>
      </c>
      <c r="CP48" s="945">
        <f t="shared" ca="1" si="133"/>
        <v>0</v>
      </c>
      <c r="CQ48" s="945">
        <f t="shared" ca="1" si="133"/>
        <v>0</v>
      </c>
      <c r="CR48" s="945">
        <f t="shared" ca="1" si="133"/>
        <v>0</v>
      </c>
      <c r="CS48" s="945">
        <f t="shared" ref="CS48:DF50" ca="1" si="134">IFERROR(SUMIFS(INDIRECT($C48&amp;".Emissions["&amp;this.Year&amp;"]"), INDIRECT($C48&amp;".Emissions[GHG]"), CS$6, INDIRECT($C48&amp;".Emissions[IPCC Sector]"), CS$5),0)</f>
        <v>0</v>
      </c>
      <c r="CT48" s="945">
        <f t="shared" ca="1" si="134"/>
        <v>0</v>
      </c>
      <c r="CU48" s="945">
        <f t="shared" ca="1" si="134"/>
        <v>0</v>
      </c>
      <c r="CV48" s="945">
        <f t="shared" ca="1" si="134"/>
        <v>0</v>
      </c>
      <c r="CW48" s="945">
        <f t="shared" ca="1" si="134"/>
        <v>0</v>
      </c>
      <c r="CX48" s="945">
        <f t="shared" ca="1" si="134"/>
        <v>0</v>
      </c>
      <c r="CY48" s="945">
        <f t="shared" ca="1" si="134"/>
        <v>0</v>
      </c>
      <c r="CZ48" s="945">
        <f t="shared" ca="1" si="134"/>
        <v>0</v>
      </c>
      <c r="DA48" s="945">
        <f t="shared" ca="1" si="134"/>
        <v>0</v>
      </c>
      <c r="DB48" s="945">
        <f t="shared" ca="1" si="134"/>
        <v>0</v>
      </c>
      <c r="DC48" s="945">
        <f t="shared" ca="1" si="134"/>
        <v>0</v>
      </c>
      <c r="DD48" s="945">
        <f t="shared" ca="1" si="134"/>
        <v>0</v>
      </c>
      <c r="DE48" s="945">
        <f t="shared" ca="1" si="134"/>
        <v>0</v>
      </c>
      <c r="DF48" s="945">
        <f t="shared" ca="1" si="134"/>
        <v>0</v>
      </c>
      <c r="DH48" s="553">
        <f ca="1">SUM(BO48:DF48)</f>
        <v>0</v>
      </c>
    </row>
    <row r="49" spans="1:112" s="522" customFormat="1" outlineLevel="1">
      <c r="A49" s="947"/>
      <c r="B49" s="947"/>
      <c r="C49" s="524" t="s">
        <v>745</v>
      </c>
      <c r="D49" s="503" t="str">
        <f>INDEX(Modules[Module], MATCH($C49, Modules[Code], 0))</f>
        <v>Volume of Waste &amp; Recycling</v>
      </c>
      <c r="E49" s="503"/>
      <c r="G49" s="663">
        <f t="shared" ca="1" si="126"/>
        <v>0</v>
      </c>
      <c r="H49" s="663">
        <f t="shared" ca="1" si="126"/>
        <v>0</v>
      </c>
      <c r="I49" s="663">
        <f t="shared" ca="1" si="126"/>
        <v>0</v>
      </c>
      <c r="J49" s="663">
        <f t="shared" ca="1" si="126"/>
        <v>0</v>
      </c>
      <c r="K49" s="663">
        <f t="shared" ca="1" si="126"/>
        <v>0</v>
      </c>
      <c r="L49" s="663">
        <f t="shared" ca="1" si="126"/>
        <v>0</v>
      </c>
      <c r="M49" s="663">
        <f t="shared" ca="1" si="126"/>
        <v>0</v>
      </c>
      <c r="N49" s="663">
        <f t="shared" ca="1" si="126"/>
        <v>0</v>
      </c>
      <c r="O49" s="663">
        <f t="shared" ca="1" si="126"/>
        <v>0</v>
      </c>
      <c r="P49" s="663">
        <f t="shared" ca="1" si="126"/>
        <v>0</v>
      </c>
      <c r="Q49" s="665">
        <f ca="1">SUM(G49:P49)</f>
        <v>0</v>
      </c>
      <c r="S49" s="672">
        <f t="shared" ca="1" si="127"/>
        <v>0</v>
      </c>
      <c r="T49" s="672">
        <f t="shared" ca="1" si="127"/>
        <v>0</v>
      </c>
      <c r="U49" s="672">
        <f t="shared" ca="1" si="127"/>
        <v>0</v>
      </c>
      <c r="V49" s="672">
        <f t="shared" ca="1" si="127"/>
        <v>0</v>
      </c>
      <c r="W49" s="672">
        <f t="shared" ca="1" si="127"/>
        <v>0</v>
      </c>
      <c r="X49" s="672">
        <f t="shared" ca="1" si="128"/>
        <v>0</v>
      </c>
      <c r="Y49" s="672">
        <f t="shared" ca="1" si="128"/>
        <v>0</v>
      </c>
      <c r="Z49" s="672">
        <f t="shared" ca="1" si="128"/>
        <v>0</v>
      </c>
      <c r="AA49" s="672">
        <f t="shared" ca="1" si="127"/>
        <v>0</v>
      </c>
      <c r="AB49" s="672">
        <f t="shared" ca="1" si="127"/>
        <v>0</v>
      </c>
      <c r="AC49" s="672">
        <f t="shared" ca="1" si="127"/>
        <v>0</v>
      </c>
      <c r="AD49" s="672">
        <f t="shared" ca="1" si="127"/>
        <v>0</v>
      </c>
      <c r="AE49" s="672">
        <f t="shared" ca="1" si="127"/>
        <v>0</v>
      </c>
      <c r="AF49" s="672">
        <f t="shared" ca="1" si="127"/>
        <v>0</v>
      </c>
      <c r="AG49" s="672">
        <f t="shared" ca="1" si="127"/>
        <v>0</v>
      </c>
      <c r="AH49" s="672">
        <f t="shared" ca="1" si="127"/>
        <v>0</v>
      </c>
      <c r="AI49" s="672">
        <f t="shared" ca="1" si="127"/>
        <v>0</v>
      </c>
      <c r="AJ49" s="672">
        <f t="shared" ca="1" si="127"/>
        <v>0</v>
      </c>
      <c r="AK49" s="673">
        <f ca="1">SUM(S49:AJ49)</f>
        <v>0</v>
      </c>
      <c r="AM49" s="684">
        <f t="shared" ca="1" si="129"/>
        <v>0</v>
      </c>
      <c r="AN49" s="684">
        <f t="shared" ca="1" si="129"/>
        <v>0</v>
      </c>
      <c r="AO49" s="684">
        <f t="shared" ca="1" si="129"/>
        <v>0</v>
      </c>
      <c r="AP49" s="684">
        <f t="shared" ca="1" si="129"/>
        <v>0</v>
      </c>
      <c r="AQ49" s="684">
        <f t="shared" ca="1" si="129"/>
        <v>0</v>
      </c>
      <c r="AR49" s="684">
        <f t="shared" ca="1" si="129"/>
        <v>0</v>
      </c>
      <c r="AS49" s="684">
        <f t="shared" ca="1" si="129"/>
        <v>0</v>
      </c>
      <c r="AT49" s="684">
        <f t="shared" ca="1" si="129"/>
        <v>0</v>
      </c>
      <c r="AU49" s="684">
        <f t="shared" ca="1" si="129"/>
        <v>0</v>
      </c>
      <c r="AV49" s="684">
        <f t="shared" ca="1" si="127"/>
        <v>0</v>
      </c>
      <c r="AW49" s="684">
        <f t="shared" ca="1" si="127"/>
        <v>0</v>
      </c>
      <c r="AX49" s="684">
        <f t="shared" ca="1" si="127"/>
        <v>0</v>
      </c>
      <c r="AY49" s="684">
        <f t="shared" ca="1" si="127"/>
        <v>0</v>
      </c>
      <c r="AZ49" s="684">
        <f t="shared" ca="1" si="127"/>
        <v>0</v>
      </c>
      <c r="BA49" s="684">
        <f t="shared" ca="1" si="127"/>
        <v>0</v>
      </c>
      <c r="BB49" s="684">
        <f t="shared" ca="1" si="127"/>
        <v>0</v>
      </c>
      <c r="BC49" s="684">
        <f t="shared" ca="1" si="127"/>
        <v>0</v>
      </c>
      <c r="BD49" s="684">
        <f t="shared" ca="1" si="127"/>
        <v>0</v>
      </c>
      <c r="BE49" s="684">
        <f t="shared" ca="1" si="127"/>
        <v>0</v>
      </c>
      <c r="BF49" s="626">
        <f ca="1">SUM(AM49:BE49)</f>
        <v>0</v>
      </c>
      <c r="BH49" s="678">
        <f t="shared" ca="1" si="130"/>
        <v>0</v>
      </c>
      <c r="BI49" s="678">
        <f t="shared" ca="1" si="130"/>
        <v>0</v>
      </c>
      <c r="BJ49" s="680">
        <f ca="1">SUM(BH49:BI49)</f>
        <v>0</v>
      </c>
      <c r="BL49" s="547"/>
      <c r="BM49" s="547"/>
      <c r="BN49" s="555"/>
      <c r="BO49" s="944">
        <f t="shared" ca="1" si="131"/>
        <v>0</v>
      </c>
      <c r="BP49" s="945">
        <f t="shared" ca="1" si="131"/>
        <v>0</v>
      </c>
      <c r="BQ49" s="945">
        <f t="shared" ca="1" si="131"/>
        <v>0</v>
      </c>
      <c r="BR49" s="945">
        <f t="shared" ca="1" si="131"/>
        <v>0</v>
      </c>
      <c r="BS49" s="945">
        <f t="shared" ca="1" si="131"/>
        <v>0</v>
      </c>
      <c r="BT49" s="945">
        <f t="shared" ca="1" si="131"/>
        <v>0</v>
      </c>
      <c r="BU49" s="945">
        <f t="shared" ca="1" si="131"/>
        <v>0</v>
      </c>
      <c r="BV49" s="945">
        <f t="shared" ca="1" si="131"/>
        <v>0</v>
      </c>
      <c r="BW49" s="945">
        <f t="shared" ca="1" si="131"/>
        <v>0</v>
      </c>
      <c r="BX49" s="945">
        <f t="shared" ca="1" si="131"/>
        <v>0</v>
      </c>
      <c r="BY49" s="945">
        <f t="shared" ca="1" si="132"/>
        <v>0</v>
      </c>
      <c r="BZ49" s="945">
        <f t="shared" ca="1" si="132"/>
        <v>0</v>
      </c>
      <c r="CA49" s="945">
        <f t="shared" ca="1" si="132"/>
        <v>0</v>
      </c>
      <c r="CB49" s="945">
        <f t="shared" ca="1" si="132"/>
        <v>0</v>
      </c>
      <c r="CC49" s="945">
        <f t="shared" ca="1" si="132"/>
        <v>0</v>
      </c>
      <c r="CD49" s="945">
        <f t="shared" ca="1" si="132"/>
        <v>0</v>
      </c>
      <c r="CE49" s="945">
        <f t="shared" ca="1" si="132"/>
        <v>0</v>
      </c>
      <c r="CF49" s="945">
        <f t="shared" ca="1" si="132"/>
        <v>0</v>
      </c>
      <c r="CG49" s="945">
        <f t="shared" ca="1" si="132"/>
        <v>0</v>
      </c>
      <c r="CH49" s="945">
        <f t="shared" ca="1" si="132"/>
        <v>0</v>
      </c>
      <c r="CI49" s="945">
        <f t="shared" ca="1" si="133"/>
        <v>0</v>
      </c>
      <c r="CJ49" s="945">
        <f t="shared" ca="1" si="133"/>
        <v>0</v>
      </c>
      <c r="CK49" s="945">
        <f t="shared" ca="1" si="133"/>
        <v>0</v>
      </c>
      <c r="CL49" s="945">
        <f t="shared" ca="1" si="133"/>
        <v>0</v>
      </c>
      <c r="CM49" s="945">
        <f t="shared" ca="1" si="133"/>
        <v>0</v>
      </c>
      <c r="CN49" s="945">
        <f t="shared" ca="1" si="133"/>
        <v>0</v>
      </c>
      <c r="CO49" s="945">
        <f t="shared" ca="1" si="133"/>
        <v>0</v>
      </c>
      <c r="CP49" s="945">
        <f t="shared" ca="1" si="133"/>
        <v>0</v>
      </c>
      <c r="CQ49" s="945">
        <f t="shared" ca="1" si="133"/>
        <v>0</v>
      </c>
      <c r="CR49" s="945">
        <f t="shared" ca="1" si="133"/>
        <v>0</v>
      </c>
      <c r="CS49" s="945">
        <f t="shared" ca="1" si="134"/>
        <v>0</v>
      </c>
      <c r="CT49" s="945">
        <f t="shared" ca="1" si="134"/>
        <v>0</v>
      </c>
      <c r="CU49" s="945">
        <f t="shared" ca="1" si="134"/>
        <v>0</v>
      </c>
      <c r="CV49" s="945">
        <f t="shared" ca="1" si="134"/>
        <v>0</v>
      </c>
      <c r="CW49" s="945">
        <f t="shared" ca="1" si="134"/>
        <v>0</v>
      </c>
      <c r="CX49" s="945">
        <f t="shared" ca="1" si="134"/>
        <v>0</v>
      </c>
      <c r="CY49" s="945">
        <f t="shared" ca="1" si="134"/>
        <v>0</v>
      </c>
      <c r="CZ49" s="945">
        <f t="shared" ca="1" si="134"/>
        <v>0</v>
      </c>
      <c r="DA49" s="945">
        <f t="shared" ca="1" si="134"/>
        <v>0</v>
      </c>
      <c r="DB49" s="945">
        <f t="shared" ca="1" si="134"/>
        <v>0</v>
      </c>
      <c r="DC49" s="945">
        <f t="shared" ca="1" si="134"/>
        <v>0</v>
      </c>
      <c r="DD49" s="945">
        <f t="shared" ca="1" si="134"/>
        <v>0</v>
      </c>
      <c r="DE49" s="945">
        <f t="shared" ca="1" si="134"/>
        <v>0</v>
      </c>
      <c r="DF49" s="945">
        <f t="shared" ca="1" si="134"/>
        <v>0</v>
      </c>
      <c r="DH49" s="553">
        <f t="shared" ca="1" si="125"/>
        <v>0</v>
      </c>
    </row>
    <row r="50" spans="1:112" s="522" customFormat="1" ht="12.75" customHeight="1" outlineLevel="1">
      <c r="A50" s="947"/>
      <c r="B50" s="947"/>
      <c r="C50" s="524" t="s">
        <v>717</v>
      </c>
      <c r="D50" s="656" t="str">
        <f>INDEX(Modules[Module], MATCH($C50, Modules[Code], 0))</f>
        <v>Agriculture and land use</v>
      </c>
      <c r="E50" s="656"/>
      <c r="G50" s="668">
        <f t="shared" ref="G50:P50" ca="1" si="135">IFERROR(INDEX(INDIRECT($C50&amp;".Outputs["&amp;this.Year&amp;"]"), MATCH(G$5, INDIRECT($C50&amp;".Outputs[Vector]"), 0)), 0)</f>
        <v>0</v>
      </c>
      <c r="H50" s="668">
        <f t="shared" ca="1" si="135"/>
        <v>0</v>
      </c>
      <c r="I50" s="668">
        <f t="shared" ca="1" si="135"/>
        <v>0</v>
      </c>
      <c r="J50" s="668">
        <f t="shared" ca="1" si="135"/>
        <v>0</v>
      </c>
      <c r="K50" s="668">
        <f t="shared" ca="1" si="135"/>
        <v>0</v>
      </c>
      <c r="L50" s="668">
        <f t="shared" ca="1" si="135"/>
        <v>0</v>
      </c>
      <c r="M50" s="668">
        <f t="shared" ca="1" si="135"/>
        <v>0</v>
      </c>
      <c r="N50" s="668">
        <f t="shared" ca="1" si="135"/>
        <v>0</v>
      </c>
      <c r="O50" s="668">
        <f t="shared" ca="1" si="135"/>
        <v>0</v>
      </c>
      <c r="P50" s="668">
        <f t="shared" ca="1" si="135"/>
        <v>0</v>
      </c>
      <c r="Q50" s="666">
        <f ca="1">SUM(G50:P50)</f>
        <v>0</v>
      </c>
      <c r="S50" s="677">
        <f t="shared" ref="S50:AJ50" ca="1" si="136">IFERROR(INDEX(INDIRECT($C50&amp;".Outputs["&amp;this.Year&amp;"]"), MATCH(S$5, INDIRECT($C50&amp;".Outputs[Vector]"), 0)), 0)</f>
        <v>0</v>
      </c>
      <c r="T50" s="677">
        <f t="shared" ca="1" si="136"/>
        <v>0</v>
      </c>
      <c r="U50" s="677">
        <f t="shared" ca="1" si="136"/>
        <v>0</v>
      </c>
      <c r="V50" s="677">
        <f t="shared" ca="1" si="136"/>
        <v>0</v>
      </c>
      <c r="W50" s="677">
        <f t="shared" ca="1" si="136"/>
        <v>0</v>
      </c>
      <c r="X50" s="677">
        <f t="shared" ca="1" si="128"/>
        <v>0</v>
      </c>
      <c r="Y50" s="677">
        <f t="shared" ca="1" si="128"/>
        <v>0</v>
      </c>
      <c r="Z50" s="677">
        <f t="shared" ca="1" si="128"/>
        <v>0</v>
      </c>
      <c r="AA50" s="677">
        <f t="shared" ca="1" si="136"/>
        <v>0</v>
      </c>
      <c r="AB50" s="677">
        <f t="shared" ca="1" si="136"/>
        <v>0</v>
      </c>
      <c r="AC50" s="677">
        <f t="shared" ca="1" si="136"/>
        <v>0</v>
      </c>
      <c r="AD50" s="677">
        <f t="shared" ca="1" si="136"/>
        <v>0</v>
      </c>
      <c r="AE50" s="677">
        <f t="shared" ca="1" si="136"/>
        <v>0</v>
      </c>
      <c r="AF50" s="677">
        <f t="shared" ca="1" si="136"/>
        <v>0</v>
      </c>
      <c r="AG50" s="677">
        <f t="shared" ca="1" si="136"/>
        <v>0</v>
      </c>
      <c r="AH50" s="677">
        <f t="shared" ca="1" si="136"/>
        <v>0</v>
      </c>
      <c r="AI50" s="677">
        <f t="shared" ca="1" si="136"/>
        <v>0</v>
      </c>
      <c r="AJ50" s="677">
        <f t="shared" ca="1" si="136"/>
        <v>0</v>
      </c>
      <c r="AK50" s="676">
        <f ca="1">SUM(S50:AJ50)</f>
        <v>0</v>
      </c>
      <c r="AM50" s="688">
        <f t="shared" ca="1" si="129"/>
        <v>0</v>
      </c>
      <c r="AN50" s="688">
        <f t="shared" ca="1" si="129"/>
        <v>0</v>
      </c>
      <c r="AO50" s="688">
        <f t="shared" ca="1" si="129"/>
        <v>0</v>
      </c>
      <c r="AP50" s="688">
        <f t="shared" ca="1" si="129"/>
        <v>0</v>
      </c>
      <c r="AQ50" s="688">
        <f t="shared" ca="1" si="129"/>
        <v>0</v>
      </c>
      <c r="AR50" s="688">
        <f t="shared" ca="1" si="129"/>
        <v>0</v>
      </c>
      <c r="AS50" s="688">
        <f t="shared" ca="1" si="129"/>
        <v>0</v>
      </c>
      <c r="AT50" s="688">
        <f t="shared" ca="1" si="129"/>
        <v>0</v>
      </c>
      <c r="AU50" s="688">
        <f t="shared" ca="1" si="129"/>
        <v>0</v>
      </c>
      <c r="AV50" s="688">
        <f t="shared" ref="AV50:BE50" ca="1" si="137">IFERROR(INDEX(INDIRECT($C50&amp;".Outputs["&amp;this.Year&amp;"]"), MATCH(AV$5, INDIRECT($C50&amp;".Outputs[Vector]"), 0)), 0)</f>
        <v>0</v>
      </c>
      <c r="AW50" s="688">
        <f t="shared" ca="1" si="137"/>
        <v>0</v>
      </c>
      <c r="AX50" s="688">
        <f t="shared" ca="1" si="137"/>
        <v>0</v>
      </c>
      <c r="AY50" s="688">
        <f t="shared" ca="1" si="137"/>
        <v>0</v>
      </c>
      <c r="AZ50" s="688">
        <f t="shared" ca="1" si="137"/>
        <v>0</v>
      </c>
      <c r="BA50" s="688">
        <f t="shared" ca="1" si="137"/>
        <v>0</v>
      </c>
      <c r="BB50" s="688">
        <f t="shared" ca="1" si="137"/>
        <v>0</v>
      </c>
      <c r="BC50" s="688">
        <f t="shared" ca="1" si="137"/>
        <v>0</v>
      </c>
      <c r="BD50" s="688">
        <f t="shared" ca="1" si="137"/>
        <v>0</v>
      </c>
      <c r="BE50" s="688">
        <f t="shared" ca="1" si="137"/>
        <v>0</v>
      </c>
      <c r="BF50" s="658">
        <f ca="1">SUM(AM50:BE50)</f>
        <v>0</v>
      </c>
      <c r="BH50" s="682">
        <f t="shared" ca="1" si="130"/>
        <v>0</v>
      </c>
      <c r="BI50" s="682">
        <f t="shared" ca="1" si="130"/>
        <v>0</v>
      </c>
      <c r="BJ50" s="681">
        <f ca="1">SUM(BH50:BI50)</f>
        <v>0</v>
      </c>
      <c r="BL50" s="547">
        <f ca="1">Q50+AK50+BF50+BJ50</f>
        <v>0</v>
      </c>
      <c r="BM50" s="547"/>
      <c r="BN50" s="555"/>
      <c r="BO50" s="948">
        <f t="shared" ca="1" si="131"/>
        <v>0</v>
      </c>
      <c r="BP50" s="949">
        <f t="shared" ca="1" si="131"/>
        <v>0</v>
      </c>
      <c r="BQ50" s="949">
        <f t="shared" ca="1" si="131"/>
        <v>0</v>
      </c>
      <c r="BR50" s="949">
        <f t="shared" ca="1" si="131"/>
        <v>0</v>
      </c>
      <c r="BS50" s="949">
        <f t="shared" ca="1" si="131"/>
        <v>0</v>
      </c>
      <c r="BT50" s="949">
        <f t="shared" ca="1" si="131"/>
        <v>0</v>
      </c>
      <c r="BU50" s="949">
        <f t="shared" ca="1" si="131"/>
        <v>0</v>
      </c>
      <c r="BV50" s="949">
        <f t="shared" ca="1" si="131"/>
        <v>0</v>
      </c>
      <c r="BW50" s="949">
        <f t="shared" ca="1" si="131"/>
        <v>0</v>
      </c>
      <c r="BX50" s="949">
        <f t="shared" ca="1" si="131"/>
        <v>0</v>
      </c>
      <c r="BY50" s="949">
        <f t="shared" ca="1" si="132"/>
        <v>0</v>
      </c>
      <c r="BZ50" s="949">
        <f t="shared" ca="1" si="132"/>
        <v>0</v>
      </c>
      <c r="CA50" s="949">
        <f t="shared" ca="1" si="132"/>
        <v>0</v>
      </c>
      <c r="CB50" s="949">
        <f t="shared" ca="1" si="132"/>
        <v>0</v>
      </c>
      <c r="CC50" s="949">
        <f t="shared" ca="1" si="132"/>
        <v>0</v>
      </c>
      <c r="CD50" s="949">
        <f t="shared" ca="1" si="132"/>
        <v>0</v>
      </c>
      <c r="CE50" s="949">
        <f t="shared" ca="1" si="132"/>
        <v>0</v>
      </c>
      <c r="CF50" s="949">
        <f t="shared" ca="1" si="132"/>
        <v>0</v>
      </c>
      <c r="CG50" s="949">
        <f t="shared" ca="1" si="132"/>
        <v>0</v>
      </c>
      <c r="CH50" s="949">
        <f t="shared" ca="1" si="132"/>
        <v>0</v>
      </c>
      <c r="CI50" s="949">
        <f t="shared" ca="1" si="133"/>
        <v>0</v>
      </c>
      <c r="CJ50" s="949">
        <f t="shared" ca="1" si="133"/>
        <v>0</v>
      </c>
      <c r="CK50" s="949">
        <f t="shared" ca="1" si="133"/>
        <v>0</v>
      </c>
      <c r="CL50" s="949">
        <f t="shared" ca="1" si="133"/>
        <v>0</v>
      </c>
      <c r="CM50" s="949">
        <f t="shared" ca="1" si="133"/>
        <v>0</v>
      </c>
      <c r="CN50" s="949">
        <f t="shared" ca="1" si="133"/>
        <v>0</v>
      </c>
      <c r="CO50" s="949">
        <f t="shared" ca="1" si="133"/>
        <v>0</v>
      </c>
      <c r="CP50" s="949">
        <f t="shared" ca="1" si="133"/>
        <v>0</v>
      </c>
      <c r="CQ50" s="949">
        <f t="shared" ca="1" si="133"/>
        <v>0</v>
      </c>
      <c r="CR50" s="949">
        <f t="shared" ca="1" si="133"/>
        <v>0</v>
      </c>
      <c r="CS50" s="949">
        <f t="shared" ca="1" si="134"/>
        <v>0</v>
      </c>
      <c r="CT50" s="949">
        <f t="shared" ca="1" si="134"/>
        <v>0</v>
      </c>
      <c r="CU50" s="949">
        <f t="shared" ca="1" si="134"/>
        <v>0</v>
      </c>
      <c r="CV50" s="949">
        <f t="shared" ca="1" si="134"/>
        <v>0</v>
      </c>
      <c r="CW50" s="949">
        <f t="shared" ca="1" si="134"/>
        <v>0</v>
      </c>
      <c r="CX50" s="949">
        <f t="shared" ca="1" si="134"/>
        <v>0</v>
      </c>
      <c r="CY50" s="949">
        <f t="shared" ca="1" si="134"/>
        <v>0</v>
      </c>
      <c r="CZ50" s="949">
        <f t="shared" ca="1" si="134"/>
        <v>0</v>
      </c>
      <c r="DA50" s="949">
        <f t="shared" ca="1" si="134"/>
        <v>0</v>
      </c>
      <c r="DB50" s="949">
        <f t="shared" ca="1" si="134"/>
        <v>0</v>
      </c>
      <c r="DC50" s="949">
        <f t="shared" ca="1" si="134"/>
        <v>0</v>
      </c>
      <c r="DD50" s="949">
        <f t="shared" ca="1" si="134"/>
        <v>0</v>
      </c>
      <c r="DE50" s="949">
        <f t="shared" ca="1" si="134"/>
        <v>0</v>
      </c>
      <c r="DF50" s="949">
        <f t="shared" ca="1" si="134"/>
        <v>0</v>
      </c>
      <c r="DH50" s="553">
        <f t="shared" ca="1" si="125"/>
        <v>0</v>
      </c>
    </row>
    <row r="51" spans="1:112" s="522" customFormat="1" ht="15">
      <c r="A51" s="16"/>
      <c r="B51" s="527"/>
      <c r="C51" s="523" t="s">
        <v>563</v>
      </c>
      <c r="D51" s="499" t="str">
        <f>INDEX(Workstreams[Workstream], MATCH($C51, Workstreams[Code], 0))</f>
        <v>Agriculture &amp; waste</v>
      </c>
      <c r="E51" s="495"/>
      <c r="G51" s="667">
        <f ca="1">SUM(G48:G50)</f>
        <v>0</v>
      </c>
      <c r="H51" s="667">
        <f t="shared" ref="H51:P51" ca="1" si="138">SUM(H48:H50)</f>
        <v>0</v>
      </c>
      <c r="I51" s="667">
        <f t="shared" ca="1" si="138"/>
        <v>0</v>
      </c>
      <c r="J51" s="667">
        <f t="shared" ca="1" si="138"/>
        <v>0</v>
      </c>
      <c r="K51" s="667">
        <f t="shared" ca="1" si="138"/>
        <v>0</v>
      </c>
      <c r="L51" s="667">
        <f t="shared" ca="1" si="138"/>
        <v>0</v>
      </c>
      <c r="M51" s="667">
        <f t="shared" ca="1" si="138"/>
        <v>0</v>
      </c>
      <c r="N51" s="667">
        <f t="shared" ca="1" si="138"/>
        <v>0</v>
      </c>
      <c r="O51" s="667">
        <f t="shared" ca="1" si="138"/>
        <v>0</v>
      </c>
      <c r="P51" s="667">
        <f t="shared" ca="1" si="138"/>
        <v>0</v>
      </c>
      <c r="Q51" s="667">
        <f ca="1">SUM(G51:P51)</f>
        <v>0</v>
      </c>
      <c r="S51" s="617">
        <f t="shared" ref="S51:AJ51" ca="1" si="139">SUM(S48:S50)</f>
        <v>0</v>
      </c>
      <c r="T51" s="617">
        <f t="shared" ca="1" si="139"/>
        <v>0</v>
      </c>
      <c r="U51" s="617">
        <f t="shared" ca="1" si="139"/>
        <v>0</v>
      </c>
      <c r="V51" s="617">
        <f t="shared" ca="1" si="139"/>
        <v>0</v>
      </c>
      <c r="W51" s="617">
        <f t="shared" ca="1" si="139"/>
        <v>0</v>
      </c>
      <c r="X51" s="617">
        <f t="shared" ca="1" si="139"/>
        <v>0</v>
      </c>
      <c r="Y51" s="617">
        <f t="shared" ca="1" si="139"/>
        <v>0</v>
      </c>
      <c r="Z51" s="617">
        <f t="shared" ca="1" si="139"/>
        <v>0</v>
      </c>
      <c r="AA51" s="617">
        <f t="shared" ca="1" si="139"/>
        <v>0</v>
      </c>
      <c r="AB51" s="617">
        <f t="shared" ca="1" si="139"/>
        <v>0</v>
      </c>
      <c r="AC51" s="617">
        <f t="shared" ca="1" si="139"/>
        <v>0</v>
      </c>
      <c r="AD51" s="617">
        <f t="shared" ca="1" si="139"/>
        <v>0</v>
      </c>
      <c r="AE51" s="617">
        <f ca="1">SUM(AE48:AE50)</f>
        <v>0</v>
      </c>
      <c r="AF51" s="617">
        <f t="shared" ca="1" si="139"/>
        <v>0</v>
      </c>
      <c r="AG51" s="617">
        <f t="shared" ca="1" si="139"/>
        <v>0</v>
      </c>
      <c r="AH51" s="617">
        <f ca="1">SUM(AH48:AH50)</f>
        <v>0</v>
      </c>
      <c r="AI51" s="617">
        <f t="shared" ca="1" si="139"/>
        <v>0</v>
      </c>
      <c r="AJ51" s="617">
        <f t="shared" ca="1" si="139"/>
        <v>0</v>
      </c>
      <c r="AK51" s="617">
        <f ca="1">SUM(S51:AJ51)</f>
        <v>0</v>
      </c>
      <c r="AM51" s="623">
        <f t="shared" ref="AM51:BE51" ca="1" si="140">SUM(AM48:AM50)</f>
        <v>0</v>
      </c>
      <c r="AN51" s="623">
        <f t="shared" ca="1" si="140"/>
        <v>0</v>
      </c>
      <c r="AO51" s="623">
        <f t="shared" ca="1" si="140"/>
        <v>0</v>
      </c>
      <c r="AP51" s="623">
        <f t="shared" ca="1" si="140"/>
        <v>0</v>
      </c>
      <c r="AQ51" s="623">
        <f t="shared" ca="1" si="140"/>
        <v>0</v>
      </c>
      <c r="AR51" s="623">
        <f t="shared" ca="1" si="140"/>
        <v>0</v>
      </c>
      <c r="AS51" s="623">
        <f t="shared" ca="1" si="140"/>
        <v>0</v>
      </c>
      <c r="AT51" s="623">
        <f t="shared" ca="1" si="140"/>
        <v>0</v>
      </c>
      <c r="AU51" s="623">
        <f t="shared" ca="1" si="140"/>
        <v>0</v>
      </c>
      <c r="AV51" s="623">
        <f t="shared" ca="1" si="140"/>
        <v>0</v>
      </c>
      <c r="AW51" s="623">
        <f t="shared" ca="1" si="140"/>
        <v>0</v>
      </c>
      <c r="AX51" s="623">
        <f t="shared" ca="1" si="140"/>
        <v>0</v>
      </c>
      <c r="AY51" s="623">
        <f t="shared" ca="1" si="140"/>
        <v>0</v>
      </c>
      <c r="AZ51" s="623">
        <f t="shared" ca="1" si="140"/>
        <v>0</v>
      </c>
      <c r="BA51" s="623">
        <f t="shared" ca="1" si="140"/>
        <v>0</v>
      </c>
      <c r="BB51" s="623">
        <f t="shared" ca="1" si="140"/>
        <v>0</v>
      </c>
      <c r="BC51" s="623">
        <f t="shared" ca="1" si="140"/>
        <v>0</v>
      </c>
      <c r="BD51" s="623">
        <f t="shared" ca="1" si="140"/>
        <v>0</v>
      </c>
      <c r="BE51" s="623">
        <f t="shared" ca="1" si="140"/>
        <v>0</v>
      </c>
      <c r="BF51" s="623">
        <f ca="1">SUM(AM51:BE51)</f>
        <v>0</v>
      </c>
      <c r="BH51" s="637">
        <f ca="1">SUM(BH48:BH50)</f>
        <v>0</v>
      </c>
      <c r="BI51" s="637">
        <f ca="1">SUM(BI48:BI50)</f>
        <v>0</v>
      </c>
      <c r="BJ51" s="637">
        <f ca="1">SUM(BH51:BI51)</f>
        <v>0</v>
      </c>
      <c r="BL51" s="497">
        <f ca="1">Q51+AK51+BF51+BJ51</f>
        <v>0</v>
      </c>
      <c r="BM51" s="497"/>
      <c r="BN51" s="555"/>
      <c r="BO51" s="945">
        <f t="shared" ref="BO51:DF51" ca="1" si="141">SUM(BO48:BO50)</f>
        <v>0</v>
      </c>
      <c r="BP51" s="945">
        <f t="shared" ca="1" si="141"/>
        <v>0</v>
      </c>
      <c r="BQ51" s="945">
        <f t="shared" ca="1" si="141"/>
        <v>0</v>
      </c>
      <c r="BR51" s="945">
        <f t="shared" ca="1" si="141"/>
        <v>0</v>
      </c>
      <c r="BS51" s="945">
        <f t="shared" ca="1" si="141"/>
        <v>0</v>
      </c>
      <c r="BT51" s="945">
        <f t="shared" ca="1" si="141"/>
        <v>0</v>
      </c>
      <c r="BU51" s="945">
        <f t="shared" ca="1" si="141"/>
        <v>0</v>
      </c>
      <c r="BV51" s="945">
        <f t="shared" ca="1" si="141"/>
        <v>0</v>
      </c>
      <c r="BW51" s="945">
        <f t="shared" ca="1" si="141"/>
        <v>0</v>
      </c>
      <c r="BX51" s="945">
        <f t="shared" ca="1" si="141"/>
        <v>0</v>
      </c>
      <c r="BY51" s="945">
        <f t="shared" ca="1" si="141"/>
        <v>0</v>
      </c>
      <c r="BZ51" s="945">
        <f t="shared" ca="1" si="141"/>
        <v>0</v>
      </c>
      <c r="CA51" s="945">
        <f t="shared" ca="1" si="141"/>
        <v>0</v>
      </c>
      <c r="CB51" s="945">
        <f t="shared" ca="1" si="141"/>
        <v>0</v>
      </c>
      <c r="CC51" s="945">
        <f t="shared" ca="1" si="141"/>
        <v>0</v>
      </c>
      <c r="CD51" s="945">
        <f t="shared" ca="1" si="141"/>
        <v>0</v>
      </c>
      <c r="CE51" s="945">
        <f t="shared" ca="1" si="141"/>
        <v>0</v>
      </c>
      <c r="CF51" s="945">
        <f t="shared" ca="1" si="141"/>
        <v>0</v>
      </c>
      <c r="CG51" s="945">
        <f t="shared" ca="1" si="141"/>
        <v>0</v>
      </c>
      <c r="CH51" s="945">
        <f t="shared" ca="1" si="141"/>
        <v>0</v>
      </c>
      <c r="CI51" s="945">
        <f t="shared" ca="1" si="141"/>
        <v>0</v>
      </c>
      <c r="CJ51" s="945">
        <f t="shared" ca="1" si="141"/>
        <v>0</v>
      </c>
      <c r="CK51" s="945">
        <f t="shared" ca="1" si="141"/>
        <v>0</v>
      </c>
      <c r="CL51" s="945">
        <f t="shared" ca="1" si="141"/>
        <v>0</v>
      </c>
      <c r="CM51" s="945">
        <f t="shared" ca="1" si="141"/>
        <v>0</v>
      </c>
      <c r="CN51" s="945">
        <f t="shared" ca="1" si="141"/>
        <v>0</v>
      </c>
      <c r="CO51" s="945">
        <f t="shared" ca="1" si="141"/>
        <v>0</v>
      </c>
      <c r="CP51" s="945">
        <f t="shared" ca="1" si="141"/>
        <v>0</v>
      </c>
      <c r="CQ51" s="945">
        <f t="shared" ca="1" si="141"/>
        <v>0</v>
      </c>
      <c r="CR51" s="945">
        <f t="shared" ca="1" si="141"/>
        <v>0</v>
      </c>
      <c r="CS51" s="945">
        <f t="shared" ca="1" si="141"/>
        <v>0</v>
      </c>
      <c r="CT51" s="945">
        <f t="shared" ca="1" si="141"/>
        <v>0</v>
      </c>
      <c r="CU51" s="945">
        <f t="shared" ca="1" si="141"/>
        <v>0</v>
      </c>
      <c r="CV51" s="945">
        <f t="shared" ca="1" si="141"/>
        <v>0</v>
      </c>
      <c r="CW51" s="945">
        <f t="shared" ca="1" si="141"/>
        <v>0</v>
      </c>
      <c r="CX51" s="945">
        <f t="shared" ca="1" si="141"/>
        <v>0</v>
      </c>
      <c r="CY51" s="945">
        <f t="shared" ca="1" si="141"/>
        <v>0</v>
      </c>
      <c r="CZ51" s="945">
        <f t="shared" ca="1" si="141"/>
        <v>0</v>
      </c>
      <c r="DA51" s="945">
        <f t="shared" ca="1" si="141"/>
        <v>0</v>
      </c>
      <c r="DB51" s="945">
        <f t="shared" ca="1" si="141"/>
        <v>0</v>
      </c>
      <c r="DC51" s="945">
        <f t="shared" ca="1" si="141"/>
        <v>0</v>
      </c>
      <c r="DD51" s="945">
        <f t="shared" ca="1" si="141"/>
        <v>0</v>
      </c>
      <c r="DE51" s="945">
        <f t="shared" ca="1" si="141"/>
        <v>0</v>
      </c>
      <c r="DF51" s="945">
        <f t="shared" ca="1" si="141"/>
        <v>0</v>
      </c>
      <c r="DH51" s="553">
        <f t="shared" ca="1" si="125"/>
        <v>0</v>
      </c>
    </row>
    <row r="52" spans="1:112" s="522" customFormat="1" ht="12.75" customHeight="1" outlineLevel="1">
      <c r="A52" s="16"/>
      <c r="B52" s="16"/>
      <c r="C52" s="525"/>
      <c r="D52" s="495"/>
      <c r="E52" s="495"/>
      <c r="G52" s="605"/>
      <c r="H52" s="605"/>
      <c r="I52" s="605"/>
      <c r="J52" s="605"/>
      <c r="K52" s="607"/>
      <c r="L52" s="605"/>
      <c r="M52" s="605"/>
      <c r="N52" s="605"/>
      <c r="O52" s="605"/>
      <c r="P52" s="605"/>
      <c r="Q52" s="605"/>
      <c r="S52" s="617"/>
      <c r="T52" s="617"/>
      <c r="U52" s="617"/>
      <c r="V52" s="617"/>
      <c r="W52" s="617"/>
      <c r="X52" s="617"/>
      <c r="Y52" s="617"/>
      <c r="Z52" s="617"/>
      <c r="AA52" s="617"/>
      <c r="AB52" s="617"/>
      <c r="AC52" s="617"/>
      <c r="AD52" s="617"/>
      <c r="AE52" s="617"/>
      <c r="AF52" s="617"/>
      <c r="AG52" s="617"/>
      <c r="AH52" s="617"/>
      <c r="AI52" s="617"/>
      <c r="AJ52" s="617"/>
      <c r="AK52" s="617"/>
      <c r="AM52" s="623"/>
      <c r="AN52" s="623"/>
      <c r="AO52" s="623"/>
      <c r="AP52" s="623"/>
      <c r="AQ52" s="623"/>
      <c r="AR52" s="623"/>
      <c r="AS52" s="623"/>
      <c r="AT52" s="623"/>
      <c r="AU52" s="623"/>
      <c r="AV52" s="623"/>
      <c r="AW52" s="623"/>
      <c r="AX52" s="623"/>
      <c r="AY52" s="623"/>
      <c r="AZ52" s="623"/>
      <c r="BA52" s="623"/>
      <c r="BB52" s="623"/>
      <c r="BC52" s="623"/>
      <c r="BD52" s="623"/>
      <c r="BE52" s="623"/>
      <c r="BF52" s="623"/>
      <c r="BH52" s="637"/>
      <c r="BI52" s="637"/>
      <c r="BJ52" s="637"/>
      <c r="BL52" s="497">
        <f>Q52+AK52+BF52+BJ52</f>
        <v>0</v>
      </c>
      <c r="BM52" s="497"/>
      <c r="BN52" s="16"/>
      <c r="BO52" s="945"/>
      <c r="BP52" s="945"/>
      <c r="BQ52" s="945"/>
      <c r="BR52" s="945"/>
      <c r="BS52" s="945"/>
      <c r="BT52" s="945"/>
      <c r="BU52" s="945"/>
      <c r="BV52" s="945"/>
      <c r="BW52" s="945"/>
      <c r="BX52" s="945"/>
      <c r="BY52" s="945"/>
      <c r="BZ52" s="945"/>
      <c r="CA52" s="945"/>
      <c r="CB52" s="945"/>
      <c r="CC52" s="945"/>
      <c r="CD52" s="945"/>
      <c r="CE52" s="945"/>
      <c r="CF52" s="945"/>
      <c r="CG52" s="945"/>
      <c r="CH52" s="945"/>
      <c r="CI52" s="945"/>
      <c r="CJ52" s="945"/>
      <c r="CK52" s="945"/>
      <c r="CL52" s="945"/>
      <c r="CM52" s="945"/>
      <c r="CN52" s="945"/>
      <c r="CO52" s="945"/>
      <c r="CP52" s="945"/>
      <c r="CQ52" s="945"/>
      <c r="CR52" s="945"/>
      <c r="CS52" s="945"/>
      <c r="CT52" s="945"/>
      <c r="CU52" s="945"/>
      <c r="CV52" s="945"/>
      <c r="CW52" s="945"/>
      <c r="CX52" s="945"/>
      <c r="CY52" s="945"/>
      <c r="CZ52" s="945"/>
      <c r="DA52" s="945"/>
      <c r="DB52" s="945"/>
      <c r="DC52" s="945"/>
      <c r="DD52" s="945"/>
      <c r="DE52" s="945"/>
      <c r="DF52" s="945"/>
      <c r="DH52" s="553">
        <f t="shared" si="125"/>
        <v>0</v>
      </c>
    </row>
    <row r="53" spans="1:112" s="522" customFormat="1" outlineLevel="1">
      <c r="A53" s="947"/>
      <c r="B53" s="947"/>
      <c r="C53" s="504" t="s">
        <v>751</v>
      </c>
      <c r="D53" s="503" t="str">
        <f>INDEX(Modules[Module], MATCH($C53, Modules[Code], 0))</f>
        <v>Petroleum refineries</v>
      </c>
      <c r="E53" s="503"/>
      <c r="G53" s="663">
        <f t="shared" ref="G53:P54" ca="1" si="142">IFERROR(INDEX(INDIRECT($C53&amp;".Outputs["&amp;this.Year&amp;"]"), MATCH(G$5, INDIRECT($C53&amp;".Outputs[Vector]"), 0)), 0)</f>
        <v>0</v>
      </c>
      <c r="H53" s="663">
        <f t="shared" ca="1" si="142"/>
        <v>0</v>
      </c>
      <c r="I53" s="663">
        <f t="shared" ca="1" si="142"/>
        <v>0</v>
      </c>
      <c r="J53" s="663">
        <f t="shared" ca="1" si="142"/>
        <v>0</v>
      </c>
      <c r="K53" s="663">
        <f t="shared" ca="1" si="142"/>
        <v>0</v>
      </c>
      <c r="L53" s="663">
        <f t="shared" ca="1" si="142"/>
        <v>0</v>
      </c>
      <c r="M53" s="663">
        <f t="shared" ca="1" si="142"/>
        <v>0</v>
      </c>
      <c r="N53" s="663">
        <f t="shared" ca="1" si="142"/>
        <v>0</v>
      </c>
      <c r="O53" s="663">
        <f t="shared" ca="1" si="142"/>
        <v>0</v>
      </c>
      <c r="P53" s="663">
        <f t="shared" ca="1" si="142"/>
        <v>0</v>
      </c>
      <c r="Q53" s="665">
        <f ca="1">SUM(G53:P53)</f>
        <v>0</v>
      </c>
      <c r="S53" s="672">
        <f t="shared" ref="S53:BE54" ca="1" si="143">IFERROR(INDEX(INDIRECT($C53&amp;".Outputs["&amp;this.Year&amp;"]"), MATCH(S$5, INDIRECT($C53&amp;".Outputs[Vector]"), 0)), 0)</f>
        <v>0</v>
      </c>
      <c r="T53" s="672">
        <f t="shared" ca="1" si="143"/>
        <v>0</v>
      </c>
      <c r="U53" s="672">
        <f t="shared" ca="1" si="143"/>
        <v>0</v>
      </c>
      <c r="V53" s="672">
        <f t="shared" ca="1" si="143"/>
        <v>0</v>
      </c>
      <c r="W53" s="672">
        <f t="shared" ca="1" si="143"/>
        <v>0</v>
      </c>
      <c r="X53" s="672">
        <f t="shared" ref="X53:Z54" ca="1" si="144">IFERROR(INDEX(INDIRECT($C53&amp;".Outputs["&amp;this.Year&amp;"]"), MATCH(X$5, INDIRECT($C53&amp;".Outputs[Vector]"), 0)), 0)</f>
        <v>0</v>
      </c>
      <c r="Y53" s="672">
        <f t="shared" ca="1" si="144"/>
        <v>0</v>
      </c>
      <c r="Z53" s="672">
        <f t="shared" ca="1" si="144"/>
        <v>0</v>
      </c>
      <c r="AA53" s="672">
        <f t="shared" ca="1" si="143"/>
        <v>0</v>
      </c>
      <c r="AB53" s="672">
        <f t="shared" ca="1" si="143"/>
        <v>0</v>
      </c>
      <c r="AC53" s="672">
        <f t="shared" ca="1" si="143"/>
        <v>0</v>
      </c>
      <c r="AD53" s="672">
        <f t="shared" ca="1" si="143"/>
        <v>0</v>
      </c>
      <c r="AE53" s="672">
        <f t="shared" ca="1" si="143"/>
        <v>0</v>
      </c>
      <c r="AF53" s="672">
        <f t="shared" ca="1" si="143"/>
        <v>0</v>
      </c>
      <c r="AG53" s="672">
        <f t="shared" ca="1" si="143"/>
        <v>0</v>
      </c>
      <c r="AH53" s="672">
        <f t="shared" ca="1" si="143"/>
        <v>0</v>
      </c>
      <c r="AI53" s="672">
        <f t="shared" ca="1" si="143"/>
        <v>0</v>
      </c>
      <c r="AJ53" s="672">
        <f t="shared" ca="1" si="143"/>
        <v>0</v>
      </c>
      <c r="AK53" s="673">
        <f ca="1">SUM(S53:AJ53)</f>
        <v>0</v>
      </c>
      <c r="AM53" s="684">
        <f t="shared" ref="AM53:AU54" ca="1" si="145">IFERROR(INDEX(INDIRECT($C53&amp;".Outputs["&amp;this.Year&amp;"]"), MATCH(AM$5, INDIRECT($C53&amp;".Outputs[Vector]"), 0)), 0)</f>
        <v>0</v>
      </c>
      <c r="AN53" s="684">
        <f t="shared" ca="1" si="145"/>
        <v>0</v>
      </c>
      <c r="AO53" s="684">
        <f t="shared" ca="1" si="145"/>
        <v>0</v>
      </c>
      <c r="AP53" s="684">
        <f t="shared" ca="1" si="145"/>
        <v>0</v>
      </c>
      <c r="AQ53" s="684">
        <f t="shared" ca="1" si="145"/>
        <v>0</v>
      </c>
      <c r="AR53" s="684">
        <f t="shared" ca="1" si="145"/>
        <v>0</v>
      </c>
      <c r="AS53" s="684">
        <f t="shared" ca="1" si="145"/>
        <v>0</v>
      </c>
      <c r="AT53" s="684">
        <f t="shared" ca="1" si="145"/>
        <v>0</v>
      </c>
      <c r="AU53" s="684">
        <f t="shared" ca="1" si="145"/>
        <v>0</v>
      </c>
      <c r="AV53" s="684">
        <f t="shared" ca="1" si="143"/>
        <v>0</v>
      </c>
      <c r="AW53" s="684">
        <f t="shared" ca="1" si="143"/>
        <v>0</v>
      </c>
      <c r="AX53" s="684">
        <f t="shared" ca="1" si="143"/>
        <v>0</v>
      </c>
      <c r="AY53" s="684">
        <f t="shared" ca="1" si="143"/>
        <v>0</v>
      </c>
      <c r="AZ53" s="684">
        <f t="shared" ca="1" si="143"/>
        <v>0</v>
      </c>
      <c r="BA53" s="684">
        <f t="shared" ca="1" si="143"/>
        <v>0</v>
      </c>
      <c r="BB53" s="684">
        <f t="shared" ca="1" si="143"/>
        <v>0</v>
      </c>
      <c r="BC53" s="684">
        <f t="shared" ca="1" si="143"/>
        <v>0</v>
      </c>
      <c r="BD53" s="684">
        <f t="shared" ca="1" si="143"/>
        <v>0</v>
      </c>
      <c r="BE53" s="684">
        <f t="shared" ca="1" si="143"/>
        <v>0</v>
      </c>
      <c r="BF53" s="626">
        <f ca="1">SUM(AM53:BE53)</f>
        <v>0</v>
      </c>
      <c r="BH53" s="678">
        <f ca="1">IFERROR(INDEX(INDIRECT($C53&amp;".Outputs["&amp;this.Year&amp;"]"), MATCH(BH$5, INDIRECT($C53&amp;".Outputs[Vector]"), 0)), 0)</f>
        <v>0</v>
      </c>
      <c r="BI53" s="678">
        <f ca="1">IFERROR(INDEX(INDIRECT($C53&amp;".Outputs["&amp;this.Year&amp;"]"), MATCH(BI$5, INDIRECT($C53&amp;".Outputs[Vector]"), 0)), 0)</f>
        <v>0</v>
      </c>
      <c r="BJ53" s="680">
        <f ca="1">SUM(BH53:BI53)</f>
        <v>0</v>
      </c>
      <c r="BL53" s="547">
        <f ca="1">Q53+AK53+BF53+BJ53</f>
        <v>0</v>
      </c>
      <c r="BM53" s="547"/>
      <c r="BN53" s="555"/>
      <c r="BO53" s="944">
        <f t="shared" ref="BO53:BX54" ca="1" si="146">IFERROR(SUMIFS(INDIRECT($C53&amp;".Emissions["&amp;this.Year&amp;"]"), INDIRECT($C53&amp;".Emissions[GHG]"), BO$6, INDIRECT($C53&amp;".Emissions[IPCC Sector]"), BO$5),0)</f>
        <v>0</v>
      </c>
      <c r="BP53" s="945">
        <f t="shared" ca="1" si="146"/>
        <v>0</v>
      </c>
      <c r="BQ53" s="945">
        <f t="shared" ca="1" si="146"/>
        <v>0</v>
      </c>
      <c r="BR53" s="945">
        <f t="shared" ca="1" si="146"/>
        <v>0</v>
      </c>
      <c r="BS53" s="945">
        <f t="shared" ca="1" si="146"/>
        <v>0</v>
      </c>
      <c r="BT53" s="945">
        <f t="shared" ca="1" si="146"/>
        <v>0</v>
      </c>
      <c r="BU53" s="945">
        <f t="shared" ca="1" si="146"/>
        <v>0</v>
      </c>
      <c r="BV53" s="945">
        <f t="shared" ca="1" si="146"/>
        <v>0</v>
      </c>
      <c r="BW53" s="945">
        <f t="shared" ca="1" si="146"/>
        <v>0</v>
      </c>
      <c r="BX53" s="945">
        <f t="shared" ca="1" si="146"/>
        <v>0</v>
      </c>
      <c r="BY53" s="945">
        <f t="shared" ref="BY53:CH54" ca="1" si="147">IFERROR(SUMIFS(INDIRECT($C53&amp;".Emissions["&amp;this.Year&amp;"]"), INDIRECT($C53&amp;".Emissions[GHG]"), BY$6, INDIRECT($C53&amp;".Emissions[IPCC Sector]"), BY$5),0)</f>
        <v>0</v>
      </c>
      <c r="BZ53" s="945">
        <f t="shared" ca="1" si="147"/>
        <v>0</v>
      </c>
      <c r="CA53" s="945">
        <f t="shared" ca="1" si="147"/>
        <v>0</v>
      </c>
      <c r="CB53" s="945">
        <f t="shared" ca="1" si="147"/>
        <v>0</v>
      </c>
      <c r="CC53" s="945">
        <f t="shared" ca="1" si="147"/>
        <v>0</v>
      </c>
      <c r="CD53" s="945">
        <f t="shared" ca="1" si="147"/>
        <v>0</v>
      </c>
      <c r="CE53" s="945">
        <f t="shared" ca="1" si="147"/>
        <v>0</v>
      </c>
      <c r="CF53" s="945">
        <f t="shared" ca="1" si="147"/>
        <v>0</v>
      </c>
      <c r="CG53" s="945">
        <f t="shared" ca="1" si="147"/>
        <v>0</v>
      </c>
      <c r="CH53" s="945">
        <f t="shared" ca="1" si="147"/>
        <v>0</v>
      </c>
      <c r="CI53" s="945">
        <f t="shared" ref="CI53:CR54" ca="1" si="148">IFERROR(SUMIFS(INDIRECT($C53&amp;".Emissions["&amp;this.Year&amp;"]"), INDIRECT($C53&amp;".Emissions[GHG]"), CI$6, INDIRECT($C53&amp;".Emissions[IPCC Sector]"), CI$5),0)</f>
        <v>0</v>
      </c>
      <c r="CJ53" s="945">
        <f t="shared" ca="1" si="148"/>
        <v>0</v>
      </c>
      <c r="CK53" s="945">
        <f t="shared" ca="1" si="148"/>
        <v>0</v>
      </c>
      <c r="CL53" s="945">
        <f t="shared" ca="1" si="148"/>
        <v>0</v>
      </c>
      <c r="CM53" s="945">
        <f t="shared" ca="1" si="148"/>
        <v>0</v>
      </c>
      <c r="CN53" s="945">
        <f t="shared" ca="1" si="148"/>
        <v>0</v>
      </c>
      <c r="CO53" s="945">
        <f t="shared" ca="1" si="148"/>
        <v>0</v>
      </c>
      <c r="CP53" s="945">
        <f t="shared" ca="1" si="148"/>
        <v>0</v>
      </c>
      <c r="CQ53" s="945">
        <f t="shared" ca="1" si="148"/>
        <v>0</v>
      </c>
      <c r="CR53" s="945">
        <f t="shared" ca="1" si="148"/>
        <v>0</v>
      </c>
      <c r="CS53" s="945">
        <f t="shared" ref="CS53:DF54" ca="1" si="149">IFERROR(SUMIFS(INDIRECT($C53&amp;".Emissions["&amp;this.Year&amp;"]"), INDIRECT($C53&amp;".Emissions[GHG]"), CS$6, INDIRECT($C53&amp;".Emissions[IPCC Sector]"), CS$5),0)</f>
        <v>0</v>
      </c>
      <c r="CT53" s="945">
        <f t="shared" ca="1" si="149"/>
        <v>0</v>
      </c>
      <c r="CU53" s="945">
        <f t="shared" ca="1" si="149"/>
        <v>0</v>
      </c>
      <c r="CV53" s="945">
        <f t="shared" ca="1" si="149"/>
        <v>0</v>
      </c>
      <c r="CW53" s="945">
        <f t="shared" ca="1" si="149"/>
        <v>0</v>
      </c>
      <c r="CX53" s="945">
        <f t="shared" ca="1" si="149"/>
        <v>0</v>
      </c>
      <c r="CY53" s="945">
        <f t="shared" ca="1" si="149"/>
        <v>0</v>
      </c>
      <c r="CZ53" s="945">
        <f t="shared" ca="1" si="149"/>
        <v>0</v>
      </c>
      <c r="DA53" s="945">
        <f t="shared" ca="1" si="149"/>
        <v>0</v>
      </c>
      <c r="DB53" s="945">
        <f t="shared" ca="1" si="149"/>
        <v>0</v>
      </c>
      <c r="DC53" s="945">
        <f t="shared" ca="1" si="149"/>
        <v>0</v>
      </c>
      <c r="DD53" s="945">
        <f t="shared" ca="1" si="149"/>
        <v>0</v>
      </c>
      <c r="DE53" s="945">
        <f t="shared" ca="1" si="149"/>
        <v>0</v>
      </c>
      <c r="DF53" s="945">
        <f t="shared" ca="1" si="149"/>
        <v>0</v>
      </c>
      <c r="DH53" s="553">
        <f t="shared" ca="1" si="125"/>
        <v>0</v>
      </c>
    </row>
    <row r="54" spans="1:112" s="522" customFormat="1" outlineLevel="1">
      <c r="A54" s="947"/>
      <c r="B54" s="947"/>
      <c r="C54" s="504" t="s">
        <v>755</v>
      </c>
      <c r="D54" s="656" t="str">
        <f>INDEX(Modules[Module], MATCH($C54, Modules[Code], 0))</f>
        <v>Indigenous fossil-fuel production</v>
      </c>
      <c r="E54" s="656"/>
      <c r="G54" s="668">
        <f t="shared" ca="1" si="142"/>
        <v>0</v>
      </c>
      <c r="H54" s="668">
        <f t="shared" ca="1" si="142"/>
        <v>0</v>
      </c>
      <c r="I54" s="668">
        <f t="shared" ca="1" si="142"/>
        <v>0</v>
      </c>
      <c r="J54" s="668">
        <f t="shared" ca="1" si="142"/>
        <v>0</v>
      </c>
      <c r="K54" s="668">
        <f t="shared" ca="1" si="142"/>
        <v>0</v>
      </c>
      <c r="L54" s="668">
        <f t="shared" ca="1" si="142"/>
        <v>0</v>
      </c>
      <c r="M54" s="668">
        <f t="shared" ca="1" si="142"/>
        <v>0</v>
      </c>
      <c r="N54" s="668">
        <f t="shared" ca="1" si="142"/>
        <v>0</v>
      </c>
      <c r="O54" s="668">
        <f t="shared" ca="1" si="142"/>
        <v>0</v>
      </c>
      <c r="P54" s="668">
        <f t="shared" ca="1" si="142"/>
        <v>0</v>
      </c>
      <c r="Q54" s="666">
        <f ca="1">SUM(G54:P54)</f>
        <v>0</v>
      </c>
      <c r="S54" s="677">
        <f t="shared" ca="1" si="143"/>
        <v>0</v>
      </c>
      <c r="T54" s="677">
        <f t="shared" ca="1" si="143"/>
        <v>0</v>
      </c>
      <c r="U54" s="677">
        <f t="shared" ca="1" si="143"/>
        <v>0</v>
      </c>
      <c r="V54" s="677">
        <f t="shared" ca="1" si="143"/>
        <v>0</v>
      </c>
      <c r="W54" s="677">
        <f t="shared" ca="1" si="143"/>
        <v>0</v>
      </c>
      <c r="X54" s="677">
        <f t="shared" ca="1" si="144"/>
        <v>0</v>
      </c>
      <c r="Y54" s="677">
        <f t="shared" ca="1" si="144"/>
        <v>0</v>
      </c>
      <c r="Z54" s="677">
        <f t="shared" ca="1" si="144"/>
        <v>0</v>
      </c>
      <c r="AA54" s="677">
        <f t="shared" ca="1" si="143"/>
        <v>0</v>
      </c>
      <c r="AB54" s="677">
        <f t="shared" ca="1" si="143"/>
        <v>0</v>
      </c>
      <c r="AC54" s="677">
        <f t="shared" ca="1" si="143"/>
        <v>0</v>
      </c>
      <c r="AD54" s="677">
        <f t="shared" ca="1" si="143"/>
        <v>0</v>
      </c>
      <c r="AE54" s="677">
        <f t="shared" ca="1" si="143"/>
        <v>0</v>
      </c>
      <c r="AF54" s="677">
        <f t="shared" ca="1" si="143"/>
        <v>0</v>
      </c>
      <c r="AG54" s="677">
        <f t="shared" ca="1" si="143"/>
        <v>0</v>
      </c>
      <c r="AH54" s="677">
        <f t="shared" ca="1" si="143"/>
        <v>0</v>
      </c>
      <c r="AI54" s="677">
        <f t="shared" ca="1" si="143"/>
        <v>0</v>
      </c>
      <c r="AJ54" s="677">
        <f t="shared" ca="1" si="143"/>
        <v>0</v>
      </c>
      <c r="AK54" s="676">
        <f ca="1">SUM(S54:AJ54)</f>
        <v>0</v>
      </c>
      <c r="AM54" s="688">
        <f t="shared" ca="1" si="145"/>
        <v>0</v>
      </c>
      <c r="AN54" s="688">
        <f t="shared" ca="1" si="145"/>
        <v>0</v>
      </c>
      <c r="AO54" s="688">
        <f t="shared" ca="1" si="145"/>
        <v>0</v>
      </c>
      <c r="AP54" s="688">
        <f t="shared" ca="1" si="145"/>
        <v>0</v>
      </c>
      <c r="AQ54" s="688">
        <f t="shared" ca="1" si="145"/>
        <v>0</v>
      </c>
      <c r="AR54" s="688">
        <f t="shared" ca="1" si="145"/>
        <v>0</v>
      </c>
      <c r="AS54" s="688">
        <f t="shared" ca="1" si="145"/>
        <v>0</v>
      </c>
      <c r="AT54" s="688">
        <f t="shared" ca="1" si="145"/>
        <v>0</v>
      </c>
      <c r="AU54" s="688">
        <f t="shared" ca="1" si="145"/>
        <v>0</v>
      </c>
      <c r="AV54" s="688">
        <f t="shared" ca="1" si="143"/>
        <v>0</v>
      </c>
      <c r="AW54" s="688">
        <f t="shared" ca="1" si="143"/>
        <v>0</v>
      </c>
      <c r="AX54" s="688">
        <f t="shared" ca="1" si="143"/>
        <v>0</v>
      </c>
      <c r="AY54" s="688">
        <f t="shared" ca="1" si="143"/>
        <v>0</v>
      </c>
      <c r="AZ54" s="688">
        <f t="shared" ca="1" si="143"/>
        <v>0</v>
      </c>
      <c r="BA54" s="688">
        <f t="shared" ca="1" si="143"/>
        <v>0</v>
      </c>
      <c r="BB54" s="688">
        <f t="shared" ca="1" si="143"/>
        <v>0</v>
      </c>
      <c r="BC54" s="688">
        <f t="shared" ca="1" si="143"/>
        <v>0</v>
      </c>
      <c r="BD54" s="688">
        <f t="shared" ca="1" si="143"/>
        <v>0</v>
      </c>
      <c r="BE54" s="688">
        <f t="shared" ca="1" si="143"/>
        <v>0</v>
      </c>
      <c r="BF54" s="658">
        <f ca="1">SUM(AM54:BE54)</f>
        <v>0</v>
      </c>
      <c r="BH54" s="682">
        <f ca="1">IFERROR(INDEX(INDIRECT($C54&amp;".Outputs["&amp;this.Year&amp;"]"), MATCH(BH$5, INDIRECT($C54&amp;".Outputs[Vector]"), 0)), 0)</f>
        <v>0</v>
      </c>
      <c r="BI54" s="682">
        <f ca="1">IFERROR(INDEX(INDIRECT($C54&amp;".Outputs["&amp;this.Year&amp;"]"), MATCH(BI$5, INDIRECT($C54&amp;".Outputs[Vector]"), 0)), 0)</f>
        <v>0</v>
      </c>
      <c r="BJ54" s="681">
        <f ca="1">SUM(BH54:BI54)</f>
        <v>0</v>
      </c>
      <c r="BL54" s="547"/>
      <c r="BM54" s="547"/>
      <c r="BN54" s="555"/>
      <c r="BO54" s="948">
        <f t="shared" ca="1" si="146"/>
        <v>0</v>
      </c>
      <c r="BP54" s="949">
        <f t="shared" ca="1" si="146"/>
        <v>0</v>
      </c>
      <c r="BQ54" s="949">
        <f t="shared" ca="1" si="146"/>
        <v>0</v>
      </c>
      <c r="BR54" s="949">
        <f t="shared" ca="1" si="146"/>
        <v>0</v>
      </c>
      <c r="BS54" s="949">
        <f t="shared" ca="1" si="146"/>
        <v>0</v>
      </c>
      <c r="BT54" s="949">
        <f t="shared" ca="1" si="146"/>
        <v>0</v>
      </c>
      <c r="BU54" s="949">
        <f t="shared" ca="1" si="146"/>
        <v>0</v>
      </c>
      <c r="BV54" s="949">
        <f t="shared" ca="1" si="146"/>
        <v>0</v>
      </c>
      <c r="BW54" s="949">
        <f t="shared" ca="1" si="146"/>
        <v>0</v>
      </c>
      <c r="BX54" s="949">
        <f t="shared" ca="1" si="146"/>
        <v>0</v>
      </c>
      <c r="BY54" s="949">
        <f t="shared" ca="1" si="147"/>
        <v>0</v>
      </c>
      <c r="BZ54" s="949">
        <f t="shared" ca="1" si="147"/>
        <v>0</v>
      </c>
      <c r="CA54" s="949">
        <f t="shared" ca="1" si="147"/>
        <v>0</v>
      </c>
      <c r="CB54" s="949">
        <f t="shared" ca="1" si="147"/>
        <v>0</v>
      </c>
      <c r="CC54" s="949">
        <f t="shared" ca="1" si="147"/>
        <v>0</v>
      </c>
      <c r="CD54" s="949">
        <f t="shared" ca="1" si="147"/>
        <v>0</v>
      </c>
      <c r="CE54" s="949">
        <f t="shared" ca="1" si="147"/>
        <v>0</v>
      </c>
      <c r="CF54" s="949">
        <f t="shared" ca="1" si="147"/>
        <v>0</v>
      </c>
      <c r="CG54" s="949">
        <f t="shared" ca="1" si="147"/>
        <v>0</v>
      </c>
      <c r="CH54" s="949">
        <f t="shared" ca="1" si="147"/>
        <v>0</v>
      </c>
      <c r="CI54" s="949">
        <f t="shared" ca="1" si="148"/>
        <v>0</v>
      </c>
      <c r="CJ54" s="949">
        <f t="shared" ca="1" si="148"/>
        <v>0</v>
      </c>
      <c r="CK54" s="949">
        <f t="shared" ca="1" si="148"/>
        <v>0</v>
      </c>
      <c r="CL54" s="949">
        <f t="shared" ca="1" si="148"/>
        <v>0</v>
      </c>
      <c r="CM54" s="949">
        <f t="shared" ca="1" si="148"/>
        <v>0</v>
      </c>
      <c r="CN54" s="949">
        <f t="shared" ca="1" si="148"/>
        <v>0</v>
      </c>
      <c r="CO54" s="949">
        <f t="shared" ca="1" si="148"/>
        <v>0</v>
      </c>
      <c r="CP54" s="949">
        <f t="shared" ca="1" si="148"/>
        <v>0</v>
      </c>
      <c r="CQ54" s="949">
        <f t="shared" ca="1" si="148"/>
        <v>0</v>
      </c>
      <c r="CR54" s="949">
        <f t="shared" ca="1" si="148"/>
        <v>0</v>
      </c>
      <c r="CS54" s="949">
        <f t="shared" ca="1" si="149"/>
        <v>0</v>
      </c>
      <c r="CT54" s="949">
        <f t="shared" ca="1" si="149"/>
        <v>0</v>
      </c>
      <c r="CU54" s="949">
        <f t="shared" ca="1" si="149"/>
        <v>0</v>
      </c>
      <c r="CV54" s="949">
        <f t="shared" ca="1" si="149"/>
        <v>0</v>
      </c>
      <c r="CW54" s="949">
        <f t="shared" ca="1" si="149"/>
        <v>0</v>
      </c>
      <c r="CX54" s="949">
        <f t="shared" ca="1" si="149"/>
        <v>0</v>
      </c>
      <c r="CY54" s="949">
        <f t="shared" ca="1" si="149"/>
        <v>0</v>
      </c>
      <c r="CZ54" s="949">
        <f t="shared" ca="1" si="149"/>
        <v>0</v>
      </c>
      <c r="DA54" s="949">
        <f t="shared" ca="1" si="149"/>
        <v>0</v>
      </c>
      <c r="DB54" s="949">
        <f t="shared" ca="1" si="149"/>
        <v>0</v>
      </c>
      <c r="DC54" s="949">
        <f t="shared" ca="1" si="149"/>
        <v>0</v>
      </c>
      <c r="DD54" s="949">
        <f t="shared" ca="1" si="149"/>
        <v>0</v>
      </c>
      <c r="DE54" s="949">
        <f t="shared" ca="1" si="149"/>
        <v>0</v>
      </c>
      <c r="DF54" s="949">
        <f t="shared" ca="1" si="149"/>
        <v>0</v>
      </c>
      <c r="DH54" s="553">
        <f t="shared" ca="1" si="125"/>
        <v>0</v>
      </c>
    </row>
    <row r="55" spans="1:112" s="522" customFormat="1" ht="15">
      <c r="A55" s="951"/>
      <c r="B55" s="952"/>
      <c r="C55" s="523" t="s">
        <v>749</v>
      </c>
      <c r="D55" s="499" t="str">
        <f>INDEX(Workstreams[Workstream], MATCH($C55, Workstreams[Code], 0))</f>
        <v>Fossil fuel production</v>
      </c>
      <c r="E55" s="495"/>
      <c r="G55" s="667">
        <f ca="1">SUM(G53:G54)</f>
        <v>0</v>
      </c>
      <c r="H55" s="667">
        <f t="shared" ref="H55:P55" ca="1" si="150">SUM(H53:H54)</f>
        <v>0</v>
      </c>
      <c r="I55" s="667">
        <f t="shared" ca="1" si="150"/>
        <v>0</v>
      </c>
      <c r="J55" s="667">
        <f t="shared" ca="1" si="150"/>
        <v>0</v>
      </c>
      <c r="K55" s="667">
        <f t="shared" ca="1" si="150"/>
        <v>0</v>
      </c>
      <c r="L55" s="667">
        <f t="shared" ca="1" si="150"/>
        <v>0</v>
      </c>
      <c r="M55" s="667">
        <f t="shared" ca="1" si="150"/>
        <v>0</v>
      </c>
      <c r="N55" s="667">
        <f t="shared" ca="1" si="150"/>
        <v>0</v>
      </c>
      <c r="O55" s="667">
        <f t="shared" ca="1" si="150"/>
        <v>0</v>
      </c>
      <c r="P55" s="667">
        <f t="shared" ca="1" si="150"/>
        <v>0</v>
      </c>
      <c r="Q55" s="667">
        <f ca="1">SUM(G55:P55)</f>
        <v>0</v>
      </c>
      <c r="S55" s="617">
        <f t="shared" ref="S55:AJ55" ca="1" si="151">SUM(S53:S54)</f>
        <v>0</v>
      </c>
      <c r="T55" s="617">
        <f t="shared" ca="1" si="151"/>
        <v>0</v>
      </c>
      <c r="U55" s="617">
        <f t="shared" ca="1" si="151"/>
        <v>0</v>
      </c>
      <c r="V55" s="617">
        <f t="shared" ca="1" si="151"/>
        <v>0</v>
      </c>
      <c r="W55" s="617">
        <f t="shared" ca="1" si="151"/>
        <v>0</v>
      </c>
      <c r="X55" s="617">
        <f ca="1">SUM(X53:X54)</f>
        <v>0</v>
      </c>
      <c r="Y55" s="617">
        <f ca="1">SUM(Y53:Y54)</f>
        <v>0</v>
      </c>
      <c r="Z55" s="617">
        <f ca="1">SUM(Z53:Z54)</f>
        <v>0</v>
      </c>
      <c r="AA55" s="617">
        <f t="shared" ca="1" si="151"/>
        <v>0</v>
      </c>
      <c r="AB55" s="617">
        <f t="shared" ca="1" si="151"/>
        <v>0</v>
      </c>
      <c r="AC55" s="617">
        <f t="shared" ca="1" si="151"/>
        <v>0</v>
      </c>
      <c r="AD55" s="617">
        <f ca="1">SUM(AD53:AD54)</f>
        <v>0</v>
      </c>
      <c r="AE55" s="617">
        <f ca="1">SUM(AE53:AE54)</f>
        <v>0</v>
      </c>
      <c r="AF55" s="617">
        <f t="shared" ca="1" si="151"/>
        <v>0</v>
      </c>
      <c r="AG55" s="617">
        <f ca="1">SUM(AG53:AG54)</f>
        <v>0</v>
      </c>
      <c r="AH55" s="617">
        <f ca="1">SUM(AH53:AH54)</f>
        <v>0</v>
      </c>
      <c r="AI55" s="617">
        <f ca="1">SUM(AI53:AI54)</f>
        <v>0</v>
      </c>
      <c r="AJ55" s="617">
        <f t="shared" ca="1" si="151"/>
        <v>0</v>
      </c>
      <c r="AK55" s="617">
        <f ca="1">SUM(S55:AJ55)</f>
        <v>0</v>
      </c>
      <c r="AM55" s="623">
        <f t="shared" ref="AM55:AU55" ca="1" si="152">SUM(AM53:AM54)</f>
        <v>0</v>
      </c>
      <c r="AN55" s="623">
        <f t="shared" ca="1" si="152"/>
        <v>0</v>
      </c>
      <c r="AO55" s="623">
        <f t="shared" ca="1" si="152"/>
        <v>0</v>
      </c>
      <c r="AP55" s="623">
        <f t="shared" ca="1" si="152"/>
        <v>0</v>
      </c>
      <c r="AQ55" s="623">
        <f t="shared" ca="1" si="152"/>
        <v>0</v>
      </c>
      <c r="AR55" s="623">
        <f t="shared" ca="1" si="152"/>
        <v>0</v>
      </c>
      <c r="AS55" s="623">
        <f t="shared" ca="1" si="152"/>
        <v>0</v>
      </c>
      <c r="AT55" s="623">
        <f t="shared" ca="1" si="152"/>
        <v>0</v>
      </c>
      <c r="AU55" s="623">
        <f t="shared" ca="1" si="152"/>
        <v>0</v>
      </c>
      <c r="AV55" s="623">
        <f t="shared" ref="AV55:BE55" ca="1" si="153">SUM(AV53:AV54)</f>
        <v>0</v>
      </c>
      <c r="AW55" s="623">
        <f t="shared" ca="1" si="153"/>
        <v>0</v>
      </c>
      <c r="AX55" s="623">
        <f t="shared" ca="1" si="153"/>
        <v>0</v>
      </c>
      <c r="AY55" s="623">
        <f t="shared" ca="1" si="153"/>
        <v>0</v>
      </c>
      <c r="AZ55" s="623">
        <f t="shared" ca="1" si="153"/>
        <v>0</v>
      </c>
      <c r="BA55" s="623">
        <f t="shared" ca="1" si="153"/>
        <v>0</v>
      </c>
      <c r="BB55" s="623">
        <f t="shared" ca="1" si="153"/>
        <v>0</v>
      </c>
      <c r="BC55" s="623">
        <f t="shared" ca="1" si="153"/>
        <v>0</v>
      </c>
      <c r="BD55" s="623">
        <f ca="1">SUM(BD53:BD54)</f>
        <v>0</v>
      </c>
      <c r="BE55" s="623">
        <f t="shared" ca="1" si="153"/>
        <v>0</v>
      </c>
      <c r="BF55" s="623">
        <f ca="1">SUM(AM55:BE55)</f>
        <v>0</v>
      </c>
      <c r="BH55" s="637">
        <f ca="1">SUM(BH53:BH54)</f>
        <v>0</v>
      </c>
      <c r="BI55" s="637">
        <f ca="1">SUM(BI53:BI54)</f>
        <v>0</v>
      </c>
      <c r="BJ55" s="637">
        <f ca="1">SUM(BH55:BI55)</f>
        <v>0</v>
      </c>
      <c r="BL55" s="497">
        <f ca="1">Q55+AK55+BF55+BJ55</f>
        <v>0</v>
      </c>
      <c r="BM55" s="561"/>
      <c r="BN55" s="555"/>
      <c r="BO55" s="944">
        <f t="shared" ref="BO55:DF55" ca="1" si="154">SUM(BO53:BO54)</f>
        <v>0</v>
      </c>
      <c r="BP55" s="945">
        <f t="shared" ca="1" si="154"/>
        <v>0</v>
      </c>
      <c r="BQ55" s="945">
        <f t="shared" ca="1" si="154"/>
        <v>0</v>
      </c>
      <c r="BR55" s="945">
        <f t="shared" ca="1" si="154"/>
        <v>0</v>
      </c>
      <c r="BS55" s="945">
        <f t="shared" ca="1" si="154"/>
        <v>0</v>
      </c>
      <c r="BT55" s="945">
        <f t="shared" ca="1" si="154"/>
        <v>0</v>
      </c>
      <c r="BU55" s="945">
        <f t="shared" ca="1" si="154"/>
        <v>0</v>
      </c>
      <c r="BV55" s="945">
        <f t="shared" ca="1" si="154"/>
        <v>0</v>
      </c>
      <c r="BW55" s="945">
        <f t="shared" ca="1" si="154"/>
        <v>0</v>
      </c>
      <c r="BX55" s="945">
        <f t="shared" ca="1" si="154"/>
        <v>0</v>
      </c>
      <c r="BY55" s="945">
        <f t="shared" ca="1" si="154"/>
        <v>0</v>
      </c>
      <c r="BZ55" s="945">
        <f t="shared" ca="1" si="154"/>
        <v>0</v>
      </c>
      <c r="CA55" s="945">
        <f t="shared" ca="1" si="154"/>
        <v>0</v>
      </c>
      <c r="CB55" s="945">
        <f t="shared" ca="1" si="154"/>
        <v>0</v>
      </c>
      <c r="CC55" s="945">
        <f t="shared" ca="1" si="154"/>
        <v>0</v>
      </c>
      <c r="CD55" s="945">
        <f t="shared" ca="1" si="154"/>
        <v>0</v>
      </c>
      <c r="CE55" s="945">
        <f t="shared" ca="1" si="154"/>
        <v>0</v>
      </c>
      <c r="CF55" s="945">
        <f t="shared" ca="1" si="154"/>
        <v>0</v>
      </c>
      <c r="CG55" s="945">
        <f t="shared" ca="1" si="154"/>
        <v>0</v>
      </c>
      <c r="CH55" s="945">
        <f t="shared" ca="1" si="154"/>
        <v>0</v>
      </c>
      <c r="CI55" s="945">
        <f t="shared" ca="1" si="154"/>
        <v>0</v>
      </c>
      <c r="CJ55" s="945">
        <f t="shared" ca="1" si="154"/>
        <v>0</v>
      </c>
      <c r="CK55" s="945">
        <f t="shared" ca="1" si="154"/>
        <v>0</v>
      </c>
      <c r="CL55" s="945">
        <f t="shared" ca="1" si="154"/>
        <v>0</v>
      </c>
      <c r="CM55" s="945">
        <f t="shared" ca="1" si="154"/>
        <v>0</v>
      </c>
      <c r="CN55" s="945">
        <f t="shared" ca="1" si="154"/>
        <v>0</v>
      </c>
      <c r="CO55" s="945">
        <f t="shared" ca="1" si="154"/>
        <v>0</v>
      </c>
      <c r="CP55" s="945">
        <f t="shared" ca="1" si="154"/>
        <v>0</v>
      </c>
      <c r="CQ55" s="945">
        <f t="shared" ca="1" si="154"/>
        <v>0</v>
      </c>
      <c r="CR55" s="945">
        <f t="shared" ca="1" si="154"/>
        <v>0</v>
      </c>
      <c r="CS55" s="945">
        <f t="shared" ca="1" si="154"/>
        <v>0</v>
      </c>
      <c r="CT55" s="945">
        <f t="shared" ca="1" si="154"/>
        <v>0</v>
      </c>
      <c r="CU55" s="945">
        <f t="shared" ca="1" si="154"/>
        <v>0</v>
      </c>
      <c r="CV55" s="945">
        <f t="shared" ca="1" si="154"/>
        <v>0</v>
      </c>
      <c r="CW55" s="945">
        <f t="shared" ca="1" si="154"/>
        <v>0</v>
      </c>
      <c r="CX55" s="945">
        <f t="shared" ca="1" si="154"/>
        <v>0</v>
      </c>
      <c r="CY55" s="945">
        <f t="shared" ca="1" si="154"/>
        <v>0</v>
      </c>
      <c r="CZ55" s="945">
        <f t="shared" ca="1" si="154"/>
        <v>0</v>
      </c>
      <c r="DA55" s="945">
        <f t="shared" ca="1" si="154"/>
        <v>0</v>
      </c>
      <c r="DB55" s="945">
        <f t="shared" ca="1" si="154"/>
        <v>0</v>
      </c>
      <c r="DC55" s="945">
        <f t="shared" ca="1" si="154"/>
        <v>0</v>
      </c>
      <c r="DD55" s="945">
        <f t="shared" ca="1" si="154"/>
        <v>0</v>
      </c>
      <c r="DE55" s="945">
        <f t="shared" ca="1" si="154"/>
        <v>0</v>
      </c>
      <c r="DF55" s="945">
        <f t="shared" ca="1" si="154"/>
        <v>0</v>
      </c>
      <c r="DH55" s="553">
        <f t="shared" ca="1" si="125"/>
        <v>0</v>
      </c>
    </row>
    <row r="56" spans="1:112" s="522" customFormat="1" outlineLevel="1">
      <c r="C56" s="502"/>
      <c r="D56" s="32"/>
      <c r="E56" s="493"/>
      <c r="G56" s="605"/>
      <c r="H56" s="605"/>
      <c r="I56" s="605"/>
      <c r="J56" s="605"/>
      <c r="K56" s="607"/>
      <c r="L56" s="605"/>
      <c r="M56" s="605"/>
      <c r="N56" s="605"/>
      <c r="O56" s="605"/>
      <c r="P56" s="605"/>
      <c r="Q56" s="605"/>
      <c r="S56" s="617"/>
      <c r="T56" s="617"/>
      <c r="U56" s="617"/>
      <c r="V56" s="617"/>
      <c r="W56" s="617"/>
      <c r="X56" s="617"/>
      <c r="Y56" s="617"/>
      <c r="Z56" s="617"/>
      <c r="AA56" s="617"/>
      <c r="AB56" s="617"/>
      <c r="AC56" s="617"/>
      <c r="AD56" s="617"/>
      <c r="AE56" s="617"/>
      <c r="AF56" s="617"/>
      <c r="AG56" s="617"/>
      <c r="AH56" s="617"/>
      <c r="AI56" s="617"/>
      <c r="AJ56" s="617"/>
      <c r="AK56" s="617"/>
      <c r="AM56" s="623"/>
      <c r="AN56" s="623"/>
      <c r="AO56" s="623"/>
      <c r="AP56" s="623"/>
      <c r="AQ56" s="623"/>
      <c r="AR56" s="623"/>
      <c r="AS56" s="623"/>
      <c r="AT56" s="623"/>
      <c r="AU56" s="623"/>
      <c r="AV56" s="623"/>
      <c r="AW56" s="623"/>
      <c r="AX56" s="623"/>
      <c r="AY56" s="623"/>
      <c r="AZ56" s="623"/>
      <c r="BA56" s="623"/>
      <c r="BB56" s="623"/>
      <c r="BC56" s="623"/>
      <c r="BD56" s="623"/>
      <c r="BE56" s="623"/>
      <c r="BF56" s="623"/>
      <c r="BH56" s="637"/>
      <c r="BI56" s="637"/>
      <c r="BJ56" s="637"/>
      <c r="BL56" s="497">
        <f t="shared" ref="BL56:BL63" si="155">Q56+AK56+BF56+BJ56</f>
        <v>0</v>
      </c>
      <c r="BM56" s="497"/>
      <c r="BO56" s="945"/>
      <c r="BP56" s="945"/>
      <c r="BQ56" s="945"/>
      <c r="BR56" s="945"/>
      <c r="BS56" s="945"/>
      <c r="BT56" s="945"/>
      <c r="BU56" s="945"/>
      <c r="BV56" s="945"/>
      <c r="BW56" s="945"/>
      <c r="BX56" s="945"/>
      <c r="BY56" s="945"/>
      <c r="BZ56" s="945"/>
      <c r="CA56" s="945"/>
      <c r="CB56" s="945"/>
      <c r="CC56" s="945"/>
      <c r="CD56" s="945"/>
      <c r="CE56" s="945"/>
      <c r="CF56" s="945"/>
      <c r="CG56" s="945"/>
      <c r="CH56" s="945"/>
      <c r="CI56" s="945"/>
      <c r="CJ56" s="945"/>
      <c r="CK56" s="945"/>
      <c r="CL56" s="945"/>
      <c r="CM56" s="945"/>
      <c r="CN56" s="945"/>
      <c r="CO56" s="945"/>
      <c r="CP56" s="945"/>
      <c r="CQ56" s="945"/>
      <c r="CR56" s="945"/>
      <c r="CS56" s="945"/>
      <c r="CT56" s="945"/>
      <c r="CU56" s="945"/>
      <c r="CV56" s="945"/>
      <c r="CW56" s="945"/>
      <c r="CX56" s="945"/>
      <c r="CY56" s="945"/>
      <c r="CZ56" s="945"/>
      <c r="DA56" s="945"/>
      <c r="DB56" s="945"/>
      <c r="DC56" s="945"/>
      <c r="DD56" s="945"/>
      <c r="DE56" s="945"/>
      <c r="DF56" s="945"/>
      <c r="DH56" s="553">
        <f t="shared" si="125"/>
        <v>0</v>
      </c>
    </row>
    <row r="57" spans="1:112" s="947" customFormat="1" ht="12.75" customHeight="1" outlineLevel="1">
      <c r="C57" s="524" t="s">
        <v>1027</v>
      </c>
      <c r="D57" s="503" t="str">
        <f>INDEX(Modules[Module], MATCH($C57, Modules[Code], 0))</f>
        <v>Onshore wind</v>
      </c>
      <c r="E57" s="503"/>
      <c r="F57" s="522"/>
      <c r="G57" s="663">
        <f t="shared" ref="G57:P62" ca="1" si="156">IFERROR(INDEX(INDIRECT($C57&amp;".Outputs["&amp;this.Year&amp;"]"), MATCH(G$5, INDIRECT($C57&amp;".Outputs[Vector]"), 0)), 0)</f>
        <v>0</v>
      </c>
      <c r="H57" s="663">
        <f t="shared" ca="1" si="156"/>
        <v>0</v>
      </c>
      <c r="I57" s="663">
        <f t="shared" ca="1" si="156"/>
        <v>0</v>
      </c>
      <c r="J57" s="663">
        <f t="shared" ca="1" si="156"/>
        <v>0</v>
      </c>
      <c r="K57" s="663">
        <f t="shared" ca="1" si="156"/>
        <v>0</v>
      </c>
      <c r="L57" s="663">
        <f t="shared" ca="1" si="156"/>
        <v>0</v>
      </c>
      <c r="M57" s="663">
        <f t="shared" ca="1" si="156"/>
        <v>0</v>
      </c>
      <c r="N57" s="663">
        <f t="shared" ca="1" si="156"/>
        <v>0</v>
      </c>
      <c r="O57" s="663">
        <f t="shared" ca="1" si="156"/>
        <v>0</v>
      </c>
      <c r="P57" s="663">
        <f t="shared" ca="1" si="156"/>
        <v>0</v>
      </c>
      <c r="Q57" s="665">
        <f t="shared" ref="Q57:Q63" ca="1" si="157">SUM(G57:P57)</f>
        <v>0</v>
      </c>
      <c r="R57" s="522"/>
      <c r="S57" s="672">
        <f t="shared" ref="S57:BE62" ca="1" si="158">IFERROR(INDEX(INDIRECT($C57&amp;".Outputs["&amp;this.Year&amp;"]"), MATCH(S$5, INDIRECT($C57&amp;".Outputs[Vector]"), 0)), 0)</f>
        <v>0</v>
      </c>
      <c r="T57" s="672">
        <f t="shared" ca="1" si="158"/>
        <v>0</v>
      </c>
      <c r="U57" s="672">
        <f t="shared" ca="1" si="158"/>
        <v>0</v>
      </c>
      <c r="V57" s="672">
        <f t="shared" ca="1" si="158"/>
        <v>0</v>
      </c>
      <c r="W57" s="672">
        <f t="shared" ca="1" si="158"/>
        <v>0</v>
      </c>
      <c r="X57" s="672">
        <f t="shared" ref="X57:Z62" ca="1" si="159">IFERROR(INDEX(INDIRECT($C57&amp;".Outputs["&amp;this.Year&amp;"]"), MATCH(X$5, INDIRECT($C57&amp;".Outputs[Vector]"), 0)), 0)</f>
        <v>0</v>
      </c>
      <c r="Y57" s="672">
        <f t="shared" ca="1" si="159"/>
        <v>0</v>
      </c>
      <c r="Z57" s="672">
        <f t="shared" ca="1" si="159"/>
        <v>0</v>
      </c>
      <c r="AA57" s="672">
        <f t="shared" ca="1" si="158"/>
        <v>0</v>
      </c>
      <c r="AB57" s="672">
        <f t="shared" ca="1" si="158"/>
        <v>0</v>
      </c>
      <c r="AC57" s="672">
        <f t="shared" ca="1" si="158"/>
        <v>0</v>
      </c>
      <c r="AD57" s="672">
        <f t="shared" ca="1" si="158"/>
        <v>0</v>
      </c>
      <c r="AE57" s="672">
        <f t="shared" ca="1" si="158"/>
        <v>0</v>
      </c>
      <c r="AF57" s="672">
        <f t="shared" ca="1" si="158"/>
        <v>0</v>
      </c>
      <c r="AG57" s="672">
        <f t="shared" ca="1" si="158"/>
        <v>0</v>
      </c>
      <c r="AH57" s="672">
        <f t="shared" ca="1" si="158"/>
        <v>0</v>
      </c>
      <c r="AI57" s="672">
        <f t="shared" ca="1" si="158"/>
        <v>0</v>
      </c>
      <c r="AJ57" s="672">
        <f t="shared" ca="1" si="158"/>
        <v>0</v>
      </c>
      <c r="AK57" s="673">
        <f t="shared" ref="AK57:AK63" ca="1" si="160">SUM(S57:AJ57)</f>
        <v>0</v>
      </c>
      <c r="AL57" s="522"/>
      <c r="AM57" s="684">
        <f t="shared" ref="AM57:AU62" ca="1" si="161">IFERROR(INDEX(INDIRECT($C57&amp;".Outputs["&amp;this.Year&amp;"]"), MATCH(AM$5, INDIRECT($C57&amp;".Outputs[Vector]"), 0)), 0)</f>
        <v>0</v>
      </c>
      <c r="AN57" s="684">
        <f t="shared" ca="1" si="161"/>
        <v>0</v>
      </c>
      <c r="AO57" s="684">
        <f t="shared" ca="1" si="161"/>
        <v>0</v>
      </c>
      <c r="AP57" s="684">
        <f t="shared" ca="1" si="161"/>
        <v>0</v>
      </c>
      <c r="AQ57" s="684">
        <f t="shared" ca="1" si="161"/>
        <v>0</v>
      </c>
      <c r="AR57" s="684">
        <f t="shared" ca="1" si="161"/>
        <v>0</v>
      </c>
      <c r="AS57" s="684">
        <f t="shared" ca="1" si="161"/>
        <v>0</v>
      </c>
      <c r="AT57" s="684">
        <f t="shared" ca="1" si="161"/>
        <v>0</v>
      </c>
      <c r="AU57" s="684">
        <f t="shared" ca="1" si="161"/>
        <v>0</v>
      </c>
      <c r="AV57" s="684">
        <f t="shared" ca="1" si="158"/>
        <v>0</v>
      </c>
      <c r="AW57" s="684">
        <f t="shared" ca="1" si="158"/>
        <v>0</v>
      </c>
      <c r="AX57" s="684">
        <f t="shared" ca="1" si="158"/>
        <v>0</v>
      </c>
      <c r="AY57" s="684">
        <f t="shared" ca="1" si="158"/>
        <v>0</v>
      </c>
      <c r="AZ57" s="684">
        <f t="shared" ca="1" si="158"/>
        <v>0</v>
      </c>
      <c r="BA57" s="684">
        <f t="shared" ca="1" si="158"/>
        <v>0</v>
      </c>
      <c r="BB57" s="684">
        <f t="shared" ca="1" si="158"/>
        <v>0</v>
      </c>
      <c r="BC57" s="684">
        <f t="shared" ca="1" si="158"/>
        <v>0</v>
      </c>
      <c r="BD57" s="684">
        <f t="shared" ca="1" si="158"/>
        <v>0</v>
      </c>
      <c r="BE57" s="684">
        <f t="shared" ca="1" si="158"/>
        <v>0</v>
      </c>
      <c r="BF57" s="626">
        <f t="shared" ref="BF57:BF63" ca="1" si="162">SUM(AM57:BE57)</f>
        <v>0</v>
      </c>
      <c r="BG57" s="522"/>
      <c r="BH57" s="678">
        <f t="shared" ref="BH57:BI62" ca="1" si="163">IFERROR(INDEX(INDIRECT($C57&amp;".Outputs["&amp;this.Year&amp;"]"), MATCH(BH$5, INDIRECT($C57&amp;".Outputs[Vector]"), 0)), 0)</f>
        <v>0</v>
      </c>
      <c r="BI57" s="678">
        <f t="shared" ca="1" si="163"/>
        <v>0</v>
      </c>
      <c r="BJ57" s="680">
        <f t="shared" ref="BJ57:BJ63" ca="1" si="164">SUM(BH57:BI57)</f>
        <v>0</v>
      </c>
      <c r="BK57" s="522"/>
      <c r="BL57" s="547">
        <f t="shared" ca="1" si="155"/>
        <v>0</v>
      </c>
      <c r="BM57" s="547"/>
      <c r="BN57" s="555"/>
      <c r="BO57" s="944">
        <f t="shared" ref="BO57:BX62" ca="1" si="165">IFERROR(SUMIFS(INDIRECT($C57&amp;".Emissions["&amp;this.Year&amp;"]"), INDIRECT($C57&amp;".Emissions[GHG]"), BO$6, INDIRECT($C57&amp;".Emissions[IPCC Sector]"), BO$5),0)</f>
        <v>0</v>
      </c>
      <c r="BP57" s="945">
        <f t="shared" ca="1" si="165"/>
        <v>0</v>
      </c>
      <c r="BQ57" s="945">
        <f t="shared" ca="1" si="165"/>
        <v>0</v>
      </c>
      <c r="BR57" s="945">
        <f t="shared" ca="1" si="165"/>
        <v>0</v>
      </c>
      <c r="BS57" s="945">
        <f t="shared" ca="1" si="165"/>
        <v>0</v>
      </c>
      <c r="BT57" s="945">
        <f t="shared" ca="1" si="165"/>
        <v>0</v>
      </c>
      <c r="BU57" s="945">
        <f t="shared" ca="1" si="165"/>
        <v>0</v>
      </c>
      <c r="BV57" s="945">
        <f t="shared" ca="1" si="165"/>
        <v>0</v>
      </c>
      <c r="BW57" s="945">
        <f t="shared" ca="1" si="165"/>
        <v>0</v>
      </c>
      <c r="BX57" s="945">
        <f t="shared" ca="1" si="165"/>
        <v>0</v>
      </c>
      <c r="BY57" s="945">
        <f t="shared" ref="BY57:CH62" ca="1" si="166">IFERROR(SUMIFS(INDIRECT($C57&amp;".Emissions["&amp;this.Year&amp;"]"), INDIRECT($C57&amp;".Emissions[GHG]"), BY$6, INDIRECT($C57&amp;".Emissions[IPCC Sector]"), BY$5),0)</f>
        <v>0</v>
      </c>
      <c r="BZ57" s="945">
        <f t="shared" ca="1" si="166"/>
        <v>0</v>
      </c>
      <c r="CA57" s="945">
        <f t="shared" ca="1" si="166"/>
        <v>0</v>
      </c>
      <c r="CB57" s="945">
        <f t="shared" ca="1" si="166"/>
        <v>0</v>
      </c>
      <c r="CC57" s="945">
        <f t="shared" ca="1" si="166"/>
        <v>0</v>
      </c>
      <c r="CD57" s="945">
        <f t="shared" ca="1" si="166"/>
        <v>0</v>
      </c>
      <c r="CE57" s="945">
        <f t="shared" ca="1" si="166"/>
        <v>0</v>
      </c>
      <c r="CF57" s="945">
        <f t="shared" ca="1" si="166"/>
        <v>0</v>
      </c>
      <c r="CG57" s="945">
        <f t="shared" ca="1" si="166"/>
        <v>0</v>
      </c>
      <c r="CH57" s="945">
        <f t="shared" ca="1" si="166"/>
        <v>0</v>
      </c>
      <c r="CI57" s="945">
        <f t="shared" ref="CI57:CR62" ca="1" si="167">IFERROR(SUMIFS(INDIRECT($C57&amp;".Emissions["&amp;this.Year&amp;"]"), INDIRECT($C57&amp;".Emissions[GHG]"), CI$6, INDIRECT($C57&amp;".Emissions[IPCC Sector]"), CI$5),0)</f>
        <v>0</v>
      </c>
      <c r="CJ57" s="945">
        <f t="shared" ca="1" si="167"/>
        <v>0</v>
      </c>
      <c r="CK57" s="945">
        <f t="shared" ca="1" si="167"/>
        <v>0</v>
      </c>
      <c r="CL57" s="945">
        <f t="shared" ca="1" si="167"/>
        <v>0</v>
      </c>
      <c r="CM57" s="945">
        <f t="shared" ca="1" si="167"/>
        <v>0</v>
      </c>
      <c r="CN57" s="945">
        <f t="shared" ca="1" si="167"/>
        <v>0</v>
      </c>
      <c r="CO57" s="945">
        <f t="shared" ca="1" si="167"/>
        <v>0</v>
      </c>
      <c r="CP57" s="945">
        <f t="shared" ca="1" si="167"/>
        <v>0</v>
      </c>
      <c r="CQ57" s="945">
        <f t="shared" ca="1" si="167"/>
        <v>0</v>
      </c>
      <c r="CR57" s="945">
        <f t="shared" ca="1" si="167"/>
        <v>0</v>
      </c>
      <c r="CS57" s="945">
        <f t="shared" ref="CS57:DF62" ca="1" si="168">IFERROR(SUMIFS(INDIRECT($C57&amp;".Emissions["&amp;this.Year&amp;"]"), INDIRECT($C57&amp;".Emissions[GHG]"), CS$6, INDIRECT($C57&amp;".Emissions[IPCC Sector]"), CS$5),0)</f>
        <v>0</v>
      </c>
      <c r="CT57" s="945">
        <f t="shared" ca="1" si="168"/>
        <v>0</v>
      </c>
      <c r="CU57" s="945">
        <f t="shared" ca="1" si="168"/>
        <v>0</v>
      </c>
      <c r="CV57" s="945">
        <f t="shared" ca="1" si="168"/>
        <v>0</v>
      </c>
      <c r="CW57" s="945">
        <f t="shared" ca="1" si="168"/>
        <v>0</v>
      </c>
      <c r="CX57" s="945">
        <f t="shared" ca="1" si="168"/>
        <v>0</v>
      </c>
      <c r="CY57" s="945">
        <f t="shared" ca="1" si="168"/>
        <v>0</v>
      </c>
      <c r="CZ57" s="945">
        <f t="shared" ca="1" si="168"/>
        <v>0</v>
      </c>
      <c r="DA57" s="945">
        <f t="shared" ca="1" si="168"/>
        <v>0</v>
      </c>
      <c r="DB57" s="945">
        <f t="shared" ca="1" si="168"/>
        <v>0</v>
      </c>
      <c r="DC57" s="945">
        <f t="shared" ca="1" si="168"/>
        <v>0</v>
      </c>
      <c r="DD57" s="945">
        <f t="shared" ca="1" si="168"/>
        <v>0</v>
      </c>
      <c r="DE57" s="945">
        <f t="shared" ca="1" si="168"/>
        <v>0</v>
      </c>
      <c r="DF57" s="945">
        <f t="shared" ca="1" si="168"/>
        <v>0</v>
      </c>
      <c r="DH57" s="553">
        <f t="shared" ca="1" si="125"/>
        <v>0</v>
      </c>
    </row>
    <row r="58" spans="1:112" s="947" customFormat="1" ht="12.75" customHeight="1" outlineLevel="1">
      <c r="C58" s="524" t="s">
        <v>1028</v>
      </c>
      <c r="D58" s="503" t="str">
        <f>INDEX(Modules[Module], MATCH($C58, Modules[Code], 0))</f>
        <v>Offshore wind</v>
      </c>
      <c r="E58" s="503"/>
      <c r="F58" s="522"/>
      <c r="G58" s="663">
        <f t="shared" ca="1" si="156"/>
        <v>0</v>
      </c>
      <c r="H58" s="663">
        <f t="shared" ca="1" si="156"/>
        <v>0</v>
      </c>
      <c r="I58" s="663">
        <f t="shared" ca="1" si="156"/>
        <v>0</v>
      </c>
      <c r="J58" s="663">
        <f t="shared" ca="1" si="156"/>
        <v>0</v>
      </c>
      <c r="K58" s="663">
        <f t="shared" ca="1" si="156"/>
        <v>0</v>
      </c>
      <c r="L58" s="663">
        <f t="shared" ca="1" si="156"/>
        <v>0</v>
      </c>
      <c r="M58" s="663">
        <f t="shared" ca="1" si="156"/>
        <v>0</v>
      </c>
      <c r="N58" s="663">
        <f t="shared" ca="1" si="156"/>
        <v>0</v>
      </c>
      <c r="O58" s="663">
        <f t="shared" ca="1" si="156"/>
        <v>0</v>
      </c>
      <c r="P58" s="663">
        <f t="shared" ca="1" si="156"/>
        <v>0</v>
      </c>
      <c r="Q58" s="665">
        <f ca="1">SUM(G58:P58)</f>
        <v>0</v>
      </c>
      <c r="R58" s="522"/>
      <c r="S58" s="672">
        <f t="shared" ca="1" si="158"/>
        <v>0</v>
      </c>
      <c r="T58" s="672">
        <f t="shared" ca="1" si="158"/>
        <v>0</v>
      </c>
      <c r="U58" s="672">
        <f t="shared" ca="1" si="158"/>
        <v>0</v>
      </c>
      <c r="V58" s="672">
        <f t="shared" ca="1" si="158"/>
        <v>0</v>
      </c>
      <c r="W58" s="672">
        <f t="shared" ca="1" si="158"/>
        <v>0</v>
      </c>
      <c r="X58" s="672">
        <f t="shared" ca="1" si="159"/>
        <v>0</v>
      </c>
      <c r="Y58" s="672">
        <f t="shared" ca="1" si="159"/>
        <v>0</v>
      </c>
      <c r="Z58" s="672">
        <f t="shared" ca="1" si="159"/>
        <v>0</v>
      </c>
      <c r="AA58" s="672">
        <f t="shared" ca="1" si="158"/>
        <v>0</v>
      </c>
      <c r="AB58" s="672">
        <f t="shared" ca="1" si="158"/>
        <v>0</v>
      </c>
      <c r="AC58" s="672">
        <f t="shared" ca="1" si="158"/>
        <v>0</v>
      </c>
      <c r="AD58" s="672">
        <f t="shared" ca="1" si="158"/>
        <v>0</v>
      </c>
      <c r="AE58" s="672">
        <f t="shared" ca="1" si="158"/>
        <v>0</v>
      </c>
      <c r="AF58" s="672">
        <f t="shared" ca="1" si="158"/>
        <v>0</v>
      </c>
      <c r="AG58" s="672">
        <f t="shared" ca="1" si="158"/>
        <v>0</v>
      </c>
      <c r="AH58" s="672">
        <f t="shared" ca="1" si="158"/>
        <v>0</v>
      </c>
      <c r="AI58" s="672">
        <f t="shared" ca="1" si="158"/>
        <v>0</v>
      </c>
      <c r="AJ58" s="672">
        <f t="shared" ca="1" si="158"/>
        <v>0</v>
      </c>
      <c r="AK58" s="673">
        <f ca="1">SUM(S58:AJ58)</f>
        <v>0</v>
      </c>
      <c r="AL58" s="522"/>
      <c r="AM58" s="684">
        <f t="shared" ca="1" si="161"/>
        <v>0</v>
      </c>
      <c r="AN58" s="684">
        <f t="shared" ca="1" si="161"/>
        <v>0</v>
      </c>
      <c r="AO58" s="684">
        <f t="shared" ca="1" si="161"/>
        <v>0</v>
      </c>
      <c r="AP58" s="684">
        <f t="shared" ca="1" si="161"/>
        <v>0</v>
      </c>
      <c r="AQ58" s="684">
        <f t="shared" ca="1" si="161"/>
        <v>0</v>
      </c>
      <c r="AR58" s="684">
        <f t="shared" ca="1" si="161"/>
        <v>0</v>
      </c>
      <c r="AS58" s="684">
        <f t="shared" ca="1" si="161"/>
        <v>0</v>
      </c>
      <c r="AT58" s="684">
        <f t="shared" ca="1" si="161"/>
        <v>0</v>
      </c>
      <c r="AU58" s="684">
        <f t="shared" ca="1" si="161"/>
        <v>0</v>
      </c>
      <c r="AV58" s="684">
        <f t="shared" ca="1" si="158"/>
        <v>0</v>
      </c>
      <c r="AW58" s="684">
        <f t="shared" ca="1" si="158"/>
        <v>0</v>
      </c>
      <c r="AX58" s="684">
        <f t="shared" ca="1" si="158"/>
        <v>0</v>
      </c>
      <c r="AY58" s="684">
        <f t="shared" ca="1" si="158"/>
        <v>0</v>
      </c>
      <c r="AZ58" s="684">
        <f t="shared" ca="1" si="158"/>
        <v>0</v>
      </c>
      <c r="BA58" s="684">
        <f t="shared" ca="1" si="158"/>
        <v>0</v>
      </c>
      <c r="BB58" s="684">
        <f t="shared" ca="1" si="158"/>
        <v>0</v>
      </c>
      <c r="BC58" s="684">
        <f t="shared" ca="1" si="158"/>
        <v>0</v>
      </c>
      <c r="BD58" s="684">
        <f t="shared" ca="1" si="158"/>
        <v>0</v>
      </c>
      <c r="BE58" s="684">
        <f t="shared" ca="1" si="158"/>
        <v>0</v>
      </c>
      <c r="BF58" s="626">
        <f ca="1">SUM(AM58:BE58)</f>
        <v>0</v>
      </c>
      <c r="BG58" s="522"/>
      <c r="BH58" s="678">
        <f t="shared" ca="1" si="163"/>
        <v>0</v>
      </c>
      <c r="BI58" s="678">
        <f t="shared" ca="1" si="163"/>
        <v>0</v>
      </c>
      <c r="BJ58" s="680">
        <f ca="1">SUM(BH58:BI58)</f>
        <v>0</v>
      </c>
      <c r="BK58" s="522"/>
      <c r="BL58" s="547">
        <f ca="1">Q58+AK58+BF58+BJ58</f>
        <v>0</v>
      </c>
      <c r="BM58" s="547"/>
      <c r="BN58" s="555"/>
      <c r="BO58" s="944">
        <f t="shared" ca="1" si="165"/>
        <v>0</v>
      </c>
      <c r="BP58" s="945">
        <f t="shared" ca="1" si="165"/>
        <v>0</v>
      </c>
      <c r="BQ58" s="945">
        <f t="shared" ca="1" si="165"/>
        <v>0</v>
      </c>
      <c r="BR58" s="945">
        <f t="shared" ca="1" si="165"/>
        <v>0</v>
      </c>
      <c r="BS58" s="945">
        <f t="shared" ca="1" si="165"/>
        <v>0</v>
      </c>
      <c r="BT58" s="945">
        <f t="shared" ca="1" si="165"/>
        <v>0</v>
      </c>
      <c r="BU58" s="945">
        <f t="shared" ca="1" si="165"/>
        <v>0</v>
      </c>
      <c r="BV58" s="945">
        <f t="shared" ca="1" si="165"/>
        <v>0</v>
      </c>
      <c r="BW58" s="945">
        <f t="shared" ca="1" si="165"/>
        <v>0</v>
      </c>
      <c r="BX58" s="945">
        <f t="shared" ca="1" si="165"/>
        <v>0</v>
      </c>
      <c r="BY58" s="945">
        <f t="shared" ca="1" si="166"/>
        <v>0</v>
      </c>
      <c r="BZ58" s="945">
        <f t="shared" ca="1" si="166"/>
        <v>0</v>
      </c>
      <c r="CA58" s="945">
        <f t="shared" ca="1" si="166"/>
        <v>0</v>
      </c>
      <c r="CB58" s="945">
        <f t="shared" ca="1" si="166"/>
        <v>0</v>
      </c>
      <c r="CC58" s="945">
        <f t="shared" ca="1" si="166"/>
        <v>0</v>
      </c>
      <c r="CD58" s="945">
        <f t="shared" ca="1" si="166"/>
        <v>0</v>
      </c>
      <c r="CE58" s="945">
        <f t="shared" ca="1" si="166"/>
        <v>0</v>
      </c>
      <c r="CF58" s="945">
        <f t="shared" ca="1" si="166"/>
        <v>0</v>
      </c>
      <c r="CG58" s="945">
        <f t="shared" ca="1" si="166"/>
        <v>0</v>
      </c>
      <c r="CH58" s="945">
        <f t="shared" ca="1" si="166"/>
        <v>0</v>
      </c>
      <c r="CI58" s="945">
        <f t="shared" ca="1" si="167"/>
        <v>0</v>
      </c>
      <c r="CJ58" s="945">
        <f t="shared" ca="1" si="167"/>
        <v>0</v>
      </c>
      <c r="CK58" s="945">
        <f t="shared" ca="1" si="167"/>
        <v>0</v>
      </c>
      <c r="CL58" s="945">
        <f t="shared" ca="1" si="167"/>
        <v>0</v>
      </c>
      <c r="CM58" s="945">
        <f t="shared" ca="1" si="167"/>
        <v>0</v>
      </c>
      <c r="CN58" s="945">
        <f t="shared" ca="1" si="167"/>
        <v>0</v>
      </c>
      <c r="CO58" s="945">
        <f t="shared" ca="1" si="167"/>
        <v>0</v>
      </c>
      <c r="CP58" s="945">
        <f t="shared" ca="1" si="167"/>
        <v>0</v>
      </c>
      <c r="CQ58" s="945">
        <f t="shared" ca="1" si="167"/>
        <v>0</v>
      </c>
      <c r="CR58" s="945">
        <f t="shared" ca="1" si="167"/>
        <v>0</v>
      </c>
      <c r="CS58" s="945">
        <f t="shared" ca="1" si="168"/>
        <v>0</v>
      </c>
      <c r="CT58" s="945">
        <f t="shared" ca="1" si="168"/>
        <v>0</v>
      </c>
      <c r="CU58" s="945">
        <f t="shared" ca="1" si="168"/>
        <v>0</v>
      </c>
      <c r="CV58" s="945">
        <f t="shared" ca="1" si="168"/>
        <v>0</v>
      </c>
      <c r="CW58" s="945">
        <f t="shared" ca="1" si="168"/>
        <v>0</v>
      </c>
      <c r="CX58" s="945">
        <f t="shared" ca="1" si="168"/>
        <v>0</v>
      </c>
      <c r="CY58" s="945">
        <f t="shared" ca="1" si="168"/>
        <v>0</v>
      </c>
      <c r="CZ58" s="945">
        <f t="shared" ca="1" si="168"/>
        <v>0</v>
      </c>
      <c r="DA58" s="945">
        <f t="shared" ca="1" si="168"/>
        <v>0</v>
      </c>
      <c r="DB58" s="945">
        <f t="shared" ca="1" si="168"/>
        <v>0</v>
      </c>
      <c r="DC58" s="945">
        <f t="shared" ca="1" si="168"/>
        <v>0</v>
      </c>
      <c r="DD58" s="945">
        <f t="shared" ca="1" si="168"/>
        <v>0</v>
      </c>
      <c r="DE58" s="945">
        <f t="shared" ca="1" si="168"/>
        <v>0</v>
      </c>
      <c r="DF58" s="945">
        <f t="shared" ca="1" si="168"/>
        <v>0</v>
      </c>
      <c r="DH58" s="553">
        <f ca="1">SUM(BO58:DF58)</f>
        <v>0</v>
      </c>
    </row>
    <row r="59" spans="1:112" s="947" customFormat="1" ht="12.75" customHeight="1" outlineLevel="1">
      <c r="C59" s="524" t="s">
        <v>638</v>
      </c>
      <c r="D59" s="503" t="str">
        <f>INDEX(Modules[Module], MATCH($C59, Modules[Code], 0))</f>
        <v>Hydroelectric power stations</v>
      </c>
      <c r="E59" s="503"/>
      <c r="F59" s="522"/>
      <c r="G59" s="663">
        <f t="shared" ca="1" si="156"/>
        <v>0</v>
      </c>
      <c r="H59" s="663">
        <f t="shared" ca="1" si="156"/>
        <v>0</v>
      </c>
      <c r="I59" s="663">
        <f t="shared" ca="1" si="156"/>
        <v>0</v>
      </c>
      <c r="J59" s="663">
        <f t="shared" ca="1" si="156"/>
        <v>0</v>
      </c>
      <c r="K59" s="663">
        <f t="shared" ca="1" si="156"/>
        <v>0</v>
      </c>
      <c r="L59" s="663">
        <f t="shared" ca="1" si="156"/>
        <v>0</v>
      </c>
      <c r="M59" s="663">
        <f t="shared" ca="1" si="156"/>
        <v>0</v>
      </c>
      <c r="N59" s="663">
        <f t="shared" ca="1" si="156"/>
        <v>0</v>
      </c>
      <c r="O59" s="663">
        <f t="shared" ca="1" si="156"/>
        <v>0</v>
      </c>
      <c r="P59" s="663">
        <f t="shared" ca="1" si="156"/>
        <v>0</v>
      </c>
      <c r="Q59" s="665">
        <f t="shared" ca="1" si="157"/>
        <v>0</v>
      </c>
      <c r="R59" s="522"/>
      <c r="S59" s="672">
        <f t="shared" ca="1" si="158"/>
        <v>0</v>
      </c>
      <c r="T59" s="672">
        <f t="shared" ca="1" si="158"/>
        <v>0</v>
      </c>
      <c r="U59" s="672">
        <f t="shared" ca="1" si="158"/>
        <v>0</v>
      </c>
      <c r="V59" s="672">
        <f t="shared" ca="1" si="158"/>
        <v>0</v>
      </c>
      <c r="W59" s="672">
        <f t="shared" ca="1" si="158"/>
        <v>0</v>
      </c>
      <c r="X59" s="672">
        <f t="shared" ca="1" si="159"/>
        <v>0</v>
      </c>
      <c r="Y59" s="672">
        <f t="shared" ca="1" si="159"/>
        <v>0</v>
      </c>
      <c r="Z59" s="672">
        <f t="shared" ca="1" si="159"/>
        <v>0</v>
      </c>
      <c r="AA59" s="672">
        <f t="shared" ca="1" si="158"/>
        <v>0</v>
      </c>
      <c r="AB59" s="672">
        <f t="shared" ca="1" si="158"/>
        <v>0</v>
      </c>
      <c r="AC59" s="672">
        <f t="shared" ca="1" si="158"/>
        <v>0</v>
      </c>
      <c r="AD59" s="672">
        <f t="shared" ca="1" si="158"/>
        <v>0</v>
      </c>
      <c r="AE59" s="672">
        <f t="shared" ca="1" si="158"/>
        <v>0</v>
      </c>
      <c r="AF59" s="672">
        <f t="shared" ca="1" si="158"/>
        <v>0</v>
      </c>
      <c r="AG59" s="672">
        <f t="shared" ca="1" si="158"/>
        <v>0</v>
      </c>
      <c r="AH59" s="672">
        <f t="shared" ca="1" si="158"/>
        <v>0</v>
      </c>
      <c r="AI59" s="672">
        <f t="shared" ca="1" si="158"/>
        <v>0</v>
      </c>
      <c r="AJ59" s="672">
        <f t="shared" ca="1" si="158"/>
        <v>0</v>
      </c>
      <c r="AK59" s="673">
        <f t="shared" ca="1" si="160"/>
        <v>0</v>
      </c>
      <c r="AL59" s="522"/>
      <c r="AM59" s="684">
        <f t="shared" ca="1" si="161"/>
        <v>0</v>
      </c>
      <c r="AN59" s="684">
        <f t="shared" ca="1" si="161"/>
        <v>0</v>
      </c>
      <c r="AO59" s="684">
        <f t="shared" ca="1" si="161"/>
        <v>0</v>
      </c>
      <c r="AP59" s="684">
        <f t="shared" ca="1" si="161"/>
        <v>0</v>
      </c>
      <c r="AQ59" s="684">
        <f t="shared" ca="1" si="161"/>
        <v>0</v>
      </c>
      <c r="AR59" s="684">
        <f t="shared" ca="1" si="161"/>
        <v>0</v>
      </c>
      <c r="AS59" s="684">
        <f t="shared" ca="1" si="161"/>
        <v>0</v>
      </c>
      <c r="AT59" s="684">
        <f t="shared" ca="1" si="161"/>
        <v>0</v>
      </c>
      <c r="AU59" s="684">
        <f t="shared" ca="1" si="161"/>
        <v>0</v>
      </c>
      <c r="AV59" s="684">
        <f t="shared" ca="1" si="158"/>
        <v>0</v>
      </c>
      <c r="AW59" s="684">
        <f t="shared" ca="1" si="158"/>
        <v>0</v>
      </c>
      <c r="AX59" s="684">
        <f t="shared" ca="1" si="158"/>
        <v>0</v>
      </c>
      <c r="AY59" s="684">
        <f t="shared" ca="1" si="158"/>
        <v>0</v>
      </c>
      <c r="AZ59" s="684">
        <f t="shared" ca="1" si="158"/>
        <v>0</v>
      </c>
      <c r="BA59" s="684">
        <f t="shared" ca="1" si="158"/>
        <v>0</v>
      </c>
      <c r="BB59" s="684">
        <f t="shared" ca="1" si="158"/>
        <v>0</v>
      </c>
      <c r="BC59" s="684">
        <f t="shared" ca="1" si="158"/>
        <v>0</v>
      </c>
      <c r="BD59" s="684">
        <f t="shared" ca="1" si="158"/>
        <v>0</v>
      </c>
      <c r="BE59" s="684">
        <f t="shared" ca="1" si="158"/>
        <v>0</v>
      </c>
      <c r="BF59" s="626">
        <f t="shared" ca="1" si="162"/>
        <v>0</v>
      </c>
      <c r="BG59" s="522"/>
      <c r="BH59" s="678">
        <f t="shared" ca="1" si="163"/>
        <v>0</v>
      </c>
      <c r="BI59" s="678">
        <f t="shared" ca="1" si="163"/>
        <v>0</v>
      </c>
      <c r="BJ59" s="680">
        <f t="shared" ca="1" si="164"/>
        <v>0</v>
      </c>
      <c r="BK59" s="522"/>
      <c r="BL59" s="547">
        <f t="shared" ca="1" si="155"/>
        <v>0</v>
      </c>
      <c r="BM59" s="547"/>
      <c r="BN59" s="555"/>
      <c r="BO59" s="944">
        <f t="shared" ca="1" si="165"/>
        <v>0</v>
      </c>
      <c r="BP59" s="945">
        <f t="shared" ca="1" si="165"/>
        <v>0</v>
      </c>
      <c r="BQ59" s="945">
        <f t="shared" ca="1" si="165"/>
        <v>0</v>
      </c>
      <c r="BR59" s="945">
        <f t="shared" ca="1" si="165"/>
        <v>0</v>
      </c>
      <c r="BS59" s="945">
        <f t="shared" ca="1" si="165"/>
        <v>0</v>
      </c>
      <c r="BT59" s="945">
        <f t="shared" ca="1" si="165"/>
        <v>0</v>
      </c>
      <c r="BU59" s="945">
        <f t="shared" ca="1" si="165"/>
        <v>0</v>
      </c>
      <c r="BV59" s="945">
        <f t="shared" ca="1" si="165"/>
        <v>0</v>
      </c>
      <c r="BW59" s="945">
        <f t="shared" ca="1" si="165"/>
        <v>0</v>
      </c>
      <c r="BX59" s="945">
        <f t="shared" ca="1" si="165"/>
        <v>0</v>
      </c>
      <c r="BY59" s="945">
        <f t="shared" ca="1" si="166"/>
        <v>0</v>
      </c>
      <c r="BZ59" s="945">
        <f t="shared" ca="1" si="166"/>
        <v>0</v>
      </c>
      <c r="CA59" s="945">
        <f t="shared" ca="1" si="166"/>
        <v>0</v>
      </c>
      <c r="CB59" s="945">
        <f t="shared" ca="1" si="166"/>
        <v>0</v>
      </c>
      <c r="CC59" s="945">
        <f t="shared" ca="1" si="166"/>
        <v>0</v>
      </c>
      <c r="CD59" s="945">
        <f t="shared" ca="1" si="166"/>
        <v>0</v>
      </c>
      <c r="CE59" s="945">
        <f t="shared" ca="1" si="166"/>
        <v>0</v>
      </c>
      <c r="CF59" s="945">
        <f t="shared" ca="1" si="166"/>
        <v>0</v>
      </c>
      <c r="CG59" s="945">
        <f t="shared" ca="1" si="166"/>
        <v>0</v>
      </c>
      <c r="CH59" s="945">
        <f t="shared" ca="1" si="166"/>
        <v>0</v>
      </c>
      <c r="CI59" s="945">
        <f t="shared" ca="1" si="167"/>
        <v>0</v>
      </c>
      <c r="CJ59" s="945">
        <f t="shared" ca="1" si="167"/>
        <v>0</v>
      </c>
      <c r="CK59" s="945">
        <f t="shared" ca="1" si="167"/>
        <v>0</v>
      </c>
      <c r="CL59" s="945">
        <f t="shared" ca="1" si="167"/>
        <v>0</v>
      </c>
      <c r="CM59" s="945">
        <f t="shared" ca="1" si="167"/>
        <v>0</v>
      </c>
      <c r="CN59" s="945">
        <f t="shared" ca="1" si="167"/>
        <v>0</v>
      </c>
      <c r="CO59" s="945">
        <f t="shared" ca="1" si="167"/>
        <v>0</v>
      </c>
      <c r="CP59" s="945">
        <f t="shared" ca="1" si="167"/>
        <v>0</v>
      </c>
      <c r="CQ59" s="945">
        <f t="shared" ca="1" si="167"/>
        <v>0</v>
      </c>
      <c r="CR59" s="945">
        <f t="shared" ca="1" si="167"/>
        <v>0</v>
      </c>
      <c r="CS59" s="945">
        <f t="shared" ca="1" si="168"/>
        <v>0</v>
      </c>
      <c r="CT59" s="945">
        <f t="shared" ca="1" si="168"/>
        <v>0</v>
      </c>
      <c r="CU59" s="945">
        <f t="shared" ca="1" si="168"/>
        <v>0</v>
      </c>
      <c r="CV59" s="945">
        <f t="shared" ca="1" si="168"/>
        <v>0</v>
      </c>
      <c r="CW59" s="945">
        <f t="shared" ca="1" si="168"/>
        <v>0</v>
      </c>
      <c r="CX59" s="945">
        <f t="shared" ca="1" si="168"/>
        <v>0</v>
      </c>
      <c r="CY59" s="945">
        <f t="shared" ca="1" si="168"/>
        <v>0</v>
      </c>
      <c r="CZ59" s="945">
        <f t="shared" ca="1" si="168"/>
        <v>0</v>
      </c>
      <c r="DA59" s="945">
        <f t="shared" ca="1" si="168"/>
        <v>0</v>
      </c>
      <c r="DB59" s="945">
        <f t="shared" ca="1" si="168"/>
        <v>0</v>
      </c>
      <c r="DC59" s="945">
        <f t="shared" ca="1" si="168"/>
        <v>0</v>
      </c>
      <c r="DD59" s="945">
        <f t="shared" ca="1" si="168"/>
        <v>0</v>
      </c>
      <c r="DE59" s="945">
        <f t="shared" ca="1" si="168"/>
        <v>0</v>
      </c>
      <c r="DF59" s="945">
        <f t="shared" ca="1" si="168"/>
        <v>0</v>
      </c>
      <c r="DH59" s="553">
        <f t="shared" ca="1" si="125"/>
        <v>0</v>
      </c>
    </row>
    <row r="60" spans="1:112" s="947" customFormat="1" ht="12.75" customHeight="1" outlineLevel="1">
      <c r="C60" s="524" t="s">
        <v>640</v>
      </c>
      <c r="D60" s="503" t="str">
        <f>INDEX(Modules[Module], MATCH($C60, Modules[Code], 0))</f>
        <v>Tidal &amp; Wave</v>
      </c>
      <c r="E60" s="503"/>
      <c r="F60" s="522"/>
      <c r="G60" s="663">
        <f t="shared" ca="1" si="156"/>
        <v>0</v>
      </c>
      <c r="H60" s="663">
        <f t="shared" ca="1" si="156"/>
        <v>0</v>
      </c>
      <c r="I60" s="663">
        <f t="shared" ca="1" si="156"/>
        <v>0</v>
      </c>
      <c r="J60" s="663">
        <f t="shared" ca="1" si="156"/>
        <v>0</v>
      </c>
      <c r="K60" s="663">
        <f t="shared" ca="1" si="156"/>
        <v>0</v>
      </c>
      <c r="L60" s="663">
        <f t="shared" ca="1" si="156"/>
        <v>0</v>
      </c>
      <c r="M60" s="663">
        <f t="shared" ca="1" si="156"/>
        <v>0</v>
      </c>
      <c r="N60" s="663">
        <f t="shared" ca="1" si="156"/>
        <v>0</v>
      </c>
      <c r="O60" s="663">
        <f t="shared" ca="1" si="156"/>
        <v>0</v>
      </c>
      <c r="P60" s="663">
        <f t="shared" ca="1" si="156"/>
        <v>0</v>
      </c>
      <c r="Q60" s="665">
        <f t="shared" ca="1" si="157"/>
        <v>0</v>
      </c>
      <c r="R60" s="522"/>
      <c r="S60" s="672">
        <f t="shared" ca="1" si="158"/>
        <v>0</v>
      </c>
      <c r="T60" s="672">
        <f t="shared" ca="1" si="158"/>
        <v>0</v>
      </c>
      <c r="U60" s="672">
        <f t="shared" ca="1" si="158"/>
        <v>0</v>
      </c>
      <c r="V60" s="672">
        <f t="shared" ca="1" si="158"/>
        <v>0</v>
      </c>
      <c r="W60" s="672">
        <f t="shared" ca="1" si="158"/>
        <v>0</v>
      </c>
      <c r="X60" s="672">
        <f t="shared" ca="1" si="159"/>
        <v>0</v>
      </c>
      <c r="Y60" s="672">
        <f t="shared" ca="1" si="159"/>
        <v>0</v>
      </c>
      <c r="Z60" s="672">
        <f t="shared" ca="1" si="159"/>
        <v>0</v>
      </c>
      <c r="AA60" s="672">
        <f t="shared" ca="1" si="158"/>
        <v>0</v>
      </c>
      <c r="AB60" s="672">
        <f t="shared" ca="1" si="158"/>
        <v>0</v>
      </c>
      <c r="AC60" s="672">
        <f t="shared" ca="1" si="158"/>
        <v>0</v>
      </c>
      <c r="AD60" s="672">
        <f t="shared" ca="1" si="158"/>
        <v>0</v>
      </c>
      <c r="AE60" s="672">
        <f t="shared" ca="1" si="158"/>
        <v>0</v>
      </c>
      <c r="AF60" s="672">
        <f t="shared" ca="1" si="158"/>
        <v>0</v>
      </c>
      <c r="AG60" s="672">
        <f t="shared" ca="1" si="158"/>
        <v>0</v>
      </c>
      <c r="AH60" s="672">
        <f t="shared" ca="1" si="158"/>
        <v>0</v>
      </c>
      <c r="AI60" s="672">
        <f t="shared" ca="1" si="158"/>
        <v>0</v>
      </c>
      <c r="AJ60" s="672">
        <f t="shared" ca="1" si="158"/>
        <v>0</v>
      </c>
      <c r="AK60" s="673">
        <f t="shared" ca="1" si="160"/>
        <v>0</v>
      </c>
      <c r="AL60" s="522"/>
      <c r="AM60" s="684">
        <f t="shared" ca="1" si="161"/>
        <v>0</v>
      </c>
      <c r="AN60" s="684">
        <f t="shared" ca="1" si="161"/>
        <v>0</v>
      </c>
      <c r="AO60" s="684">
        <f t="shared" ca="1" si="161"/>
        <v>0</v>
      </c>
      <c r="AP60" s="684">
        <f t="shared" ca="1" si="161"/>
        <v>0</v>
      </c>
      <c r="AQ60" s="684">
        <f t="shared" ca="1" si="161"/>
        <v>0</v>
      </c>
      <c r="AR60" s="684">
        <f t="shared" ca="1" si="161"/>
        <v>0</v>
      </c>
      <c r="AS60" s="684">
        <f t="shared" ca="1" si="161"/>
        <v>0</v>
      </c>
      <c r="AT60" s="684">
        <f t="shared" ca="1" si="161"/>
        <v>0</v>
      </c>
      <c r="AU60" s="684">
        <f t="shared" ca="1" si="161"/>
        <v>0</v>
      </c>
      <c r="AV60" s="684">
        <f t="shared" ca="1" si="158"/>
        <v>0</v>
      </c>
      <c r="AW60" s="684">
        <f t="shared" ca="1" si="158"/>
        <v>0</v>
      </c>
      <c r="AX60" s="684">
        <f t="shared" ca="1" si="158"/>
        <v>0</v>
      </c>
      <c r="AY60" s="684">
        <f t="shared" ca="1" si="158"/>
        <v>0</v>
      </c>
      <c r="AZ60" s="684">
        <f t="shared" ca="1" si="158"/>
        <v>0</v>
      </c>
      <c r="BA60" s="684">
        <f t="shared" ca="1" si="158"/>
        <v>0</v>
      </c>
      <c r="BB60" s="684">
        <f t="shared" ca="1" si="158"/>
        <v>0</v>
      </c>
      <c r="BC60" s="684">
        <f t="shared" ca="1" si="158"/>
        <v>0</v>
      </c>
      <c r="BD60" s="684">
        <f t="shared" ca="1" si="158"/>
        <v>0</v>
      </c>
      <c r="BE60" s="684">
        <f t="shared" ca="1" si="158"/>
        <v>0</v>
      </c>
      <c r="BF60" s="626">
        <f t="shared" ca="1" si="162"/>
        <v>0</v>
      </c>
      <c r="BG60" s="522"/>
      <c r="BH60" s="678">
        <f t="shared" ca="1" si="163"/>
        <v>0</v>
      </c>
      <c r="BI60" s="678">
        <f t="shared" ca="1" si="163"/>
        <v>0</v>
      </c>
      <c r="BJ60" s="680">
        <f t="shared" ca="1" si="164"/>
        <v>0</v>
      </c>
      <c r="BK60" s="522"/>
      <c r="BL60" s="547">
        <f t="shared" ca="1" si="155"/>
        <v>0</v>
      </c>
      <c r="BM60" s="547"/>
      <c r="BN60" s="555"/>
      <c r="BO60" s="944">
        <f t="shared" ca="1" si="165"/>
        <v>0</v>
      </c>
      <c r="BP60" s="945">
        <f t="shared" ca="1" si="165"/>
        <v>0</v>
      </c>
      <c r="BQ60" s="945">
        <f t="shared" ca="1" si="165"/>
        <v>0</v>
      </c>
      <c r="BR60" s="945">
        <f t="shared" ca="1" si="165"/>
        <v>0</v>
      </c>
      <c r="BS60" s="945">
        <f t="shared" ca="1" si="165"/>
        <v>0</v>
      </c>
      <c r="BT60" s="945">
        <f t="shared" ca="1" si="165"/>
        <v>0</v>
      </c>
      <c r="BU60" s="945">
        <f t="shared" ca="1" si="165"/>
        <v>0</v>
      </c>
      <c r="BV60" s="945">
        <f t="shared" ca="1" si="165"/>
        <v>0</v>
      </c>
      <c r="BW60" s="945">
        <f t="shared" ca="1" si="165"/>
        <v>0</v>
      </c>
      <c r="BX60" s="945">
        <f t="shared" ca="1" si="165"/>
        <v>0</v>
      </c>
      <c r="BY60" s="945">
        <f t="shared" ca="1" si="166"/>
        <v>0</v>
      </c>
      <c r="BZ60" s="945">
        <f t="shared" ca="1" si="166"/>
        <v>0</v>
      </c>
      <c r="CA60" s="945">
        <f t="shared" ca="1" si="166"/>
        <v>0</v>
      </c>
      <c r="CB60" s="945">
        <f t="shared" ca="1" si="166"/>
        <v>0</v>
      </c>
      <c r="CC60" s="945">
        <f t="shared" ca="1" si="166"/>
        <v>0</v>
      </c>
      <c r="CD60" s="945">
        <f t="shared" ca="1" si="166"/>
        <v>0</v>
      </c>
      <c r="CE60" s="945">
        <f t="shared" ca="1" si="166"/>
        <v>0</v>
      </c>
      <c r="CF60" s="945">
        <f t="shared" ca="1" si="166"/>
        <v>0</v>
      </c>
      <c r="CG60" s="945">
        <f t="shared" ca="1" si="166"/>
        <v>0</v>
      </c>
      <c r="CH60" s="945">
        <f t="shared" ca="1" si="166"/>
        <v>0</v>
      </c>
      <c r="CI60" s="945">
        <f t="shared" ca="1" si="167"/>
        <v>0</v>
      </c>
      <c r="CJ60" s="945">
        <f t="shared" ca="1" si="167"/>
        <v>0</v>
      </c>
      <c r="CK60" s="945">
        <f t="shared" ca="1" si="167"/>
        <v>0</v>
      </c>
      <c r="CL60" s="945">
        <f t="shared" ca="1" si="167"/>
        <v>0</v>
      </c>
      <c r="CM60" s="945">
        <f t="shared" ca="1" si="167"/>
        <v>0</v>
      </c>
      <c r="CN60" s="945">
        <f t="shared" ca="1" si="167"/>
        <v>0</v>
      </c>
      <c r="CO60" s="945">
        <f t="shared" ca="1" si="167"/>
        <v>0</v>
      </c>
      <c r="CP60" s="945">
        <f t="shared" ca="1" si="167"/>
        <v>0</v>
      </c>
      <c r="CQ60" s="945">
        <f t="shared" ca="1" si="167"/>
        <v>0</v>
      </c>
      <c r="CR60" s="945">
        <f t="shared" ca="1" si="167"/>
        <v>0</v>
      </c>
      <c r="CS60" s="945">
        <f t="shared" ca="1" si="168"/>
        <v>0</v>
      </c>
      <c r="CT60" s="945">
        <f t="shared" ca="1" si="168"/>
        <v>0</v>
      </c>
      <c r="CU60" s="945">
        <f t="shared" ca="1" si="168"/>
        <v>0</v>
      </c>
      <c r="CV60" s="945">
        <f t="shared" ca="1" si="168"/>
        <v>0</v>
      </c>
      <c r="CW60" s="945">
        <f t="shared" ca="1" si="168"/>
        <v>0</v>
      </c>
      <c r="CX60" s="945">
        <f t="shared" ca="1" si="168"/>
        <v>0</v>
      </c>
      <c r="CY60" s="945">
        <f t="shared" ca="1" si="168"/>
        <v>0</v>
      </c>
      <c r="CZ60" s="945">
        <f t="shared" ca="1" si="168"/>
        <v>0</v>
      </c>
      <c r="DA60" s="945">
        <f t="shared" ca="1" si="168"/>
        <v>0</v>
      </c>
      <c r="DB60" s="945">
        <f t="shared" ca="1" si="168"/>
        <v>0</v>
      </c>
      <c r="DC60" s="945">
        <f t="shared" ca="1" si="168"/>
        <v>0</v>
      </c>
      <c r="DD60" s="945">
        <f t="shared" ca="1" si="168"/>
        <v>0</v>
      </c>
      <c r="DE60" s="945">
        <f t="shared" ca="1" si="168"/>
        <v>0</v>
      </c>
      <c r="DF60" s="945">
        <f t="shared" ca="1" si="168"/>
        <v>0</v>
      </c>
      <c r="DH60" s="553">
        <f t="shared" ca="1" si="125"/>
        <v>0</v>
      </c>
    </row>
    <row r="61" spans="1:112" s="947" customFormat="1" ht="12.75" customHeight="1" outlineLevel="1">
      <c r="C61" s="524" t="s">
        <v>641</v>
      </c>
      <c r="D61" s="503" t="str">
        <f>INDEX(Modules[Module], MATCH($C61, Modules[Code], 0))</f>
        <v>Geothermal electricity</v>
      </c>
      <c r="E61" s="503"/>
      <c r="F61" s="522"/>
      <c r="G61" s="663">
        <f t="shared" ca="1" si="156"/>
        <v>0</v>
      </c>
      <c r="H61" s="663">
        <f t="shared" ca="1" si="156"/>
        <v>0</v>
      </c>
      <c r="I61" s="663">
        <f t="shared" ca="1" si="156"/>
        <v>0</v>
      </c>
      <c r="J61" s="663">
        <f t="shared" ca="1" si="156"/>
        <v>0</v>
      </c>
      <c r="K61" s="663">
        <f t="shared" ca="1" si="156"/>
        <v>0</v>
      </c>
      <c r="L61" s="663">
        <f t="shared" ca="1" si="156"/>
        <v>0</v>
      </c>
      <c r="M61" s="663">
        <f t="shared" ca="1" si="156"/>
        <v>0</v>
      </c>
      <c r="N61" s="663">
        <f t="shared" ca="1" si="156"/>
        <v>0</v>
      </c>
      <c r="O61" s="663">
        <f t="shared" ca="1" si="156"/>
        <v>0</v>
      </c>
      <c r="P61" s="663">
        <f t="shared" ca="1" si="156"/>
        <v>0</v>
      </c>
      <c r="Q61" s="665">
        <f t="shared" ca="1" si="157"/>
        <v>0</v>
      </c>
      <c r="R61" s="522"/>
      <c r="S61" s="672">
        <f t="shared" ca="1" si="158"/>
        <v>0</v>
      </c>
      <c r="T61" s="672">
        <f t="shared" ca="1" si="158"/>
        <v>0</v>
      </c>
      <c r="U61" s="672">
        <f t="shared" ca="1" si="158"/>
        <v>0</v>
      </c>
      <c r="V61" s="672">
        <f t="shared" ca="1" si="158"/>
        <v>0</v>
      </c>
      <c r="W61" s="672">
        <f t="shared" ca="1" si="158"/>
        <v>0</v>
      </c>
      <c r="X61" s="672">
        <f t="shared" ca="1" si="159"/>
        <v>0</v>
      </c>
      <c r="Y61" s="672">
        <f t="shared" ca="1" si="159"/>
        <v>0</v>
      </c>
      <c r="Z61" s="672">
        <f t="shared" ca="1" si="159"/>
        <v>0</v>
      </c>
      <c r="AA61" s="672">
        <f t="shared" ca="1" si="158"/>
        <v>0</v>
      </c>
      <c r="AB61" s="672">
        <f t="shared" ca="1" si="158"/>
        <v>0</v>
      </c>
      <c r="AC61" s="672">
        <f t="shared" ca="1" si="158"/>
        <v>0</v>
      </c>
      <c r="AD61" s="672">
        <f t="shared" ca="1" si="158"/>
        <v>0</v>
      </c>
      <c r="AE61" s="672">
        <f t="shared" ca="1" si="158"/>
        <v>0</v>
      </c>
      <c r="AF61" s="672">
        <f t="shared" ca="1" si="158"/>
        <v>0</v>
      </c>
      <c r="AG61" s="672">
        <f t="shared" ca="1" si="158"/>
        <v>0</v>
      </c>
      <c r="AH61" s="672">
        <f t="shared" ca="1" si="158"/>
        <v>0</v>
      </c>
      <c r="AI61" s="672">
        <f t="shared" ca="1" si="158"/>
        <v>0</v>
      </c>
      <c r="AJ61" s="672">
        <f t="shared" ca="1" si="158"/>
        <v>0</v>
      </c>
      <c r="AK61" s="673">
        <f t="shared" ca="1" si="160"/>
        <v>0</v>
      </c>
      <c r="AL61" s="522"/>
      <c r="AM61" s="684">
        <f t="shared" ca="1" si="161"/>
        <v>0</v>
      </c>
      <c r="AN61" s="684">
        <f t="shared" ca="1" si="161"/>
        <v>0</v>
      </c>
      <c r="AO61" s="684">
        <f t="shared" ca="1" si="161"/>
        <v>0</v>
      </c>
      <c r="AP61" s="684">
        <f t="shared" ca="1" si="161"/>
        <v>0</v>
      </c>
      <c r="AQ61" s="684">
        <f t="shared" ca="1" si="161"/>
        <v>0</v>
      </c>
      <c r="AR61" s="684">
        <f t="shared" ca="1" si="161"/>
        <v>0</v>
      </c>
      <c r="AS61" s="684">
        <f t="shared" ca="1" si="161"/>
        <v>0</v>
      </c>
      <c r="AT61" s="684">
        <f t="shared" ca="1" si="161"/>
        <v>0</v>
      </c>
      <c r="AU61" s="684">
        <f t="shared" ca="1" si="161"/>
        <v>0</v>
      </c>
      <c r="AV61" s="684">
        <f t="shared" ca="1" si="158"/>
        <v>0</v>
      </c>
      <c r="AW61" s="684">
        <f t="shared" ca="1" si="158"/>
        <v>0</v>
      </c>
      <c r="AX61" s="684">
        <f t="shared" ca="1" si="158"/>
        <v>0</v>
      </c>
      <c r="AY61" s="684">
        <f t="shared" ca="1" si="158"/>
        <v>0</v>
      </c>
      <c r="AZ61" s="684">
        <f t="shared" ca="1" si="158"/>
        <v>0</v>
      </c>
      <c r="BA61" s="684">
        <f t="shared" ca="1" si="158"/>
        <v>0</v>
      </c>
      <c r="BB61" s="684">
        <f t="shared" ca="1" si="158"/>
        <v>0</v>
      </c>
      <c r="BC61" s="684">
        <f t="shared" ca="1" si="158"/>
        <v>0</v>
      </c>
      <c r="BD61" s="684">
        <f t="shared" ca="1" si="158"/>
        <v>0</v>
      </c>
      <c r="BE61" s="684">
        <f t="shared" ca="1" si="158"/>
        <v>0</v>
      </c>
      <c r="BF61" s="626">
        <f t="shared" ca="1" si="162"/>
        <v>0</v>
      </c>
      <c r="BG61" s="522"/>
      <c r="BH61" s="678">
        <f t="shared" ca="1" si="163"/>
        <v>0</v>
      </c>
      <c r="BI61" s="678">
        <f t="shared" ca="1" si="163"/>
        <v>0</v>
      </c>
      <c r="BJ61" s="680">
        <f t="shared" ca="1" si="164"/>
        <v>0</v>
      </c>
      <c r="BK61" s="522"/>
      <c r="BL61" s="547">
        <f t="shared" ca="1" si="155"/>
        <v>0</v>
      </c>
      <c r="BM61" s="547"/>
      <c r="BN61" s="555"/>
      <c r="BO61" s="944">
        <f t="shared" ca="1" si="165"/>
        <v>0</v>
      </c>
      <c r="BP61" s="945">
        <f t="shared" ca="1" si="165"/>
        <v>0</v>
      </c>
      <c r="BQ61" s="945">
        <f t="shared" ca="1" si="165"/>
        <v>0</v>
      </c>
      <c r="BR61" s="945">
        <f t="shared" ca="1" si="165"/>
        <v>0</v>
      </c>
      <c r="BS61" s="945">
        <f t="shared" ca="1" si="165"/>
        <v>0</v>
      </c>
      <c r="BT61" s="945">
        <f t="shared" ca="1" si="165"/>
        <v>0</v>
      </c>
      <c r="BU61" s="945">
        <f t="shared" ca="1" si="165"/>
        <v>0</v>
      </c>
      <c r="BV61" s="945">
        <f t="shared" ca="1" si="165"/>
        <v>0</v>
      </c>
      <c r="BW61" s="945">
        <f t="shared" ca="1" si="165"/>
        <v>0</v>
      </c>
      <c r="BX61" s="945">
        <f t="shared" ca="1" si="165"/>
        <v>0</v>
      </c>
      <c r="BY61" s="945">
        <f t="shared" ca="1" si="166"/>
        <v>0</v>
      </c>
      <c r="BZ61" s="945">
        <f t="shared" ca="1" si="166"/>
        <v>0</v>
      </c>
      <c r="CA61" s="945">
        <f t="shared" ca="1" si="166"/>
        <v>0</v>
      </c>
      <c r="CB61" s="945">
        <f t="shared" ca="1" si="166"/>
        <v>0</v>
      </c>
      <c r="CC61" s="945">
        <f t="shared" ca="1" si="166"/>
        <v>0</v>
      </c>
      <c r="CD61" s="945">
        <f t="shared" ca="1" si="166"/>
        <v>0</v>
      </c>
      <c r="CE61" s="945">
        <f t="shared" ca="1" si="166"/>
        <v>0</v>
      </c>
      <c r="CF61" s="945">
        <f t="shared" ca="1" si="166"/>
        <v>0</v>
      </c>
      <c r="CG61" s="945">
        <f t="shared" ca="1" si="166"/>
        <v>0</v>
      </c>
      <c r="CH61" s="945">
        <f t="shared" ca="1" si="166"/>
        <v>0</v>
      </c>
      <c r="CI61" s="945">
        <f t="shared" ca="1" si="167"/>
        <v>0</v>
      </c>
      <c r="CJ61" s="945">
        <f t="shared" ca="1" si="167"/>
        <v>0</v>
      </c>
      <c r="CK61" s="945">
        <f t="shared" ca="1" si="167"/>
        <v>0</v>
      </c>
      <c r="CL61" s="945">
        <f t="shared" ca="1" si="167"/>
        <v>0</v>
      </c>
      <c r="CM61" s="945">
        <f t="shared" ca="1" si="167"/>
        <v>0</v>
      </c>
      <c r="CN61" s="945">
        <f t="shared" ca="1" si="167"/>
        <v>0</v>
      </c>
      <c r="CO61" s="945">
        <f t="shared" ca="1" si="167"/>
        <v>0</v>
      </c>
      <c r="CP61" s="945">
        <f t="shared" ca="1" si="167"/>
        <v>0</v>
      </c>
      <c r="CQ61" s="945">
        <f t="shared" ca="1" si="167"/>
        <v>0</v>
      </c>
      <c r="CR61" s="945">
        <f t="shared" ca="1" si="167"/>
        <v>0</v>
      </c>
      <c r="CS61" s="945">
        <f t="shared" ca="1" si="168"/>
        <v>0</v>
      </c>
      <c r="CT61" s="945">
        <f t="shared" ca="1" si="168"/>
        <v>0</v>
      </c>
      <c r="CU61" s="945">
        <f t="shared" ca="1" si="168"/>
        <v>0</v>
      </c>
      <c r="CV61" s="945">
        <f t="shared" ca="1" si="168"/>
        <v>0</v>
      </c>
      <c r="CW61" s="945">
        <f t="shared" ca="1" si="168"/>
        <v>0</v>
      </c>
      <c r="CX61" s="945">
        <f t="shared" ca="1" si="168"/>
        <v>0</v>
      </c>
      <c r="CY61" s="945">
        <f t="shared" ca="1" si="168"/>
        <v>0</v>
      </c>
      <c r="CZ61" s="945">
        <f t="shared" ca="1" si="168"/>
        <v>0</v>
      </c>
      <c r="DA61" s="945">
        <f t="shared" ca="1" si="168"/>
        <v>0</v>
      </c>
      <c r="DB61" s="945">
        <f t="shared" ca="1" si="168"/>
        <v>0</v>
      </c>
      <c r="DC61" s="945">
        <f t="shared" ca="1" si="168"/>
        <v>0</v>
      </c>
      <c r="DD61" s="945">
        <f t="shared" ca="1" si="168"/>
        <v>0</v>
      </c>
      <c r="DE61" s="945">
        <f t="shared" ca="1" si="168"/>
        <v>0</v>
      </c>
      <c r="DF61" s="945">
        <f t="shared" ca="1" si="168"/>
        <v>0</v>
      </c>
      <c r="DH61" s="553">
        <f t="shared" ca="1" si="125"/>
        <v>0</v>
      </c>
    </row>
    <row r="62" spans="1:112" s="522" customFormat="1" ht="12.75" customHeight="1" outlineLevel="1">
      <c r="A62" s="947"/>
      <c r="B62" s="947"/>
      <c r="C62" s="524" t="s">
        <v>642</v>
      </c>
      <c r="D62" s="656" t="str">
        <f>INDEX(Modules[Module], MATCH($C62, Modules[Code], 0))</f>
        <v>Tidal [UNUSED - See III.c]</v>
      </c>
      <c r="E62" s="656"/>
      <c r="G62" s="668">
        <f t="shared" ca="1" si="156"/>
        <v>0</v>
      </c>
      <c r="H62" s="668">
        <f t="shared" ca="1" si="156"/>
        <v>0</v>
      </c>
      <c r="I62" s="668">
        <f t="shared" ca="1" si="156"/>
        <v>0</v>
      </c>
      <c r="J62" s="668">
        <f t="shared" ca="1" si="156"/>
        <v>0</v>
      </c>
      <c r="K62" s="668">
        <f t="shared" ca="1" si="156"/>
        <v>0</v>
      </c>
      <c r="L62" s="668">
        <f t="shared" ca="1" si="156"/>
        <v>0</v>
      </c>
      <c r="M62" s="668">
        <f t="shared" ca="1" si="156"/>
        <v>0</v>
      </c>
      <c r="N62" s="668">
        <f t="shared" ca="1" si="156"/>
        <v>0</v>
      </c>
      <c r="O62" s="668">
        <f t="shared" ca="1" si="156"/>
        <v>0</v>
      </c>
      <c r="P62" s="668">
        <f t="shared" ca="1" si="156"/>
        <v>0</v>
      </c>
      <c r="Q62" s="666">
        <f t="shared" ca="1" si="157"/>
        <v>0</v>
      </c>
      <c r="S62" s="677">
        <f t="shared" ca="1" si="158"/>
        <v>0</v>
      </c>
      <c r="T62" s="677">
        <f t="shared" ca="1" si="158"/>
        <v>0</v>
      </c>
      <c r="U62" s="677">
        <f t="shared" ca="1" si="158"/>
        <v>0</v>
      </c>
      <c r="V62" s="677">
        <f t="shared" ca="1" si="158"/>
        <v>0</v>
      </c>
      <c r="W62" s="677">
        <f t="shared" ca="1" si="158"/>
        <v>0</v>
      </c>
      <c r="X62" s="677">
        <f t="shared" ca="1" si="159"/>
        <v>0</v>
      </c>
      <c r="Y62" s="677">
        <f t="shared" ca="1" si="159"/>
        <v>0</v>
      </c>
      <c r="Z62" s="677">
        <f t="shared" ca="1" si="159"/>
        <v>0</v>
      </c>
      <c r="AA62" s="677">
        <f t="shared" ca="1" si="158"/>
        <v>0</v>
      </c>
      <c r="AB62" s="677">
        <f t="shared" ca="1" si="158"/>
        <v>0</v>
      </c>
      <c r="AC62" s="677">
        <f t="shared" ca="1" si="158"/>
        <v>0</v>
      </c>
      <c r="AD62" s="677">
        <f t="shared" ca="1" si="158"/>
        <v>0</v>
      </c>
      <c r="AE62" s="677">
        <f t="shared" ca="1" si="158"/>
        <v>0</v>
      </c>
      <c r="AF62" s="677">
        <f t="shared" ca="1" si="158"/>
        <v>0</v>
      </c>
      <c r="AG62" s="677">
        <f t="shared" ca="1" si="158"/>
        <v>0</v>
      </c>
      <c r="AH62" s="677">
        <f t="shared" ca="1" si="158"/>
        <v>0</v>
      </c>
      <c r="AI62" s="677">
        <f t="shared" ca="1" si="158"/>
        <v>0</v>
      </c>
      <c r="AJ62" s="677">
        <f t="shared" ca="1" si="158"/>
        <v>0</v>
      </c>
      <c r="AK62" s="676">
        <f t="shared" ca="1" si="160"/>
        <v>0</v>
      </c>
      <c r="AM62" s="688">
        <f t="shared" ca="1" si="161"/>
        <v>0</v>
      </c>
      <c r="AN62" s="688">
        <f t="shared" ca="1" si="161"/>
        <v>0</v>
      </c>
      <c r="AO62" s="688">
        <f t="shared" ca="1" si="161"/>
        <v>0</v>
      </c>
      <c r="AP62" s="688">
        <f t="shared" ca="1" si="161"/>
        <v>0</v>
      </c>
      <c r="AQ62" s="688">
        <f t="shared" ca="1" si="161"/>
        <v>0</v>
      </c>
      <c r="AR62" s="688">
        <f t="shared" ca="1" si="161"/>
        <v>0</v>
      </c>
      <c r="AS62" s="688">
        <f t="shared" ca="1" si="161"/>
        <v>0</v>
      </c>
      <c r="AT62" s="688">
        <f t="shared" ca="1" si="161"/>
        <v>0</v>
      </c>
      <c r="AU62" s="688">
        <f t="shared" ca="1" si="161"/>
        <v>0</v>
      </c>
      <c r="AV62" s="688">
        <f t="shared" ca="1" si="158"/>
        <v>0</v>
      </c>
      <c r="AW62" s="688">
        <f t="shared" ca="1" si="158"/>
        <v>0</v>
      </c>
      <c r="AX62" s="688">
        <f t="shared" ca="1" si="158"/>
        <v>0</v>
      </c>
      <c r="AY62" s="688">
        <f t="shared" ca="1" si="158"/>
        <v>0</v>
      </c>
      <c r="AZ62" s="688">
        <f t="shared" ca="1" si="158"/>
        <v>0</v>
      </c>
      <c r="BA62" s="688">
        <f t="shared" ca="1" si="158"/>
        <v>0</v>
      </c>
      <c r="BB62" s="688">
        <f t="shared" ca="1" si="158"/>
        <v>0</v>
      </c>
      <c r="BC62" s="688">
        <f t="shared" ca="1" si="158"/>
        <v>0</v>
      </c>
      <c r="BD62" s="688">
        <f t="shared" ca="1" si="158"/>
        <v>0</v>
      </c>
      <c r="BE62" s="688">
        <f t="shared" ca="1" si="158"/>
        <v>0</v>
      </c>
      <c r="BF62" s="658">
        <f t="shared" ca="1" si="162"/>
        <v>0</v>
      </c>
      <c r="BH62" s="682">
        <f t="shared" ca="1" si="163"/>
        <v>0</v>
      </c>
      <c r="BI62" s="682">
        <f t="shared" ca="1" si="163"/>
        <v>0</v>
      </c>
      <c r="BJ62" s="681">
        <f t="shared" ca="1" si="164"/>
        <v>0</v>
      </c>
      <c r="BL62" s="547">
        <f t="shared" ca="1" si="155"/>
        <v>0</v>
      </c>
      <c r="BM62" s="547"/>
      <c r="BN62" s="555"/>
      <c r="BO62" s="948">
        <f t="shared" ca="1" si="165"/>
        <v>0</v>
      </c>
      <c r="BP62" s="949">
        <f t="shared" ca="1" si="165"/>
        <v>0</v>
      </c>
      <c r="BQ62" s="949">
        <f t="shared" ca="1" si="165"/>
        <v>0</v>
      </c>
      <c r="BR62" s="949">
        <f t="shared" ca="1" si="165"/>
        <v>0</v>
      </c>
      <c r="BS62" s="949">
        <f t="shared" ca="1" si="165"/>
        <v>0</v>
      </c>
      <c r="BT62" s="949">
        <f t="shared" ca="1" si="165"/>
        <v>0</v>
      </c>
      <c r="BU62" s="949">
        <f t="shared" ca="1" si="165"/>
        <v>0</v>
      </c>
      <c r="BV62" s="949">
        <f t="shared" ca="1" si="165"/>
        <v>0</v>
      </c>
      <c r="BW62" s="949">
        <f t="shared" ca="1" si="165"/>
        <v>0</v>
      </c>
      <c r="BX62" s="949">
        <f t="shared" ca="1" si="165"/>
        <v>0</v>
      </c>
      <c r="BY62" s="949">
        <f t="shared" ca="1" si="166"/>
        <v>0</v>
      </c>
      <c r="BZ62" s="949">
        <f t="shared" ca="1" si="166"/>
        <v>0</v>
      </c>
      <c r="CA62" s="949">
        <f t="shared" ca="1" si="166"/>
        <v>0</v>
      </c>
      <c r="CB62" s="949">
        <f t="shared" ca="1" si="166"/>
        <v>0</v>
      </c>
      <c r="CC62" s="949">
        <f t="shared" ca="1" si="166"/>
        <v>0</v>
      </c>
      <c r="CD62" s="949">
        <f t="shared" ca="1" si="166"/>
        <v>0</v>
      </c>
      <c r="CE62" s="949">
        <f t="shared" ca="1" si="166"/>
        <v>0</v>
      </c>
      <c r="CF62" s="949">
        <f t="shared" ca="1" si="166"/>
        <v>0</v>
      </c>
      <c r="CG62" s="949">
        <f t="shared" ca="1" si="166"/>
        <v>0</v>
      </c>
      <c r="CH62" s="949">
        <f t="shared" ca="1" si="166"/>
        <v>0</v>
      </c>
      <c r="CI62" s="949">
        <f t="shared" ca="1" si="167"/>
        <v>0</v>
      </c>
      <c r="CJ62" s="949">
        <f t="shared" ca="1" si="167"/>
        <v>0</v>
      </c>
      <c r="CK62" s="949">
        <f t="shared" ca="1" si="167"/>
        <v>0</v>
      </c>
      <c r="CL62" s="949">
        <f t="shared" ca="1" si="167"/>
        <v>0</v>
      </c>
      <c r="CM62" s="949">
        <f t="shared" ca="1" si="167"/>
        <v>0</v>
      </c>
      <c r="CN62" s="949">
        <f t="shared" ca="1" si="167"/>
        <v>0</v>
      </c>
      <c r="CO62" s="949">
        <f t="shared" ca="1" si="167"/>
        <v>0</v>
      </c>
      <c r="CP62" s="949">
        <f t="shared" ca="1" si="167"/>
        <v>0</v>
      </c>
      <c r="CQ62" s="949">
        <f t="shared" ca="1" si="167"/>
        <v>0</v>
      </c>
      <c r="CR62" s="949">
        <f t="shared" ca="1" si="167"/>
        <v>0</v>
      </c>
      <c r="CS62" s="949">
        <f t="shared" ca="1" si="168"/>
        <v>0</v>
      </c>
      <c r="CT62" s="949">
        <f t="shared" ca="1" si="168"/>
        <v>0</v>
      </c>
      <c r="CU62" s="949">
        <f t="shared" ca="1" si="168"/>
        <v>0</v>
      </c>
      <c r="CV62" s="949">
        <f t="shared" ca="1" si="168"/>
        <v>0</v>
      </c>
      <c r="CW62" s="949">
        <f t="shared" ca="1" si="168"/>
        <v>0</v>
      </c>
      <c r="CX62" s="949">
        <f t="shared" ca="1" si="168"/>
        <v>0</v>
      </c>
      <c r="CY62" s="949">
        <f t="shared" ca="1" si="168"/>
        <v>0</v>
      </c>
      <c r="CZ62" s="949">
        <f t="shared" ca="1" si="168"/>
        <v>0</v>
      </c>
      <c r="DA62" s="949">
        <f t="shared" ca="1" si="168"/>
        <v>0</v>
      </c>
      <c r="DB62" s="949">
        <f t="shared" ca="1" si="168"/>
        <v>0</v>
      </c>
      <c r="DC62" s="949">
        <f t="shared" ca="1" si="168"/>
        <v>0</v>
      </c>
      <c r="DD62" s="949">
        <f t="shared" ca="1" si="168"/>
        <v>0</v>
      </c>
      <c r="DE62" s="949">
        <f t="shared" ca="1" si="168"/>
        <v>0</v>
      </c>
      <c r="DF62" s="949">
        <f t="shared" ca="1" si="168"/>
        <v>0</v>
      </c>
      <c r="DH62" s="553">
        <f t="shared" ca="1" si="125"/>
        <v>0</v>
      </c>
    </row>
    <row r="63" spans="1:112" s="522" customFormat="1" ht="15">
      <c r="A63" s="16"/>
      <c r="B63" s="527"/>
      <c r="C63" s="523" t="s">
        <v>70</v>
      </c>
      <c r="D63" s="499" t="str">
        <f>INDEX(Workstreams[Workstream], MATCH($C63, Workstreams[Code], 0))</f>
        <v>National renewable power generation</v>
      </c>
      <c r="E63" s="495"/>
      <c r="G63" s="605">
        <f t="shared" ref="G63:P63" ca="1" si="169">SUM(G57:G62)</f>
        <v>0</v>
      </c>
      <c r="H63" s="605">
        <f t="shared" ca="1" si="169"/>
        <v>0</v>
      </c>
      <c r="I63" s="605">
        <f t="shared" ca="1" si="169"/>
        <v>0</v>
      </c>
      <c r="J63" s="605">
        <f t="shared" ca="1" si="169"/>
        <v>0</v>
      </c>
      <c r="K63" s="605">
        <f t="shared" ca="1" si="169"/>
        <v>0</v>
      </c>
      <c r="L63" s="605">
        <f t="shared" ca="1" si="169"/>
        <v>0</v>
      </c>
      <c r="M63" s="605">
        <f t="shared" ca="1" si="169"/>
        <v>0</v>
      </c>
      <c r="N63" s="605">
        <f t="shared" ca="1" si="169"/>
        <v>0</v>
      </c>
      <c r="O63" s="605">
        <f t="shared" ca="1" si="169"/>
        <v>0</v>
      </c>
      <c r="P63" s="605">
        <f t="shared" ca="1" si="169"/>
        <v>0</v>
      </c>
      <c r="Q63" s="667">
        <f t="shared" ca="1" si="157"/>
        <v>0</v>
      </c>
      <c r="S63" s="617">
        <f t="shared" ref="S63:AJ63" ca="1" si="170">SUM(S57:S62)</f>
        <v>0</v>
      </c>
      <c r="T63" s="617">
        <f t="shared" ca="1" si="170"/>
        <v>0</v>
      </c>
      <c r="U63" s="617">
        <f t="shared" ca="1" si="170"/>
        <v>0</v>
      </c>
      <c r="V63" s="617">
        <f t="shared" ca="1" si="170"/>
        <v>0</v>
      </c>
      <c r="W63" s="617">
        <f t="shared" ca="1" si="170"/>
        <v>0</v>
      </c>
      <c r="X63" s="617">
        <f t="shared" ca="1" si="170"/>
        <v>0</v>
      </c>
      <c r="Y63" s="617">
        <f t="shared" ca="1" si="170"/>
        <v>0</v>
      </c>
      <c r="Z63" s="617">
        <f t="shared" ca="1" si="170"/>
        <v>0</v>
      </c>
      <c r="AA63" s="617">
        <f t="shared" ca="1" si="170"/>
        <v>0</v>
      </c>
      <c r="AB63" s="617">
        <f t="shared" ca="1" si="170"/>
        <v>0</v>
      </c>
      <c r="AC63" s="617">
        <f t="shared" ca="1" si="170"/>
        <v>0</v>
      </c>
      <c r="AD63" s="617">
        <f t="shared" ca="1" si="170"/>
        <v>0</v>
      </c>
      <c r="AE63" s="617">
        <f ca="1">SUM(AE57:AE62)</f>
        <v>0</v>
      </c>
      <c r="AF63" s="617">
        <f t="shared" ca="1" si="170"/>
        <v>0</v>
      </c>
      <c r="AG63" s="617">
        <f t="shared" ca="1" si="170"/>
        <v>0</v>
      </c>
      <c r="AH63" s="617">
        <f ca="1">SUM(AH57:AH62)</f>
        <v>0</v>
      </c>
      <c r="AI63" s="617">
        <f t="shared" ca="1" si="170"/>
        <v>0</v>
      </c>
      <c r="AJ63" s="617">
        <f t="shared" ca="1" si="170"/>
        <v>0</v>
      </c>
      <c r="AK63" s="617">
        <f t="shared" ca="1" si="160"/>
        <v>0</v>
      </c>
      <c r="AM63" s="623">
        <f t="shared" ref="AM63:BE63" ca="1" si="171">SUM(AM57:AM62)</f>
        <v>0</v>
      </c>
      <c r="AN63" s="623">
        <f t="shared" ca="1" si="171"/>
        <v>0</v>
      </c>
      <c r="AO63" s="623">
        <f t="shared" ca="1" si="171"/>
        <v>0</v>
      </c>
      <c r="AP63" s="623">
        <f t="shared" ca="1" si="171"/>
        <v>0</v>
      </c>
      <c r="AQ63" s="623">
        <f t="shared" ca="1" si="171"/>
        <v>0</v>
      </c>
      <c r="AR63" s="623">
        <f t="shared" ca="1" si="171"/>
        <v>0</v>
      </c>
      <c r="AS63" s="623">
        <f t="shared" ca="1" si="171"/>
        <v>0</v>
      </c>
      <c r="AT63" s="623">
        <f t="shared" ca="1" si="171"/>
        <v>0</v>
      </c>
      <c r="AU63" s="623">
        <f t="shared" ca="1" si="171"/>
        <v>0</v>
      </c>
      <c r="AV63" s="623">
        <f t="shared" ca="1" si="171"/>
        <v>0</v>
      </c>
      <c r="AW63" s="623">
        <f t="shared" ca="1" si="171"/>
        <v>0</v>
      </c>
      <c r="AX63" s="623">
        <f t="shared" ca="1" si="171"/>
        <v>0</v>
      </c>
      <c r="AY63" s="623">
        <f t="shared" ca="1" si="171"/>
        <v>0</v>
      </c>
      <c r="AZ63" s="623">
        <f t="shared" ca="1" si="171"/>
        <v>0</v>
      </c>
      <c r="BA63" s="623">
        <f t="shared" ca="1" si="171"/>
        <v>0</v>
      </c>
      <c r="BB63" s="623">
        <f t="shared" ca="1" si="171"/>
        <v>0</v>
      </c>
      <c r="BC63" s="623">
        <f t="shared" ca="1" si="171"/>
        <v>0</v>
      </c>
      <c r="BD63" s="623">
        <f t="shared" ca="1" si="171"/>
        <v>0</v>
      </c>
      <c r="BE63" s="623">
        <f t="shared" ca="1" si="171"/>
        <v>0</v>
      </c>
      <c r="BF63" s="623">
        <f t="shared" ca="1" si="162"/>
        <v>0</v>
      </c>
      <c r="BH63" s="637">
        <f ca="1">SUM(BH57:BH62)</f>
        <v>0</v>
      </c>
      <c r="BI63" s="637">
        <f ca="1">SUM(BI57:BI62)</f>
        <v>0</v>
      </c>
      <c r="BJ63" s="637">
        <f t="shared" ca="1" si="164"/>
        <v>0</v>
      </c>
      <c r="BL63" s="497">
        <f t="shared" ca="1" si="155"/>
        <v>0</v>
      </c>
      <c r="BM63" s="497"/>
      <c r="BN63" s="555"/>
      <c r="BO63" s="945">
        <f t="shared" ref="BO63:DF63" ca="1" si="172">SUM(BO57:BO62)</f>
        <v>0</v>
      </c>
      <c r="BP63" s="945">
        <f t="shared" ca="1" si="172"/>
        <v>0</v>
      </c>
      <c r="BQ63" s="945">
        <f t="shared" ca="1" si="172"/>
        <v>0</v>
      </c>
      <c r="BR63" s="945">
        <f t="shared" ca="1" si="172"/>
        <v>0</v>
      </c>
      <c r="BS63" s="945">
        <f t="shared" ca="1" si="172"/>
        <v>0</v>
      </c>
      <c r="BT63" s="945">
        <f t="shared" ca="1" si="172"/>
        <v>0</v>
      </c>
      <c r="BU63" s="945">
        <f t="shared" ca="1" si="172"/>
        <v>0</v>
      </c>
      <c r="BV63" s="945">
        <f t="shared" ca="1" si="172"/>
        <v>0</v>
      </c>
      <c r="BW63" s="945">
        <f t="shared" ca="1" si="172"/>
        <v>0</v>
      </c>
      <c r="BX63" s="945">
        <f t="shared" ca="1" si="172"/>
        <v>0</v>
      </c>
      <c r="BY63" s="945">
        <f t="shared" ca="1" si="172"/>
        <v>0</v>
      </c>
      <c r="BZ63" s="945">
        <f t="shared" ca="1" si="172"/>
        <v>0</v>
      </c>
      <c r="CA63" s="945">
        <f t="shared" ca="1" si="172"/>
        <v>0</v>
      </c>
      <c r="CB63" s="945">
        <f t="shared" ca="1" si="172"/>
        <v>0</v>
      </c>
      <c r="CC63" s="945">
        <f t="shared" ca="1" si="172"/>
        <v>0</v>
      </c>
      <c r="CD63" s="945">
        <f t="shared" ca="1" si="172"/>
        <v>0</v>
      </c>
      <c r="CE63" s="945">
        <f t="shared" ca="1" si="172"/>
        <v>0</v>
      </c>
      <c r="CF63" s="945">
        <f t="shared" ca="1" si="172"/>
        <v>0</v>
      </c>
      <c r="CG63" s="945">
        <f t="shared" ca="1" si="172"/>
        <v>0</v>
      </c>
      <c r="CH63" s="945">
        <f t="shared" ca="1" si="172"/>
        <v>0</v>
      </c>
      <c r="CI63" s="945">
        <f t="shared" ca="1" si="172"/>
        <v>0</v>
      </c>
      <c r="CJ63" s="945">
        <f t="shared" ca="1" si="172"/>
        <v>0</v>
      </c>
      <c r="CK63" s="945">
        <f t="shared" ca="1" si="172"/>
        <v>0</v>
      </c>
      <c r="CL63" s="945">
        <f t="shared" ca="1" si="172"/>
        <v>0</v>
      </c>
      <c r="CM63" s="945">
        <f t="shared" ca="1" si="172"/>
        <v>0</v>
      </c>
      <c r="CN63" s="945">
        <f t="shared" ca="1" si="172"/>
        <v>0</v>
      </c>
      <c r="CO63" s="945">
        <f t="shared" ca="1" si="172"/>
        <v>0</v>
      </c>
      <c r="CP63" s="945">
        <f t="shared" ca="1" si="172"/>
        <v>0</v>
      </c>
      <c r="CQ63" s="945">
        <f t="shared" ca="1" si="172"/>
        <v>0</v>
      </c>
      <c r="CR63" s="945">
        <f t="shared" ca="1" si="172"/>
        <v>0</v>
      </c>
      <c r="CS63" s="945">
        <f t="shared" ca="1" si="172"/>
        <v>0</v>
      </c>
      <c r="CT63" s="945">
        <f t="shared" ca="1" si="172"/>
        <v>0</v>
      </c>
      <c r="CU63" s="945">
        <f t="shared" ca="1" si="172"/>
        <v>0</v>
      </c>
      <c r="CV63" s="945">
        <f t="shared" ca="1" si="172"/>
        <v>0</v>
      </c>
      <c r="CW63" s="945">
        <f t="shared" ca="1" si="172"/>
        <v>0</v>
      </c>
      <c r="CX63" s="945">
        <f t="shared" ca="1" si="172"/>
        <v>0</v>
      </c>
      <c r="CY63" s="945">
        <f t="shared" ca="1" si="172"/>
        <v>0</v>
      </c>
      <c r="CZ63" s="945">
        <f t="shared" ca="1" si="172"/>
        <v>0</v>
      </c>
      <c r="DA63" s="945">
        <f t="shared" ca="1" si="172"/>
        <v>0</v>
      </c>
      <c r="DB63" s="945">
        <f t="shared" ca="1" si="172"/>
        <v>0</v>
      </c>
      <c r="DC63" s="945">
        <f t="shared" ca="1" si="172"/>
        <v>0</v>
      </c>
      <c r="DD63" s="945">
        <f t="shared" ca="1" si="172"/>
        <v>0</v>
      </c>
      <c r="DE63" s="945">
        <f t="shared" ca="1" si="172"/>
        <v>0</v>
      </c>
      <c r="DF63" s="945">
        <f t="shared" ca="1" si="172"/>
        <v>0</v>
      </c>
      <c r="DH63" s="553">
        <f t="shared" ca="1" si="125"/>
        <v>0</v>
      </c>
    </row>
    <row r="64" spans="1:112" s="522" customFormat="1" ht="12.75" customHeight="1" outlineLevel="1">
      <c r="A64" s="16"/>
      <c r="B64" s="16"/>
      <c r="C64" s="525"/>
      <c r="D64" s="495"/>
      <c r="E64" s="495"/>
      <c r="G64" s="605"/>
      <c r="H64" s="605"/>
      <c r="I64" s="605"/>
      <c r="J64" s="605"/>
      <c r="K64" s="607"/>
      <c r="L64" s="605"/>
      <c r="M64" s="605"/>
      <c r="N64" s="605"/>
      <c r="O64" s="605"/>
      <c r="P64" s="605"/>
      <c r="Q64" s="605"/>
      <c r="S64" s="617"/>
      <c r="T64" s="617"/>
      <c r="U64" s="617"/>
      <c r="V64" s="617"/>
      <c r="W64" s="617"/>
      <c r="X64" s="617"/>
      <c r="Y64" s="617"/>
      <c r="Z64" s="617"/>
      <c r="AA64" s="617"/>
      <c r="AB64" s="617"/>
      <c r="AC64" s="617"/>
      <c r="AD64" s="617"/>
      <c r="AE64" s="617"/>
      <c r="AF64" s="617"/>
      <c r="AG64" s="617"/>
      <c r="AH64" s="617"/>
      <c r="AI64" s="617"/>
      <c r="AJ64" s="617"/>
      <c r="AK64" s="617"/>
      <c r="AM64" s="623"/>
      <c r="AN64" s="623"/>
      <c r="AO64" s="623"/>
      <c r="AP64" s="623"/>
      <c r="AQ64" s="623"/>
      <c r="AR64" s="623"/>
      <c r="AS64" s="623"/>
      <c r="AT64" s="623"/>
      <c r="AU64" s="623"/>
      <c r="AV64" s="623"/>
      <c r="AW64" s="623"/>
      <c r="AX64" s="623"/>
      <c r="AY64" s="623"/>
      <c r="AZ64" s="623"/>
      <c r="BA64" s="623"/>
      <c r="BB64" s="623"/>
      <c r="BC64" s="623"/>
      <c r="BD64" s="623"/>
      <c r="BE64" s="623"/>
      <c r="BF64" s="623"/>
      <c r="BH64" s="637"/>
      <c r="BI64" s="637"/>
      <c r="BJ64" s="637"/>
      <c r="BL64" s="497"/>
      <c r="BM64" s="497"/>
      <c r="BN64" s="16"/>
      <c r="BO64" s="945"/>
      <c r="BP64" s="945"/>
      <c r="BQ64" s="945"/>
      <c r="BR64" s="945"/>
      <c r="BS64" s="945"/>
      <c r="BT64" s="945"/>
      <c r="BU64" s="945"/>
      <c r="BV64" s="945"/>
      <c r="BW64" s="945"/>
      <c r="BX64" s="945"/>
      <c r="BY64" s="945"/>
      <c r="BZ64" s="945"/>
      <c r="CA64" s="945"/>
      <c r="CB64" s="945"/>
      <c r="CC64" s="945"/>
      <c r="CD64" s="945"/>
      <c r="CE64" s="945"/>
      <c r="CF64" s="945"/>
      <c r="CG64" s="945"/>
      <c r="CH64" s="945"/>
      <c r="CI64" s="945"/>
      <c r="CJ64" s="945"/>
      <c r="CK64" s="945"/>
      <c r="CL64" s="945"/>
      <c r="CM64" s="945"/>
      <c r="CN64" s="945"/>
      <c r="CO64" s="945"/>
      <c r="CP64" s="945"/>
      <c r="CQ64" s="945"/>
      <c r="CR64" s="945"/>
      <c r="CS64" s="945"/>
      <c r="CT64" s="945"/>
      <c r="CU64" s="945"/>
      <c r="CV64" s="945"/>
      <c r="CW64" s="945"/>
      <c r="CX64" s="945"/>
      <c r="CY64" s="945"/>
      <c r="CZ64" s="945"/>
      <c r="DA64" s="945"/>
      <c r="DB64" s="945"/>
      <c r="DC64" s="945"/>
      <c r="DD64" s="945"/>
      <c r="DE64" s="945"/>
      <c r="DF64" s="945"/>
      <c r="DH64" s="553">
        <f t="shared" si="125"/>
        <v>0</v>
      </c>
    </row>
    <row r="65" spans="1:112" s="947" customFormat="1" ht="12.75" customHeight="1" outlineLevel="1">
      <c r="C65" s="524" t="s">
        <v>752</v>
      </c>
      <c r="D65" s="503" t="str">
        <f>INDEX(Modules[Module], MATCH($C65, Modules[Code], 0))</f>
        <v>Solar PV</v>
      </c>
      <c r="E65" s="503"/>
      <c r="G65" s="997">
        <f t="shared" ref="G65:P67" ca="1" si="173">IFERROR(INDEX(INDIRECT($C65&amp;".Outputs["&amp;this.Year&amp;"]"), MATCH(G$5, INDIRECT($C65&amp;".Outputs[Vector]"), 0)), 0)</f>
        <v>0</v>
      </c>
      <c r="H65" s="997">
        <f t="shared" ca="1" si="173"/>
        <v>0</v>
      </c>
      <c r="I65" s="997">
        <f t="shared" ca="1" si="173"/>
        <v>0</v>
      </c>
      <c r="J65" s="997">
        <f t="shared" ca="1" si="173"/>
        <v>0</v>
      </c>
      <c r="K65" s="998">
        <f t="shared" ca="1" si="173"/>
        <v>0</v>
      </c>
      <c r="L65" s="997">
        <f t="shared" ca="1" si="173"/>
        <v>0</v>
      </c>
      <c r="M65" s="997">
        <f t="shared" ca="1" si="173"/>
        <v>0</v>
      </c>
      <c r="N65" s="997">
        <f t="shared" ca="1" si="173"/>
        <v>0</v>
      </c>
      <c r="O65" s="997">
        <f t="shared" ca="1" si="173"/>
        <v>0</v>
      </c>
      <c r="P65" s="997">
        <f t="shared" ca="1" si="173"/>
        <v>0</v>
      </c>
      <c r="Q65" s="610">
        <f ca="1">SUM(G65:P65)</f>
        <v>0</v>
      </c>
      <c r="S65" s="999">
        <f t="shared" ref="S65:BE67" ca="1" si="174">IFERROR(INDEX(INDIRECT($C65&amp;".Outputs["&amp;this.Year&amp;"]"), MATCH(S$5, INDIRECT($C65&amp;".Outputs[Vector]"), 0)), 0)</f>
        <v>0</v>
      </c>
      <c r="T65" s="999">
        <f t="shared" ca="1" si="174"/>
        <v>0</v>
      </c>
      <c r="U65" s="999">
        <f t="shared" ca="1" si="174"/>
        <v>0</v>
      </c>
      <c r="V65" s="999">
        <f t="shared" ca="1" si="174"/>
        <v>0</v>
      </c>
      <c r="W65" s="999">
        <f t="shared" ca="1" si="174"/>
        <v>0</v>
      </c>
      <c r="X65" s="999">
        <f t="shared" ref="X65:Z67" ca="1" si="175">IFERROR(INDEX(INDIRECT($C65&amp;".Outputs["&amp;this.Year&amp;"]"), MATCH(X$5, INDIRECT($C65&amp;".Outputs[Vector]"), 0)), 0)</f>
        <v>0</v>
      </c>
      <c r="Y65" s="999">
        <f t="shared" ca="1" si="175"/>
        <v>0</v>
      </c>
      <c r="Z65" s="999">
        <f t="shared" ca="1" si="175"/>
        <v>0</v>
      </c>
      <c r="AA65" s="999">
        <f t="shared" ca="1" si="174"/>
        <v>0</v>
      </c>
      <c r="AB65" s="999">
        <f t="shared" ca="1" si="174"/>
        <v>0</v>
      </c>
      <c r="AC65" s="999">
        <f t="shared" ca="1" si="174"/>
        <v>0</v>
      </c>
      <c r="AD65" s="999">
        <f t="shared" ca="1" si="174"/>
        <v>0</v>
      </c>
      <c r="AE65" s="999">
        <f t="shared" ca="1" si="174"/>
        <v>0</v>
      </c>
      <c r="AF65" s="999">
        <f t="shared" ca="1" si="174"/>
        <v>0</v>
      </c>
      <c r="AG65" s="999">
        <f t="shared" ca="1" si="174"/>
        <v>0</v>
      </c>
      <c r="AH65" s="999">
        <f t="shared" ca="1" si="174"/>
        <v>0</v>
      </c>
      <c r="AI65" s="999">
        <f t="shared" ca="1" si="174"/>
        <v>0</v>
      </c>
      <c r="AJ65" s="999">
        <f t="shared" ca="1" si="174"/>
        <v>0</v>
      </c>
      <c r="AK65" s="619">
        <f ca="1">SUM(S65:AJ65)</f>
        <v>0</v>
      </c>
      <c r="AM65" s="1000">
        <f t="shared" ref="AM65:AU67" ca="1" si="176">IFERROR(INDEX(INDIRECT($C65&amp;".Outputs["&amp;this.Year&amp;"]"), MATCH(AM$5, INDIRECT($C65&amp;".Outputs[Vector]"), 0)), 0)</f>
        <v>0</v>
      </c>
      <c r="AN65" s="1000">
        <f t="shared" ca="1" si="176"/>
        <v>0</v>
      </c>
      <c r="AO65" s="1000">
        <f t="shared" ca="1" si="176"/>
        <v>0</v>
      </c>
      <c r="AP65" s="1000">
        <f t="shared" ca="1" si="176"/>
        <v>0</v>
      </c>
      <c r="AQ65" s="1000">
        <f t="shared" ca="1" si="176"/>
        <v>0</v>
      </c>
      <c r="AR65" s="1000">
        <f t="shared" ca="1" si="176"/>
        <v>0</v>
      </c>
      <c r="AS65" s="1000">
        <f t="shared" ca="1" si="176"/>
        <v>0</v>
      </c>
      <c r="AT65" s="1000">
        <f t="shared" ca="1" si="176"/>
        <v>0</v>
      </c>
      <c r="AU65" s="1000">
        <f t="shared" ca="1" si="176"/>
        <v>0</v>
      </c>
      <c r="AV65" s="1000">
        <f t="shared" ca="1" si="174"/>
        <v>0</v>
      </c>
      <c r="AW65" s="1000">
        <f t="shared" ca="1" si="174"/>
        <v>0</v>
      </c>
      <c r="AX65" s="1000">
        <f t="shared" ca="1" si="174"/>
        <v>0</v>
      </c>
      <c r="AY65" s="1000">
        <f t="shared" ca="1" si="174"/>
        <v>0</v>
      </c>
      <c r="AZ65" s="1000">
        <f t="shared" ca="1" si="174"/>
        <v>0</v>
      </c>
      <c r="BA65" s="1000">
        <f t="shared" ca="1" si="174"/>
        <v>0</v>
      </c>
      <c r="BB65" s="1000">
        <f t="shared" ca="1" si="174"/>
        <v>0</v>
      </c>
      <c r="BC65" s="1000">
        <f t="shared" ca="1" si="174"/>
        <v>0</v>
      </c>
      <c r="BD65" s="1000">
        <f t="shared" ca="1" si="174"/>
        <v>0</v>
      </c>
      <c r="BE65" s="1000">
        <f t="shared" ca="1" si="174"/>
        <v>0</v>
      </c>
      <c r="BF65" s="626">
        <f ca="1">SUM(AM65:BE65)</f>
        <v>0</v>
      </c>
      <c r="BH65" s="1001">
        <f t="shared" ref="BH65:BI67" ca="1" si="177">IFERROR(INDEX(INDIRECT($C65&amp;".Outputs["&amp;this.Year&amp;"]"), MATCH(BH$5, INDIRECT($C65&amp;".Outputs[Vector]"), 0)), 0)</f>
        <v>0</v>
      </c>
      <c r="BI65" s="1001">
        <f t="shared" ca="1" si="177"/>
        <v>0</v>
      </c>
      <c r="BJ65" s="639">
        <f ca="1">SUM(BH65:BI65)</f>
        <v>0</v>
      </c>
      <c r="BL65" s="547">
        <f t="shared" ref="BL65:BL70" ca="1" si="178">Q65+AK65+BF65+BJ65</f>
        <v>0</v>
      </c>
      <c r="BM65" s="547"/>
      <c r="BO65" s="995">
        <f t="shared" ref="BO65:DF67" ca="1" si="179">IFERROR(SUMIFS(INDIRECT($C65&amp;".Emissions["&amp;this.Year&amp;"]"), INDIRECT($C65&amp;".Emissions[GHG]"), BO$6, INDIRECT($C65&amp;".Emissions[IPCC Sector]"), BO$5),0)</f>
        <v>0</v>
      </c>
      <c r="BP65" s="995">
        <f t="shared" ca="1" si="179"/>
        <v>0</v>
      </c>
      <c r="BQ65" s="995">
        <f t="shared" ca="1" si="179"/>
        <v>0</v>
      </c>
      <c r="BR65" s="995">
        <f t="shared" ca="1" si="179"/>
        <v>0</v>
      </c>
      <c r="BS65" s="995">
        <f t="shared" ca="1" si="179"/>
        <v>0</v>
      </c>
      <c r="BT65" s="995">
        <f t="shared" ca="1" si="179"/>
        <v>0</v>
      </c>
      <c r="BU65" s="995">
        <f t="shared" ca="1" si="179"/>
        <v>0</v>
      </c>
      <c r="BV65" s="995">
        <f t="shared" ca="1" si="179"/>
        <v>0</v>
      </c>
      <c r="BW65" s="995">
        <f t="shared" ca="1" si="179"/>
        <v>0</v>
      </c>
      <c r="BX65" s="995">
        <f t="shared" ca="1" si="179"/>
        <v>0</v>
      </c>
      <c r="BY65" s="995">
        <f t="shared" ca="1" si="179"/>
        <v>0</v>
      </c>
      <c r="BZ65" s="995">
        <f t="shared" ca="1" si="179"/>
        <v>0</v>
      </c>
      <c r="CA65" s="995">
        <f t="shared" ca="1" si="179"/>
        <v>0</v>
      </c>
      <c r="CB65" s="995">
        <f t="shared" ca="1" si="179"/>
        <v>0</v>
      </c>
      <c r="CC65" s="995">
        <f t="shared" ca="1" si="179"/>
        <v>0</v>
      </c>
      <c r="CD65" s="995">
        <f t="shared" ca="1" si="179"/>
        <v>0</v>
      </c>
      <c r="CE65" s="995">
        <f t="shared" ca="1" si="179"/>
        <v>0</v>
      </c>
      <c r="CF65" s="995">
        <f t="shared" ca="1" si="179"/>
        <v>0</v>
      </c>
      <c r="CG65" s="995">
        <f t="shared" ca="1" si="179"/>
        <v>0</v>
      </c>
      <c r="CH65" s="995">
        <f t="shared" ca="1" si="179"/>
        <v>0</v>
      </c>
      <c r="CI65" s="995">
        <f t="shared" ca="1" si="179"/>
        <v>0</v>
      </c>
      <c r="CJ65" s="995">
        <f t="shared" ca="1" si="179"/>
        <v>0</v>
      </c>
      <c r="CK65" s="995">
        <f t="shared" ca="1" si="179"/>
        <v>0</v>
      </c>
      <c r="CL65" s="995">
        <f t="shared" ca="1" si="179"/>
        <v>0</v>
      </c>
      <c r="CM65" s="995">
        <f t="shared" ca="1" si="179"/>
        <v>0</v>
      </c>
      <c r="CN65" s="995">
        <f t="shared" ca="1" si="179"/>
        <v>0</v>
      </c>
      <c r="CO65" s="995">
        <f t="shared" ca="1" si="179"/>
        <v>0</v>
      </c>
      <c r="CP65" s="995">
        <f t="shared" ca="1" si="179"/>
        <v>0</v>
      </c>
      <c r="CQ65" s="995">
        <f t="shared" ca="1" si="179"/>
        <v>0</v>
      </c>
      <c r="CR65" s="995">
        <f t="shared" ca="1" si="179"/>
        <v>0</v>
      </c>
      <c r="CS65" s="995">
        <f t="shared" ca="1" si="179"/>
        <v>0</v>
      </c>
      <c r="CT65" s="995">
        <f t="shared" ca="1" si="179"/>
        <v>0</v>
      </c>
      <c r="CU65" s="995">
        <f t="shared" ca="1" si="179"/>
        <v>0</v>
      </c>
      <c r="CV65" s="995">
        <f t="shared" ca="1" si="179"/>
        <v>0</v>
      </c>
      <c r="CW65" s="995">
        <f t="shared" ca="1" si="179"/>
        <v>0</v>
      </c>
      <c r="CX65" s="995">
        <f t="shared" ca="1" si="179"/>
        <v>0</v>
      </c>
      <c r="CY65" s="995">
        <f t="shared" ca="1" si="179"/>
        <v>0</v>
      </c>
      <c r="CZ65" s="995">
        <f t="shared" ca="1" si="179"/>
        <v>0</v>
      </c>
      <c r="DA65" s="995">
        <f t="shared" ca="1" si="179"/>
        <v>0</v>
      </c>
      <c r="DB65" s="995">
        <f t="shared" ca="1" si="179"/>
        <v>0</v>
      </c>
      <c r="DC65" s="995">
        <f t="shared" ca="1" si="179"/>
        <v>0</v>
      </c>
      <c r="DD65" s="995">
        <f t="shared" ca="1" si="179"/>
        <v>0</v>
      </c>
      <c r="DE65" s="995">
        <f t="shared" ca="1" si="179"/>
        <v>0</v>
      </c>
      <c r="DF65" s="995">
        <f t="shared" ca="1" si="179"/>
        <v>0</v>
      </c>
      <c r="DH65" s="996">
        <f t="shared" ca="1" si="125"/>
        <v>0</v>
      </c>
    </row>
    <row r="66" spans="1:112" s="947" customFormat="1" ht="12.75" customHeight="1" outlineLevel="1">
      <c r="C66" s="524" t="s">
        <v>958</v>
      </c>
      <c r="D66" s="503" t="str">
        <f>INDEX(Modules[Module], MATCH($C66, Modules[Code], 0))</f>
        <v>Solar thermal</v>
      </c>
      <c r="E66" s="503"/>
      <c r="G66" s="997">
        <f t="shared" ca="1" si="173"/>
        <v>0</v>
      </c>
      <c r="H66" s="997">
        <f t="shared" ca="1" si="173"/>
        <v>0</v>
      </c>
      <c r="I66" s="997">
        <f t="shared" ca="1" si="173"/>
        <v>0</v>
      </c>
      <c r="J66" s="997">
        <f t="shared" ca="1" si="173"/>
        <v>0</v>
      </c>
      <c r="K66" s="998">
        <f t="shared" ca="1" si="173"/>
        <v>0</v>
      </c>
      <c r="L66" s="997">
        <f t="shared" ca="1" si="173"/>
        <v>0</v>
      </c>
      <c r="M66" s="997">
        <f t="shared" ca="1" si="173"/>
        <v>0</v>
      </c>
      <c r="N66" s="997">
        <f t="shared" ca="1" si="173"/>
        <v>0</v>
      </c>
      <c r="O66" s="997">
        <f t="shared" ca="1" si="173"/>
        <v>0</v>
      </c>
      <c r="P66" s="997">
        <f t="shared" ca="1" si="173"/>
        <v>0</v>
      </c>
      <c r="Q66" s="610">
        <f ca="1">SUM(G66:P66)</f>
        <v>0</v>
      </c>
      <c r="S66" s="999">
        <f t="shared" ca="1" si="174"/>
        <v>0</v>
      </c>
      <c r="T66" s="999">
        <f t="shared" ca="1" si="174"/>
        <v>0</v>
      </c>
      <c r="U66" s="999">
        <f t="shared" ca="1" si="174"/>
        <v>0</v>
      </c>
      <c r="V66" s="999">
        <f t="shared" ca="1" si="174"/>
        <v>0</v>
      </c>
      <c r="W66" s="999">
        <f t="shared" ca="1" si="174"/>
        <v>0</v>
      </c>
      <c r="X66" s="999">
        <f t="shared" ca="1" si="175"/>
        <v>0</v>
      </c>
      <c r="Y66" s="999">
        <f t="shared" ca="1" si="175"/>
        <v>0</v>
      </c>
      <c r="Z66" s="999">
        <f t="shared" ca="1" si="175"/>
        <v>0</v>
      </c>
      <c r="AA66" s="999">
        <f t="shared" ca="1" si="174"/>
        <v>0</v>
      </c>
      <c r="AB66" s="999">
        <f t="shared" ca="1" si="174"/>
        <v>0</v>
      </c>
      <c r="AC66" s="999">
        <f t="shared" ca="1" si="174"/>
        <v>0</v>
      </c>
      <c r="AD66" s="999">
        <f t="shared" ca="1" si="174"/>
        <v>0</v>
      </c>
      <c r="AE66" s="999">
        <f t="shared" ca="1" si="174"/>
        <v>0</v>
      </c>
      <c r="AF66" s="999">
        <f t="shared" ca="1" si="174"/>
        <v>0</v>
      </c>
      <c r="AG66" s="999">
        <f t="shared" ca="1" si="174"/>
        <v>0</v>
      </c>
      <c r="AH66" s="999">
        <f t="shared" ca="1" si="174"/>
        <v>0</v>
      </c>
      <c r="AI66" s="999">
        <f t="shared" ca="1" si="174"/>
        <v>0</v>
      </c>
      <c r="AJ66" s="999">
        <f t="shared" ca="1" si="174"/>
        <v>0</v>
      </c>
      <c r="AK66" s="619">
        <f ca="1">SUM(S66:AJ66)</f>
        <v>0</v>
      </c>
      <c r="AM66" s="1000">
        <f t="shared" ca="1" si="176"/>
        <v>0</v>
      </c>
      <c r="AN66" s="1000">
        <f t="shared" ca="1" si="176"/>
        <v>0</v>
      </c>
      <c r="AO66" s="1000">
        <f t="shared" ca="1" si="176"/>
        <v>0</v>
      </c>
      <c r="AP66" s="1000">
        <f t="shared" ca="1" si="176"/>
        <v>0</v>
      </c>
      <c r="AQ66" s="1000">
        <f t="shared" ca="1" si="176"/>
        <v>0</v>
      </c>
      <c r="AR66" s="1000">
        <f t="shared" ca="1" si="176"/>
        <v>0</v>
      </c>
      <c r="AS66" s="1000">
        <f t="shared" ca="1" si="176"/>
        <v>0</v>
      </c>
      <c r="AT66" s="1000">
        <f t="shared" ca="1" si="176"/>
        <v>0</v>
      </c>
      <c r="AU66" s="1000">
        <f t="shared" ca="1" si="176"/>
        <v>0</v>
      </c>
      <c r="AV66" s="1000">
        <f t="shared" ca="1" si="174"/>
        <v>0</v>
      </c>
      <c r="AW66" s="1000">
        <f t="shared" ca="1" si="174"/>
        <v>0</v>
      </c>
      <c r="AX66" s="1000">
        <f t="shared" ca="1" si="174"/>
        <v>0</v>
      </c>
      <c r="AY66" s="1000">
        <f t="shared" ca="1" si="174"/>
        <v>0</v>
      </c>
      <c r="AZ66" s="1000">
        <f t="shared" ca="1" si="174"/>
        <v>0</v>
      </c>
      <c r="BA66" s="1000">
        <f t="shared" ca="1" si="174"/>
        <v>0</v>
      </c>
      <c r="BB66" s="1000">
        <f t="shared" ca="1" si="174"/>
        <v>0</v>
      </c>
      <c r="BC66" s="1000">
        <f t="shared" ca="1" si="174"/>
        <v>0</v>
      </c>
      <c r="BD66" s="1000">
        <f t="shared" ca="1" si="174"/>
        <v>0</v>
      </c>
      <c r="BE66" s="1000">
        <f t="shared" ca="1" si="174"/>
        <v>0</v>
      </c>
      <c r="BF66" s="626">
        <f ca="1">SUM(AM66:BE66)</f>
        <v>0</v>
      </c>
      <c r="BH66" s="1001">
        <f t="shared" ca="1" si="177"/>
        <v>0</v>
      </c>
      <c r="BI66" s="1001">
        <f t="shared" ca="1" si="177"/>
        <v>0</v>
      </c>
      <c r="BJ66" s="639">
        <f ca="1">SUM(BH66:BI66)</f>
        <v>0</v>
      </c>
      <c r="BL66" s="547">
        <f t="shared" ca="1" si="178"/>
        <v>0</v>
      </c>
      <c r="BM66" s="547"/>
      <c r="BO66" s="995">
        <f t="shared" ca="1" si="179"/>
        <v>0</v>
      </c>
      <c r="BP66" s="995">
        <f t="shared" ca="1" si="179"/>
        <v>0</v>
      </c>
      <c r="BQ66" s="995">
        <f t="shared" ca="1" si="179"/>
        <v>0</v>
      </c>
      <c r="BR66" s="995">
        <f t="shared" ca="1" si="179"/>
        <v>0</v>
      </c>
      <c r="BS66" s="995">
        <f t="shared" ca="1" si="179"/>
        <v>0</v>
      </c>
      <c r="BT66" s="995">
        <f t="shared" ca="1" si="179"/>
        <v>0</v>
      </c>
      <c r="BU66" s="995">
        <f t="shared" ca="1" si="179"/>
        <v>0</v>
      </c>
      <c r="BV66" s="995">
        <f t="shared" ca="1" si="179"/>
        <v>0</v>
      </c>
      <c r="BW66" s="995">
        <f t="shared" ca="1" si="179"/>
        <v>0</v>
      </c>
      <c r="BX66" s="995">
        <f t="shared" ca="1" si="179"/>
        <v>0</v>
      </c>
      <c r="BY66" s="995">
        <f t="shared" ca="1" si="179"/>
        <v>0</v>
      </c>
      <c r="BZ66" s="995">
        <f t="shared" ca="1" si="179"/>
        <v>0</v>
      </c>
      <c r="CA66" s="995">
        <f t="shared" ca="1" si="179"/>
        <v>0</v>
      </c>
      <c r="CB66" s="995">
        <f t="shared" ca="1" si="179"/>
        <v>0</v>
      </c>
      <c r="CC66" s="995">
        <f t="shared" ca="1" si="179"/>
        <v>0</v>
      </c>
      <c r="CD66" s="995">
        <f t="shared" ca="1" si="179"/>
        <v>0</v>
      </c>
      <c r="CE66" s="995">
        <f t="shared" ca="1" si="179"/>
        <v>0</v>
      </c>
      <c r="CF66" s="995">
        <f t="shared" ca="1" si="179"/>
        <v>0</v>
      </c>
      <c r="CG66" s="995">
        <f t="shared" ca="1" si="179"/>
        <v>0</v>
      </c>
      <c r="CH66" s="995">
        <f t="shared" ca="1" si="179"/>
        <v>0</v>
      </c>
      <c r="CI66" s="995">
        <f t="shared" ca="1" si="179"/>
        <v>0</v>
      </c>
      <c r="CJ66" s="995">
        <f t="shared" ca="1" si="179"/>
        <v>0</v>
      </c>
      <c r="CK66" s="995">
        <f t="shared" ca="1" si="179"/>
        <v>0</v>
      </c>
      <c r="CL66" s="995">
        <f t="shared" ca="1" si="179"/>
        <v>0</v>
      </c>
      <c r="CM66" s="995">
        <f t="shared" ca="1" si="179"/>
        <v>0</v>
      </c>
      <c r="CN66" s="995">
        <f t="shared" ca="1" si="179"/>
        <v>0</v>
      </c>
      <c r="CO66" s="995">
        <f t="shared" ca="1" si="179"/>
        <v>0</v>
      </c>
      <c r="CP66" s="995">
        <f t="shared" ca="1" si="179"/>
        <v>0</v>
      </c>
      <c r="CQ66" s="995">
        <f t="shared" ca="1" si="179"/>
        <v>0</v>
      </c>
      <c r="CR66" s="995">
        <f t="shared" ca="1" si="179"/>
        <v>0</v>
      </c>
      <c r="CS66" s="995">
        <f t="shared" ca="1" si="179"/>
        <v>0</v>
      </c>
      <c r="CT66" s="995">
        <f t="shared" ca="1" si="179"/>
        <v>0</v>
      </c>
      <c r="CU66" s="995">
        <f t="shared" ca="1" si="179"/>
        <v>0</v>
      </c>
      <c r="CV66" s="995">
        <f t="shared" ca="1" si="179"/>
        <v>0</v>
      </c>
      <c r="CW66" s="995">
        <f t="shared" ca="1" si="179"/>
        <v>0</v>
      </c>
      <c r="CX66" s="995">
        <f t="shared" ca="1" si="179"/>
        <v>0</v>
      </c>
      <c r="CY66" s="995">
        <f t="shared" ca="1" si="179"/>
        <v>0</v>
      </c>
      <c r="CZ66" s="995">
        <f t="shared" ca="1" si="179"/>
        <v>0</v>
      </c>
      <c r="DA66" s="995">
        <f t="shared" ca="1" si="179"/>
        <v>0</v>
      </c>
      <c r="DB66" s="995">
        <f t="shared" ca="1" si="179"/>
        <v>0</v>
      </c>
      <c r="DC66" s="995">
        <f t="shared" ca="1" si="179"/>
        <v>0</v>
      </c>
      <c r="DD66" s="995">
        <f t="shared" ca="1" si="179"/>
        <v>0</v>
      </c>
      <c r="DE66" s="995">
        <f t="shared" ca="1" si="179"/>
        <v>0</v>
      </c>
      <c r="DF66" s="995">
        <f t="shared" ca="1" si="179"/>
        <v>0</v>
      </c>
      <c r="DH66" s="996">
        <f t="shared" ca="1" si="125"/>
        <v>0</v>
      </c>
    </row>
    <row r="67" spans="1:112" s="947" customFormat="1" ht="12.75" customHeight="1" outlineLevel="1">
      <c r="C67" s="524" t="s">
        <v>990</v>
      </c>
      <c r="D67" s="656" t="str">
        <f>INDEX(Modules[Module], MATCH($C67, Modules[Code], 0))</f>
        <v>Small-scale wind</v>
      </c>
      <c r="E67" s="656"/>
      <c r="F67" s="522"/>
      <c r="G67" s="668">
        <f t="shared" ca="1" si="173"/>
        <v>0</v>
      </c>
      <c r="H67" s="668">
        <f t="shared" ca="1" si="173"/>
        <v>0</v>
      </c>
      <c r="I67" s="668">
        <f t="shared" ca="1" si="173"/>
        <v>0</v>
      </c>
      <c r="J67" s="668">
        <f t="shared" ca="1" si="173"/>
        <v>0</v>
      </c>
      <c r="K67" s="668">
        <f t="shared" ca="1" si="173"/>
        <v>0</v>
      </c>
      <c r="L67" s="668">
        <f t="shared" ca="1" si="173"/>
        <v>0</v>
      </c>
      <c r="M67" s="668">
        <f t="shared" ca="1" si="173"/>
        <v>0</v>
      </c>
      <c r="N67" s="668">
        <f t="shared" ca="1" si="173"/>
        <v>0</v>
      </c>
      <c r="O67" s="668">
        <f t="shared" ca="1" si="173"/>
        <v>0</v>
      </c>
      <c r="P67" s="668">
        <f t="shared" ca="1" si="173"/>
        <v>0</v>
      </c>
      <c r="Q67" s="666">
        <f ca="1">SUM(G67:P67)</f>
        <v>0</v>
      </c>
      <c r="R67" s="522"/>
      <c r="S67" s="677">
        <f t="shared" ca="1" si="174"/>
        <v>0</v>
      </c>
      <c r="T67" s="677">
        <f t="shared" ca="1" si="174"/>
        <v>0</v>
      </c>
      <c r="U67" s="677">
        <f t="shared" ca="1" si="174"/>
        <v>0</v>
      </c>
      <c r="V67" s="677">
        <f t="shared" ca="1" si="174"/>
        <v>0</v>
      </c>
      <c r="W67" s="677">
        <f t="shared" ca="1" si="174"/>
        <v>0</v>
      </c>
      <c r="X67" s="677">
        <f t="shared" ca="1" si="175"/>
        <v>0</v>
      </c>
      <c r="Y67" s="677">
        <f t="shared" ca="1" si="175"/>
        <v>0</v>
      </c>
      <c r="Z67" s="677">
        <f t="shared" ca="1" si="175"/>
        <v>0</v>
      </c>
      <c r="AA67" s="677">
        <f t="shared" ca="1" si="174"/>
        <v>0</v>
      </c>
      <c r="AB67" s="677">
        <f t="shared" ca="1" si="174"/>
        <v>0</v>
      </c>
      <c r="AC67" s="677">
        <f t="shared" ca="1" si="174"/>
        <v>0</v>
      </c>
      <c r="AD67" s="677">
        <f t="shared" ca="1" si="174"/>
        <v>0</v>
      </c>
      <c r="AE67" s="677">
        <f t="shared" ca="1" si="174"/>
        <v>0</v>
      </c>
      <c r="AF67" s="677">
        <f t="shared" ca="1" si="174"/>
        <v>0</v>
      </c>
      <c r="AG67" s="677">
        <f t="shared" ca="1" si="174"/>
        <v>0</v>
      </c>
      <c r="AH67" s="677">
        <f t="shared" ca="1" si="174"/>
        <v>0</v>
      </c>
      <c r="AI67" s="677">
        <f t="shared" ca="1" si="174"/>
        <v>0</v>
      </c>
      <c r="AJ67" s="677">
        <f t="shared" ca="1" si="174"/>
        <v>0</v>
      </c>
      <c r="AK67" s="676">
        <f ca="1">SUM(S67:AJ67)</f>
        <v>0</v>
      </c>
      <c r="AL67" s="522"/>
      <c r="AM67" s="688">
        <f t="shared" ca="1" si="176"/>
        <v>0</v>
      </c>
      <c r="AN67" s="688">
        <f t="shared" ca="1" si="176"/>
        <v>0</v>
      </c>
      <c r="AO67" s="688">
        <f t="shared" ca="1" si="176"/>
        <v>0</v>
      </c>
      <c r="AP67" s="688">
        <f t="shared" ca="1" si="176"/>
        <v>0</v>
      </c>
      <c r="AQ67" s="688">
        <f t="shared" ca="1" si="176"/>
        <v>0</v>
      </c>
      <c r="AR67" s="688">
        <f t="shared" ca="1" si="176"/>
        <v>0</v>
      </c>
      <c r="AS67" s="688">
        <f t="shared" ca="1" si="176"/>
        <v>0</v>
      </c>
      <c r="AT67" s="688">
        <f t="shared" ca="1" si="176"/>
        <v>0</v>
      </c>
      <c r="AU67" s="688">
        <f t="shared" ca="1" si="176"/>
        <v>0</v>
      </c>
      <c r="AV67" s="688">
        <f t="shared" ca="1" si="174"/>
        <v>0</v>
      </c>
      <c r="AW67" s="688">
        <f t="shared" ca="1" si="174"/>
        <v>0</v>
      </c>
      <c r="AX67" s="688">
        <f t="shared" ca="1" si="174"/>
        <v>0</v>
      </c>
      <c r="AY67" s="688">
        <f t="shared" ca="1" si="174"/>
        <v>0</v>
      </c>
      <c r="AZ67" s="688">
        <f t="shared" ca="1" si="174"/>
        <v>0</v>
      </c>
      <c r="BA67" s="688">
        <f t="shared" ca="1" si="174"/>
        <v>0</v>
      </c>
      <c r="BB67" s="688">
        <f t="shared" ca="1" si="174"/>
        <v>0</v>
      </c>
      <c r="BC67" s="688">
        <f t="shared" ca="1" si="174"/>
        <v>0</v>
      </c>
      <c r="BD67" s="688">
        <f t="shared" ca="1" si="174"/>
        <v>0</v>
      </c>
      <c r="BE67" s="688">
        <f t="shared" ca="1" si="174"/>
        <v>0</v>
      </c>
      <c r="BF67" s="658">
        <f ca="1">SUM(AM67:BE67)</f>
        <v>0</v>
      </c>
      <c r="BG67" s="522"/>
      <c r="BH67" s="682">
        <f t="shared" ca="1" si="177"/>
        <v>0</v>
      </c>
      <c r="BI67" s="682">
        <f t="shared" ca="1" si="177"/>
        <v>0</v>
      </c>
      <c r="BJ67" s="681">
        <f ca="1">SUM(BH67:BI67)</f>
        <v>0</v>
      </c>
      <c r="BK67" s="522"/>
      <c r="BL67" s="547">
        <f t="shared" ca="1" si="178"/>
        <v>0</v>
      </c>
      <c r="BM67" s="547"/>
      <c r="BN67" s="555"/>
      <c r="BO67" s="948">
        <f t="shared" ca="1" si="179"/>
        <v>0</v>
      </c>
      <c r="BP67" s="949">
        <f t="shared" ca="1" si="179"/>
        <v>0</v>
      </c>
      <c r="BQ67" s="949">
        <f t="shared" ca="1" si="179"/>
        <v>0</v>
      </c>
      <c r="BR67" s="949">
        <f t="shared" ca="1" si="179"/>
        <v>0</v>
      </c>
      <c r="BS67" s="949">
        <f t="shared" ca="1" si="179"/>
        <v>0</v>
      </c>
      <c r="BT67" s="949">
        <f t="shared" ca="1" si="179"/>
        <v>0</v>
      </c>
      <c r="BU67" s="949">
        <f t="shared" ca="1" si="179"/>
        <v>0</v>
      </c>
      <c r="BV67" s="949">
        <f t="shared" ca="1" si="179"/>
        <v>0</v>
      </c>
      <c r="BW67" s="949">
        <f t="shared" ca="1" si="179"/>
        <v>0</v>
      </c>
      <c r="BX67" s="949">
        <f t="shared" ca="1" si="179"/>
        <v>0</v>
      </c>
      <c r="BY67" s="949">
        <f t="shared" ca="1" si="179"/>
        <v>0</v>
      </c>
      <c r="BZ67" s="949">
        <f t="shared" ca="1" si="179"/>
        <v>0</v>
      </c>
      <c r="CA67" s="949">
        <f t="shared" ca="1" si="179"/>
        <v>0</v>
      </c>
      <c r="CB67" s="949">
        <f t="shared" ca="1" si="179"/>
        <v>0</v>
      </c>
      <c r="CC67" s="949">
        <f t="shared" ca="1" si="179"/>
        <v>0</v>
      </c>
      <c r="CD67" s="949">
        <f t="shared" ca="1" si="179"/>
        <v>0</v>
      </c>
      <c r="CE67" s="949">
        <f t="shared" ca="1" si="179"/>
        <v>0</v>
      </c>
      <c r="CF67" s="949">
        <f t="shared" ca="1" si="179"/>
        <v>0</v>
      </c>
      <c r="CG67" s="949">
        <f t="shared" ca="1" si="179"/>
        <v>0</v>
      </c>
      <c r="CH67" s="949">
        <f t="shared" ca="1" si="179"/>
        <v>0</v>
      </c>
      <c r="CI67" s="949">
        <f t="shared" ca="1" si="179"/>
        <v>0</v>
      </c>
      <c r="CJ67" s="949">
        <f t="shared" ca="1" si="179"/>
        <v>0</v>
      </c>
      <c r="CK67" s="949">
        <f t="shared" ca="1" si="179"/>
        <v>0</v>
      </c>
      <c r="CL67" s="949">
        <f t="shared" ca="1" si="179"/>
        <v>0</v>
      </c>
      <c r="CM67" s="949">
        <f t="shared" ca="1" si="179"/>
        <v>0</v>
      </c>
      <c r="CN67" s="949">
        <f t="shared" ca="1" si="179"/>
        <v>0</v>
      </c>
      <c r="CO67" s="949">
        <f t="shared" ca="1" si="179"/>
        <v>0</v>
      </c>
      <c r="CP67" s="949">
        <f t="shared" ca="1" si="179"/>
        <v>0</v>
      </c>
      <c r="CQ67" s="949">
        <f t="shared" ca="1" si="179"/>
        <v>0</v>
      </c>
      <c r="CR67" s="949">
        <f t="shared" ca="1" si="179"/>
        <v>0</v>
      </c>
      <c r="CS67" s="949">
        <f t="shared" ca="1" si="179"/>
        <v>0</v>
      </c>
      <c r="CT67" s="949">
        <f t="shared" ca="1" si="179"/>
        <v>0</v>
      </c>
      <c r="CU67" s="949">
        <f t="shared" ca="1" si="179"/>
        <v>0</v>
      </c>
      <c r="CV67" s="949">
        <f t="shared" ca="1" si="179"/>
        <v>0</v>
      </c>
      <c r="CW67" s="949">
        <f t="shared" ca="1" si="179"/>
        <v>0</v>
      </c>
      <c r="CX67" s="949">
        <f t="shared" ca="1" si="179"/>
        <v>0</v>
      </c>
      <c r="CY67" s="949">
        <f t="shared" ca="1" si="179"/>
        <v>0</v>
      </c>
      <c r="CZ67" s="949">
        <f t="shared" ca="1" si="179"/>
        <v>0</v>
      </c>
      <c r="DA67" s="949">
        <f t="shared" ca="1" si="179"/>
        <v>0</v>
      </c>
      <c r="DB67" s="949">
        <f t="shared" ca="1" si="179"/>
        <v>0</v>
      </c>
      <c r="DC67" s="949">
        <f t="shared" ca="1" si="179"/>
        <v>0</v>
      </c>
      <c r="DD67" s="949">
        <f t="shared" ca="1" si="179"/>
        <v>0</v>
      </c>
      <c r="DE67" s="949">
        <f t="shared" ca="1" si="179"/>
        <v>0</v>
      </c>
      <c r="DF67" s="949">
        <f t="shared" ca="1" si="179"/>
        <v>0</v>
      </c>
      <c r="DH67" s="553">
        <f t="shared" ca="1" si="125"/>
        <v>0</v>
      </c>
    </row>
    <row r="68" spans="1:112" s="522" customFormat="1" ht="15">
      <c r="A68" s="16"/>
      <c r="B68" s="527"/>
      <c r="C68" s="523" t="s">
        <v>71</v>
      </c>
      <c r="D68" s="499" t="str">
        <f>INDEX(Workstreams[Workstream], MATCH($C68, Workstreams[Code], 0))</f>
        <v>Distributed renewable power generation</v>
      </c>
      <c r="E68" s="495"/>
      <c r="G68" s="667">
        <f ca="1">SUM(G65:G67)</f>
        <v>0</v>
      </c>
      <c r="H68" s="667">
        <f t="shared" ref="H68:P68" ca="1" si="180">SUM(H65:H67)</f>
        <v>0</v>
      </c>
      <c r="I68" s="667">
        <f t="shared" ca="1" si="180"/>
        <v>0</v>
      </c>
      <c r="J68" s="667">
        <f t="shared" ca="1" si="180"/>
        <v>0</v>
      </c>
      <c r="K68" s="667">
        <f t="shared" ca="1" si="180"/>
        <v>0</v>
      </c>
      <c r="L68" s="667">
        <f t="shared" ca="1" si="180"/>
        <v>0</v>
      </c>
      <c r="M68" s="667">
        <f t="shared" ca="1" si="180"/>
        <v>0</v>
      </c>
      <c r="N68" s="667">
        <f t="shared" ca="1" si="180"/>
        <v>0</v>
      </c>
      <c r="O68" s="667">
        <f t="shared" ca="1" si="180"/>
        <v>0</v>
      </c>
      <c r="P68" s="667">
        <f t="shared" ca="1" si="180"/>
        <v>0</v>
      </c>
      <c r="Q68" s="667">
        <f ca="1">SUM(G68:P68)</f>
        <v>0</v>
      </c>
      <c r="S68" s="617">
        <f t="shared" ref="S68:AJ68" ca="1" si="181">SUM(S65:S67)</f>
        <v>0</v>
      </c>
      <c r="T68" s="617">
        <f t="shared" ca="1" si="181"/>
        <v>0</v>
      </c>
      <c r="U68" s="617">
        <f t="shared" ca="1" si="181"/>
        <v>0</v>
      </c>
      <c r="V68" s="617">
        <f t="shared" ca="1" si="181"/>
        <v>0</v>
      </c>
      <c r="W68" s="617">
        <f t="shared" ca="1" si="181"/>
        <v>0</v>
      </c>
      <c r="X68" s="617">
        <f t="shared" ca="1" si="181"/>
        <v>0</v>
      </c>
      <c r="Y68" s="617">
        <f t="shared" ca="1" si="181"/>
        <v>0</v>
      </c>
      <c r="Z68" s="617">
        <f t="shared" ca="1" si="181"/>
        <v>0</v>
      </c>
      <c r="AA68" s="617">
        <f t="shared" ca="1" si="181"/>
        <v>0</v>
      </c>
      <c r="AB68" s="617">
        <f t="shared" ca="1" si="181"/>
        <v>0</v>
      </c>
      <c r="AC68" s="617">
        <f t="shared" ca="1" si="181"/>
        <v>0</v>
      </c>
      <c r="AD68" s="617">
        <f t="shared" ca="1" si="181"/>
        <v>0</v>
      </c>
      <c r="AE68" s="617">
        <f ca="1">SUM(AE65:AE67)</f>
        <v>0</v>
      </c>
      <c r="AF68" s="617">
        <f t="shared" ca="1" si="181"/>
        <v>0</v>
      </c>
      <c r="AG68" s="617">
        <f t="shared" ca="1" si="181"/>
        <v>0</v>
      </c>
      <c r="AH68" s="617">
        <f ca="1">SUM(AH65:AH67)</f>
        <v>0</v>
      </c>
      <c r="AI68" s="617">
        <f t="shared" ca="1" si="181"/>
        <v>0</v>
      </c>
      <c r="AJ68" s="617">
        <f t="shared" ca="1" si="181"/>
        <v>0</v>
      </c>
      <c r="AK68" s="617">
        <f ca="1">SUM(S68:AJ68)</f>
        <v>0</v>
      </c>
      <c r="AM68" s="623">
        <f t="shared" ref="AM68:BE68" ca="1" si="182">SUM(AM65:AM67)</f>
        <v>0</v>
      </c>
      <c r="AN68" s="623">
        <f t="shared" ca="1" si="182"/>
        <v>0</v>
      </c>
      <c r="AO68" s="623">
        <f t="shared" ca="1" si="182"/>
        <v>0</v>
      </c>
      <c r="AP68" s="623">
        <f t="shared" ca="1" si="182"/>
        <v>0</v>
      </c>
      <c r="AQ68" s="623">
        <f t="shared" ca="1" si="182"/>
        <v>0</v>
      </c>
      <c r="AR68" s="623">
        <f t="shared" ca="1" si="182"/>
        <v>0</v>
      </c>
      <c r="AS68" s="623">
        <f t="shared" ca="1" si="182"/>
        <v>0</v>
      </c>
      <c r="AT68" s="623">
        <f t="shared" ca="1" si="182"/>
        <v>0</v>
      </c>
      <c r="AU68" s="623">
        <f t="shared" ca="1" si="182"/>
        <v>0</v>
      </c>
      <c r="AV68" s="623">
        <f t="shared" ca="1" si="182"/>
        <v>0</v>
      </c>
      <c r="AW68" s="623">
        <f t="shared" ca="1" si="182"/>
        <v>0</v>
      </c>
      <c r="AX68" s="623">
        <f t="shared" ca="1" si="182"/>
        <v>0</v>
      </c>
      <c r="AY68" s="623">
        <f t="shared" ca="1" si="182"/>
        <v>0</v>
      </c>
      <c r="AZ68" s="623">
        <f t="shared" ca="1" si="182"/>
        <v>0</v>
      </c>
      <c r="BA68" s="623">
        <f t="shared" ca="1" si="182"/>
        <v>0</v>
      </c>
      <c r="BB68" s="623">
        <f t="shared" ca="1" si="182"/>
        <v>0</v>
      </c>
      <c r="BC68" s="623">
        <f t="shared" ca="1" si="182"/>
        <v>0</v>
      </c>
      <c r="BD68" s="623">
        <f t="shared" ca="1" si="182"/>
        <v>0</v>
      </c>
      <c r="BE68" s="623">
        <f t="shared" ca="1" si="182"/>
        <v>0</v>
      </c>
      <c r="BF68" s="623">
        <f ca="1">SUM(AM68:BE68)</f>
        <v>0</v>
      </c>
      <c r="BH68" s="637">
        <f ca="1">SUM(BH65:BH67)</f>
        <v>0</v>
      </c>
      <c r="BI68" s="637">
        <f ca="1">SUM(BI65:BI67)</f>
        <v>0</v>
      </c>
      <c r="BJ68" s="637">
        <f ca="1">SUM(BH68:BI68)</f>
        <v>0</v>
      </c>
      <c r="BL68" s="497">
        <f t="shared" ca="1" si="178"/>
        <v>0</v>
      </c>
      <c r="BM68" s="497"/>
      <c r="BN68" s="555"/>
      <c r="BO68" s="945">
        <f ca="1">SUM(BO65:BO67)</f>
        <v>0</v>
      </c>
      <c r="BP68" s="945">
        <f t="shared" ref="BP68:DF68" ca="1" si="183">SUM(BP65:BP67)</f>
        <v>0</v>
      </c>
      <c r="BQ68" s="945">
        <f t="shared" ca="1" si="183"/>
        <v>0</v>
      </c>
      <c r="BR68" s="945">
        <f t="shared" ca="1" si="183"/>
        <v>0</v>
      </c>
      <c r="BS68" s="945">
        <f t="shared" ca="1" si="183"/>
        <v>0</v>
      </c>
      <c r="BT68" s="945">
        <f t="shared" ca="1" si="183"/>
        <v>0</v>
      </c>
      <c r="BU68" s="945">
        <f t="shared" ca="1" si="183"/>
        <v>0</v>
      </c>
      <c r="BV68" s="945">
        <f t="shared" ca="1" si="183"/>
        <v>0</v>
      </c>
      <c r="BW68" s="945">
        <f t="shared" ca="1" si="183"/>
        <v>0</v>
      </c>
      <c r="BX68" s="945">
        <f t="shared" ca="1" si="183"/>
        <v>0</v>
      </c>
      <c r="BY68" s="945">
        <f t="shared" ca="1" si="183"/>
        <v>0</v>
      </c>
      <c r="BZ68" s="945">
        <f t="shared" ca="1" si="183"/>
        <v>0</v>
      </c>
      <c r="CA68" s="945">
        <f t="shared" ca="1" si="183"/>
        <v>0</v>
      </c>
      <c r="CB68" s="945">
        <f t="shared" ca="1" si="183"/>
        <v>0</v>
      </c>
      <c r="CC68" s="945">
        <f t="shared" ca="1" si="183"/>
        <v>0</v>
      </c>
      <c r="CD68" s="945">
        <f t="shared" ca="1" si="183"/>
        <v>0</v>
      </c>
      <c r="CE68" s="945">
        <f t="shared" ca="1" si="183"/>
        <v>0</v>
      </c>
      <c r="CF68" s="945">
        <f t="shared" ca="1" si="183"/>
        <v>0</v>
      </c>
      <c r="CG68" s="945">
        <f t="shared" ca="1" si="183"/>
        <v>0</v>
      </c>
      <c r="CH68" s="945">
        <f t="shared" ca="1" si="183"/>
        <v>0</v>
      </c>
      <c r="CI68" s="945">
        <f t="shared" ca="1" si="183"/>
        <v>0</v>
      </c>
      <c r="CJ68" s="945">
        <f t="shared" ca="1" si="183"/>
        <v>0</v>
      </c>
      <c r="CK68" s="945">
        <f t="shared" ca="1" si="183"/>
        <v>0</v>
      </c>
      <c r="CL68" s="945">
        <f t="shared" ca="1" si="183"/>
        <v>0</v>
      </c>
      <c r="CM68" s="945">
        <f t="shared" ca="1" si="183"/>
        <v>0</v>
      </c>
      <c r="CN68" s="945">
        <f t="shared" ca="1" si="183"/>
        <v>0</v>
      </c>
      <c r="CO68" s="945">
        <f t="shared" ca="1" si="183"/>
        <v>0</v>
      </c>
      <c r="CP68" s="945">
        <f t="shared" ca="1" si="183"/>
        <v>0</v>
      </c>
      <c r="CQ68" s="945">
        <f t="shared" ca="1" si="183"/>
        <v>0</v>
      </c>
      <c r="CR68" s="945">
        <f t="shared" ca="1" si="183"/>
        <v>0</v>
      </c>
      <c r="CS68" s="945">
        <f t="shared" ca="1" si="183"/>
        <v>0</v>
      </c>
      <c r="CT68" s="945">
        <f t="shared" ca="1" si="183"/>
        <v>0</v>
      </c>
      <c r="CU68" s="945">
        <f t="shared" ca="1" si="183"/>
        <v>0</v>
      </c>
      <c r="CV68" s="945">
        <f t="shared" ca="1" si="183"/>
        <v>0</v>
      </c>
      <c r="CW68" s="945">
        <f t="shared" ca="1" si="183"/>
        <v>0</v>
      </c>
      <c r="CX68" s="945">
        <f t="shared" ca="1" si="183"/>
        <v>0</v>
      </c>
      <c r="CY68" s="945">
        <f t="shared" ca="1" si="183"/>
        <v>0</v>
      </c>
      <c r="CZ68" s="945">
        <f t="shared" ca="1" si="183"/>
        <v>0</v>
      </c>
      <c r="DA68" s="945">
        <f t="shared" ca="1" si="183"/>
        <v>0</v>
      </c>
      <c r="DB68" s="945">
        <f t="shared" ca="1" si="183"/>
        <v>0</v>
      </c>
      <c r="DC68" s="945">
        <f t="shared" ca="1" si="183"/>
        <v>0</v>
      </c>
      <c r="DD68" s="945">
        <f t="shared" ca="1" si="183"/>
        <v>0</v>
      </c>
      <c r="DE68" s="945">
        <f t="shared" ca="1" si="183"/>
        <v>0</v>
      </c>
      <c r="DF68" s="945">
        <f t="shared" ca="1" si="183"/>
        <v>0</v>
      </c>
      <c r="DH68" s="553">
        <f t="shared" ca="1" si="125"/>
        <v>0</v>
      </c>
    </row>
    <row r="69" spans="1:112" s="522" customFormat="1" ht="12.75" customHeight="1" outlineLevel="1">
      <c r="A69" s="16"/>
      <c r="B69" s="16"/>
      <c r="C69" s="525"/>
      <c r="D69" s="495"/>
      <c r="E69" s="495"/>
      <c r="G69" s="605"/>
      <c r="H69" s="605"/>
      <c r="I69" s="605"/>
      <c r="J69" s="605"/>
      <c r="K69" s="607"/>
      <c r="L69" s="605"/>
      <c r="M69" s="605"/>
      <c r="N69" s="605"/>
      <c r="O69" s="605"/>
      <c r="P69" s="605"/>
      <c r="Q69" s="605"/>
      <c r="S69" s="617"/>
      <c r="T69" s="617"/>
      <c r="U69" s="617"/>
      <c r="V69" s="617"/>
      <c r="W69" s="617"/>
      <c r="X69" s="617"/>
      <c r="Y69" s="617"/>
      <c r="Z69" s="617"/>
      <c r="AA69" s="617"/>
      <c r="AB69" s="617"/>
      <c r="AC69" s="617"/>
      <c r="AD69" s="617"/>
      <c r="AE69" s="617"/>
      <c r="AF69" s="617"/>
      <c r="AG69" s="617"/>
      <c r="AH69" s="617"/>
      <c r="AI69" s="617"/>
      <c r="AJ69" s="617"/>
      <c r="AK69" s="617"/>
      <c r="AM69" s="623"/>
      <c r="AN69" s="623"/>
      <c r="AO69" s="623"/>
      <c r="AP69" s="623"/>
      <c r="AQ69" s="623"/>
      <c r="AR69" s="623"/>
      <c r="AS69" s="623"/>
      <c r="AT69" s="623"/>
      <c r="AU69" s="623"/>
      <c r="AV69" s="623"/>
      <c r="AW69" s="623"/>
      <c r="AX69" s="623"/>
      <c r="AY69" s="623"/>
      <c r="AZ69" s="623"/>
      <c r="BA69" s="623"/>
      <c r="BB69" s="623"/>
      <c r="BC69" s="623"/>
      <c r="BD69" s="623"/>
      <c r="BE69" s="623"/>
      <c r="BF69" s="623"/>
      <c r="BH69" s="637"/>
      <c r="BI69" s="637"/>
      <c r="BJ69" s="637"/>
      <c r="BL69" s="497">
        <f t="shared" si="178"/>
        <v>0</v>
      </c>
      <c r="BM69" s="497"/>
      <c r="BN69" s="16"/>
      <c r="BO69" s="945"/>
      <c r="BP69" s="945"/>
      <c r="BQ69" s="945"/>
      <c r="BR69" s="945"/>
      <c r="BS69" s="945"/>
      <c r="BT69" s="945"/>
      <c r="BU69" s="945"/>
      <c r="BV69" s="945"/>
      <c r="BW69" s="945"/>
      <c r="BX69" s="945"/>
      <c r="BY69" s="945"/>
      <c r="BZ69" s="945"/>
      <c r="CA69" s="945"/>
      <c r="CB69" s="945"/>
      <c r="CC69" s="945"/>
      <c r="CD69" s="945"/>
      <c r="CE69" s="945"/>
      <c r="CF69" s="945"/>
      <c r="CG69" s="945"/>
      <c r="CH69" s="945"/>
      <c r="CI69" s="945"/>
      <c r="CJ69" s="945"/>
      <c r="CK69" s="945"/>
      <c r="CL69" s="945"/>
      <c r="CM69" s="945"/>
      <c r="CN69" s="945"/>
      <c r="CO69" s="945"/>
      <c r="CP69" s="945"/>
      <c r="CQ69" s="945"/>
      <c r="CR69" s="945"/>
      <c r="CS69" s="945"/>
      <c r="CT69" s="945"/>
      <c r="CU69" s="945"/>
      <c r="CV69" s="945"/>
      <c r="CW69" s="945"/>
      <c r="CX69" s="945"/>
      <c r="CY69" s="945"/>
      <c r="CZ69" s="945"/>
      <c r="DA69" s="945"/>
      <c r="DB69" s="945"/>
      <c r="DC69" s="945"/>
      <c r="DD69" s="945"/>
      <c r="DE69" s="945"/>
      <c r="DF69" s="945"/>
      <c r="DH69" s="553">
        <f t="shared" si="125"/>
        <v>0</v>
      </c>
    </row>
    <row r="70" spans="1:112" s="954" customFormat="1" ht="12.75" customHeight="1" outlineLevel="1">
      <c r="C70" s="963" t="s">
        <v>1019</v>
      </c>
      <c r="D70" s="964" t="s">
        <v>969</v>
      </c>
      <c r="E70" s="964"/>
      <c r="F70" s="1044"/>
      <c r="G70" s="708"/>
      <c r="H70" s="708"/>
      <c r="I70" s="708"/>
      <c r="J70" s="708"/>
      <c r="K70" s="709"/>
      <c r="L70" s="708"/>
      <c r="M70" s="708"/>
      <c r="N70" s="708"/>
      <c r="O70" s="708"/>
      <c r="P70" s="708"/>
      <c r="Q70" s="708"/>
      <c r="R70" s="1044"/>
      <c r="S70" s="710"/>
      <c r="T70" s="710"/>
      <c r="U70" s="710"/>
      <c r="V70" s="710"/>
      <c r="W70" s="710"/>
      <c r="X70" s="710"/>
      <c r="Y70" s="710"/>
      <c r="Z70" s="710"/>
      <c r="AA70" s="710"/>
      <c r="AB70" s="710">
        <f ca="1">AB$40+AB$46+AB$51+AB$99+AB$55+AB$63+AB$68</f>
        <v>0</v>
      </c>
      <c r="AC70" s="710"/>
      <c r="AD70" s="710"/>
      <c r="AE70" s="710"/>
      <c r="AF70" s="710"/>
      <c r="AG70" s="710"/>
      <c r="AH70" s="710"/>
      <c r="AI70" s="710"/>
      <c r="AJ70" s="710"/>
      <c r="AK70" s="710"/>
      <c r="AL70" s="1044"/>
      <c r="AM70" s="711"/>
      <c r="AN70" s="711"/>
      <c r="AO70" s="711"/>
      <c r="AP70" s="711"/>
      <c r="AQ70" s="711"/>
      <c r="AR70" s="711"/>
      <c r="AS70" s="711"/>
      <c r="AT70" s="711"/>
      <c r="AU70" s="711"/>
      <c r="AV70" s="711"/>
      <c r="AW70" s="711"/>
      <c r="AX70" s="711"/>
      <c r="AY70" s="711"/>
      <c r="AZ70" s="711"/>
      <c r="BA70" s="711"/>
      <c r="BB70" s="711"/>
      <c r="BC70" s="711"/>
      <c r="BD70" s="711"/>
      <c r="BE70" s="711"/>
      <c r="BF70" s="711"/>
      <c r="BG70" s="1044"/>
      <c r="BH70" s="712"/>
      <c r="BI70" s="712"/>
      <c r="BJ70" s="712">
        <f>SUM(BH70:BI70)</f>
        <v>0</v>
      </c>
      <c r="BK70" s="1044"/>
      <c r="BL70" s="965">
        <f t="shared" si="178"/>
        <v>0</v>
      </c>
      <c r="BM70" s="965"/>
      <c r="BO70" s="1050"/>
      <c r="BP70" s="1050"/>
      <c r="BQ70" s="1050"/>
      <c r="BR70" s="1050"/>
      <c r="BS70" s="1050"/>
      <c r="BT70" s="1050"/>
      <c r="BU70" s="1050"/>
      <c r="BV70" s="1050"/>
      <c r="BW70" s="1050"/>
      <c r="BX70" s="1050"/>
      <c r="BY70" s="1050"/>
      <c r="BZ70" s="1050"/>
      <c r="CA70" s="1050"/>
      <c r="CB70" s="1050"/>
      <c r="CC70" s="1050"/>
      <c r="CD70" s="1050"/>
      <c r="CE70" s="1050"/>
      <c r="CF70" s="1050"/>
      <c r="CG70" s="1050"/>
      <c r="CH70" s="1050"/>
      <c r="CI70" s="1050"/>
      <c r="CJ70" s="1050"/>
      <c r="CK70" s="1050"/>
      <c r="CL70" s="1050"/>
      <c r="CM70" s="1050"/>
      <c r="CN70" s="1050"/>
      <c r="CO70" s="1050"/>
      <c r="CP70" s="1050"/>
      <c r="CQ70" s="1050"/>
      <c r="CR70" s="1050"/>
      <c r="CS70" s="1050"/>
      <c r="CT70" s="1050"/>
      <c r="CU70" s="1050"/>
      <c r="CV70" s="1050"/>
      <c r="CW70" s="1050"/>
      <c r="CX70" s="1050"/>
      <c r="CY70" s="1050"/>
      <c r="CZ70" s="1050"/>
      <c r="DA70" s="1050"/>
      <c r="DB70" s="1050"/>
      <c r="DC70" s="1050"/>
      <c r="DD70" s="1050"/>
      <c r="DE70" s="1050"/>
      <c r="DF70" s="1050"/>
      <c r="DH70" s="1049">
        <f t="shared" si="125"/>
        <v>0</v>
      </c>
    </row>
    <row r="71" spans="1:112" s="947" customFormat="1" ht="12.75" customHeight="1" outlineLevel="1">
      <c r="C71" s="524" t="s">
        <v>967</v>
      </c>
      <c r="D71" s="656" t="str">
        <f>INDEX(Modules[Module], MATCH($C71, Modules[Code], 0))</f>
        <v>District heating effective demand</v>
      </c>
      <c r="E71" s="656"/>
      <c r="F71" s="522"/>
      <c r="G71" s="668">
        <f t="shared" ref="G71:P71" ca="1" si="184">IFERROR(INDEX(INDIRECT($C71&amp;".Outputs["&amp;this.Year&amp;"]"), MATCH(G$5, INDIRECT($C71&amp;".Outputs[Vector]"), 0)), 0)</f>
        <v>0</v>
      </c>
      <c r="H71" s="668">
        <f t="shared" ca="1" si="184"/>
        <v>0</v>
      </c>
      <c r="I71" s="668">
        <f t="shared" ca="1" si="184"/>
        <v>0</v>
      </c>
      <c r="J71" s="668">
        <f t="shared" ca="1" si="184"/>
        <v>0</v>
      </c>
      <c r="K71" s="668">
        <f t="shared" ca="1" si="184"/>
        <v>0</v>
      </c>
      <c r="L71" s="668">
        <f t="shared" ca="1" si="184"/>
        <v>0</v>
      </c>
      <c r="M71" s="668">
        <f t="shared" ca="1" si="184"/>
        <v>0</v>
      </c>
      <c r="N71" s="668">
        <f t="shared" ca="1" si="184"/>
        <v>0</v>
      </c>
      <c r="O71" s="668">
        <f t="shared" ca="1" si="184"/>
        <v>0</v>
      </c>
      <c r="P71" s="668">
        <f t="shared" ca="1" si="184"/>
        <v>0</v>
      </c>
      <c r="Q71" s="666">
        <f ca="1">SUM(G71:P71)</f>
        <v>0</v>
      </c>
      <c r="R71" s="522"/>
      <c r="S71" s="677">
        <f t="shared" ref="S71:BE71" ca="1" si="185">IFERROR(INDEX(INDIRECT($C71&amp;".Outputs["&amp;this.Year&amp;"]"), MATCH(S$5, INDIRECT($C71&amp;".Outputs[Vector]"), 0)), 0)</f>
        <v>0</v>
      </c>
      <c r="T71" s="677">
        <f t="shared" ca="1" si="185"/>
        <v>0</v>
      </c>
      <c r="U71" s="677">
        <f t="shared" ca="1" si="185"/>
        <v>0</v>
      </c>
      <c r="V71" s="677">
        <f t="shared" ca="1" si="185"/>
        <v>0</v>
      </c>
      <c r="W71" s="677">
        <f t="shared" ca="1" si="185"/>
        <v>0</v>
      </c>
      <c r="X71" s="677">
        <f ca="1">IFERROR(INDEX(INDIRECT($C71&amp;".Outputs["&amp;this.Year&amp;"]"), MATCH(X$5, INDIRECT($C71&amp;".Outputs[Vector]"), 0)), 0)</f>
        <v>0</v>
      </c>
      <c r="Y71" s="677">
        <f ca="1">IFERROR(INDEX(INDIRECT($C71&amp;".Outputs["&amp;this.Year&amp;"]"), MATCH(Y$5, INDIRECT($C71&amp;".Outputs[Vector]"), 0)), 0)</f>
        <v>0</v>
      </c>
      <c r="Z71" s="677">
        <f ca="1">IFERROR(INDEX(INDIRECT($C71&amp;".Outputs["&amp;this.Year&amp;"]"), MATCH(Z$5, INDIRECT($C71&amp;".Outputs[Vector]"), 0)), 0)</f>
        <v>0</v>
      </c>
      <c r="AA71" s="677">
        <f t="shared" ca="1" si="185"/>
        <v>0</v>
      </c>
      <c r="AB71" s="677">
        <f t="shared" ca="1" si="185"/>
        <v>0</v>
      </c>
      <c r="AC71" s="677">
        <f t="shared" ca="1" si="185"/>
        <v>0</v>
      </c>
      <c r="AD71" s="677">
        <f t="shared" ca="1" si="185"/>
        <v>0</v>
      </c>
      <c r="AE71" s="677">
        <f t="shared" ca="1" si="185"/>
        <v>0</v>
      </c>
      <c r="AF71" s="677">
        <f t="shared" ca="1" si="185"/>
        <v>0</v>
      </c>
      <c r="AG71" s="677">
        <f t="shared" ca="1" si="185"/>
        <v>0</v>
      </c>
      <c r="AH71" s="677">
        <f t="shared" ca="1" si="185"/>
        <v>0</v>
      </c>
      <c r="AI71" s="677">
        <f t="shared" ca="1" si="185"/>
        <v>0</v>
      </c>
      <c r="AJ71" s="677">
        <f t="shared" ca="1" si="185"/>
        <v>0</v>
      </c>
      <c r="AK71" s="676">
        <f ca="1">SUM(S71:AJ71)</f>
        <v>0</v>
      </c>
      <c r="AL71" s="522"/>
      <c r="AM71" s="688">
        <f t="shared" ref="AM71:AU71" ca="1" si="186">IFERROR(INDEX(INDIRECT($C71&amp;".Outputs["&amp;this.Year&amp;"]"), MATCH(AM$5, INDIRECT($C71&amp;".Outputs[Vector]"), 0)), 0)</f>
        <v>0</v>
      </c>
      <c r="AN71" s="688">
        <f t="shared" ca="1" si="186"/>
        <v>0</v>
      </c>
      <c r="AO71" s="688">
        <f t="shared" ca="1" si="186"/>
        <v>0</v>
      </c>
      <c r="AP71" s="688">
        <f t="shared" ca="1" si="186"/>
        <v>0</v>
      </c>
      <c r="AQ71" s="688">
        <f t="shared" ca="1" si="186"/>
        <v>0</v>
      </c>
      <c r="AR71" s="688">
        <f t="shared" ca="1" si="186"/>
        <v>0</v>
      </c>
      <c r="AS71" s="688">
        <f t="shared" ca="1" si="186"/>
        <v>0</v>
      </c>
      <c r="AT71" s="688">
        <f t="shared" ca="1" si="186"/>
        <v>0</v>
      </c>
      <c r="AU71" s="688">
        <f t="shared" ca="1" si="186"/>
        <v>0</v>
      </c>
      <c r="AV71" s="688">
        <f t="shared" ca="1" si="185"/>
        <v>0</v>
      </c>
      <c r="AW71" s="688">
        <f t="shared" ca="1" si="185"/>
        <v>0</v>
      </c>
      <c r="AX71" s="688">
        <f t="shared" ca="1" si="185"/>
        <v>0</v>
      </c>
      <c r="AY71" s="688">
        <f t="shared" ca="1" si="185"/>
        <v>0</v>
      </c>
      <c r="AZ71" s="688">
        <f t="shared" ca="1" si="185"/>
        <v>0</v>
      </c>
      <c r="BA71" s="688">
        <f t="shared" ca="1" si="185"/>
        <v>0</v>
      </c>
      <c r="BB71" s="688">
        <f t="shared" ca="1" si="185"/>
        <v>0</v>
      </c>
      <c r="BC71" s="688">
        <f t="shared" ca="1" si="185"/>
        <v>0</v>
      </c>
      <c r="BD71" s="688">
        <f t="shared" ca="1" si="185"/>
        <v>0</v>
      </c>
      <c r="BE71" s="688">
        <f t="shared" ca="1" si="185"/>
        <v>0</v>
      </c>
      <c r="BF71" s="658">
        <f ca="1">SUM(AM71:BE71)</f>
        <v>0</v>
      </c>
      <c r="BG71" s="522"/>
      <c r="BH71" s="682">
        <f ca="1">IFERROR(INDEX(INDIRECT($C71&amp;".Outputs["&amp;this.Year&amp;"]"), MATCH(BH$5, INDIRECT($C71&amp;".Outputs[Vector]"), 0)), 0)</f>
        <v>0</v>
      </c>
      <c r="BI71" s="682">
        <f ca="1">IFERROR(INDEX(INDIRECT($C71&amp;".Outputs["&amp;this.Year&amp;"]"), MATCH(BI$5, INDIRECT($C71&amp;".Outputs[Vector]"), 0)), 0)</f>
        <v>0</v>
      </c>
      <c r="BJ71" s="681">
        <f ca="1">SUM(BH71:BI71)</f>
        <v>0</v>
      </c>
      <c r="BK71" s="522"/>
      <c r="BL71" s="547">
        <f ca="1">Q71+AK71+BF71+BJ71</f>
        <v>0</v>
      </c>
      <c r="BM71" s="547"/>
      <c r="BN71" s="555"/>
      <c r="BO71" s="948">
        <f t="shared" ref="BO71:DF71" ca="1" si="187">IFERROR(SUMIFS(INDIRECT($C71&amp;".Emissions["&amp;this.Year&amp;"]"), INDIRECT($C71&amp;".Emissions[GHG]"), BO$6, INDIRECT($C71&amp;".Emissions[IPCC Sector]"), BO$5),0)</f>
        <v>0</v>
      </c>
      <c r="BP71" s="949">
        <f t="shared" ca="1" si="187"/>
        <v>0</v>
      </c>
      <c r="BQ71" s="949">
        <f t="shared" ca="1" si="187"/>
        <v>0</v>
      </c>
      <c r="BR71" s="949">
        <f t="shared" ca="1" si="187"/>
        <v>0</v>
      </c>
      <c r="BS71" s="949">
        <f t="shared" ca="1" si="187"/>
        <v>0</v>
      </c>
      <c r="BT71" s="949">
        <f t="shared" ca="1" si="187"/>
        <v>0</v>
      </c>
      <c r="BU71" s="949">
        <f t="shared" ca="1" si="187"/>
        <v>0</v>
      </c>
      <c r="BV71" s="949">
        <f t="shared" ca="1" si="187"/>
        <v>0</v>
      </c>
      <c r="BW71" s="949">
        <f t="shared" ca="1" si="187"/>
        <v>0</v>
      </c>
      <c r="BX71" s="949">
        <f t="shared" ca="1" si="187"/>
        <v>0</v>
      </c>
      <c r="BY71" s="949">
        <f t="shared" ca="1" si="187"/>
        <v>0</v>
      </c>
      <c r="BZ71" s="949">
        <f t="shared" ca="1" si="187"/>
        <v>0</v>
      </c>
      <c r="CA71" s="949">
        <f t="shared" ca="1" si="187"/>
        <v>0</v>
      </c>
      <c r="CB71" s="949">
        <f t="shared" ca="1" si="187"/>
        <v>0</v>
      </c>
      <c r="CC71" s="949">
        <f t="shared" ca="1" si="187"/>
        <v>0</v>
      </c>
      <c r="CD71" s="949">
        <f t="shared" ca="1" si="187"/>
        <v>0</v>
      </c>
      <c r="CE71" s="949">
        <f t="shared" ca="1" si="187"/>
        <v>0</v>
      </c>
      <c r="CF71" s="949">
        <f t="shared" ca="1" si="187"/>
        <v>0</v>
      </c>
      <c r="CG71" s="949">
        <f t="shared" ca="1" si="187"/>
        <v>0</v>
      </c>
      <c r="CH71" s="949">
        <f t="shared" ca="1" si="187"/>
        <v>0</v>
      </c>
      <c r="CI71" s="949">
        <f t="shared" ca="1" si="187"/>
        <v>0</v>
      </c>
      <c r="CJ71" s="949">
        <f t="shared" ca="1" si="187"/>
        <v>0</v>
      </c>
      <c r="CK71" s="949">
        <f t="shared" ca="1" si="187"/>
        <v>0</v>
      </c>
      <c r="CL71" s="949">
        <f t="shared" ca="1" si="187"/>
        <v>0</v>
      </c>
      <c r="CM71" s="949">
        <f t="shared" ca="1" si="187"/>
        <v>0</v>
      </c>
      <c r="CN71" s="949">
        <f t="shared" ca="1" si="187"/>
        <v>0</v>
      </c>
      <c r="CO71" s="949">
        <f t="shared" ca="1" si="187"/>
        <v>0</v>
      </c>
      <c r="CP71" s="949">
        <f t="shared" ca="1" si="187"/>
        <v>0</v>
      </c>
      <c r="CQ71" s="949">
        <f t="shared" ca="1" si="187"/>
        <v>0</v>
      </c>
      <c r="CR71" s="949">
        <f t="shared" ca="1" si="187"/>
        <v>0</v>
      </c>
      <c r="CS71" s="949">
        <f t="shared" ca="1" si="187"/>
        <v>0</v>
      </c>
      <c r="CT71" s="949">
        <f t="shared" ca="1" si="187"/>
        <v>0</v>
      </c>
      <c r="CU71" s="949">
        <f t="shared" ca="1" si="187"/>
        <v>0</v>
      </c>
      <c r="CV71" s="949">
        <f t="shared" ca="1" si="187"/>
        <v>0</v>
      </c>
      <c r="CW71" s="949">
        <f t="shared" ca="1" si="187"/>
        <v>0</v>
      </c>
      <c r="CX71" s="949">
        <f t="shared" ca="1" si="187"/>
        <v>0</v>
      </c>
      <c r="CY71" s="949">
        <f t="shared" ca="1" si="187"/>
        <v>0</v>
      </c>
      <c r="CZ71" s="949">
        <f t="shared" ca="1" si="187"/>
        <v>0</v>
      </c>
      <c r="DA71" s="949">
        <f t="shared" ca="1" si="187"/>
        <v>0</v>
      </c>
      <c r="DB71" s="949">
        <f t="shared" ca="1" si="187"/>
        <v>0</v>
      </c>
      <c r="DC71" s="949">
        <f t="shared" ca="1" si="187"/>
        <v>0</v>
      </c>
      <c r="DD71" s="949">
        <f t="shared" ca="1" si="187"/>
        <v>0</v>
      </c>
      <c r="DE71" s="949">
        <f t="shared" ca="1" si="187"/>
        <v>0</v>
      </c>
      <c r="DF71" s="949">
        <f t="shared" ca="1" si="187"/>
        <v>0</v>
      </c>
      <c r="DH71" s="553">
        <f t="shared" ca="1" si="125"/>
        <v>0</v>
      </c>
    </row>
    <row r="72" spans="1:112" s="522" customFormat="1" ht="15">
      <c r="A72" s="16"/>
      <c r="B72" s="527"/>
      <c r="C72" s="523" t="s">
        <v>965</v>
      </c>
      <c r="D72" s="499" t="str">
        <f>INDEX(Workstreams[Workstream], MATCH($C72, Workstreams[Code], 0))</f>
        <v>District heating</v>
      </c>
      <c r="E72" s="495"/>
      <c r="G72" s="667">
        <f ca="1">G71</f>
        <v>0</v>
      </c>
      <c r="H72" s="667">
        <f t="shared" ref="H72:P72" ca="1" si="188">H71</f>
        <v>0</v>
      </c>
      <c r="I72" s="667">
        <f t="shared" ca="1" si="188"/>
        <v>0</v>
      </c>
      <c r="J72" s="667">
        <f t="shared" ca="1" si="188"/>
        <v>0</v>
      </c>
      <c r="K72" s="667">
        <f t="shared" ca="1" si="188"/>
        <v>0</v>
      </c>
      <c r="L72" s="667">
        <f t="shared" ca="1" si="188"/>
        <v>0</v>
      </c>
      <c r="M72" s="667">
        <f t="shared" ca="1" si="188"/>
        <v>0</v>
      </c>
      <c r="N72" s="667">
        <f t="shared" ca="1" si="188"/>
        <v>0</v>
      </c>
      <c r="O72" s="667">
        <f t="shared" ca="1" si="188"/>
        <v>0</v>
      </c>
      <c r="P72" s="667">
        <f t="shared" ca="1" si="188"/>
        <v>0</v>
      </c>
      <c r="Q72" s="667">
        <f ca="1">SUM(G72:P72)</f>
        <v>0</v>
      </c>
      <c r="S72" s="617">
        <f t="shared" ref="S72:AJ72" ca="1" si="189">S71</f>
        <v>0</v>
      </c>
      <c r="T72" s="617">
        <f t="shared" ca="1" si="189"/>
        <v>0</v>
      </c>
      <c r="U72" s="617">
        <f t="shared" ca="1" si="189"/>
        <v>0</v>
      </c>
      <c r="V72" s="617">
        <f t="shared" ca="1" si="189"/>
        <v>0</v>
      </c>
      <c r="W72" s="617">
        <f t="shared" ca="1" si="189"/>
        <v>0</v>
      </c>
      <c r="X72" s="617">
        <f t="shared" ca="1" si="189"/>
        <v>0</v>
      </c>
      <c r="Y72" s="617">
        <f t="shared" ca="1" si="189"/>
        <v>0</v>
      </c>
      <c r="Z72" s="617">
        <f t="shared" ca="1" si="189"/>
        <v>0</v>
      </c>
      <c r="AA72" s="617">
        <f t="shared" ca="1" si="189"/>
        <v>0</v>
      </c>
      <c r="AB72" s="617">
        <f t="shared" ca="1" si="189"/>
        <v>0</v>
      </c>
      <c r="AC72" s="617">
        <f t="shared" ca="1" si="189"/>
        <v>0</v>
      </c>
      <c r="AD72" s="617">
        <f ca="1">AD71</f>
        <v>0</v>
      </c>
      <c r="AE72" s="617">
        <f ca="1">AE71</f>
        <v>0</v>
      </c>
      <c r="AF72" s="617">
        <f t="shared" ca="1" si="189"/>
        <v>0</v>
      </c>
      <c r="AG72" s="617">
        <f t="shared" ca="1" si="189"/>
        <v>0</v>
      </c>
      <c r="AH72" s="617">
        <f ca="1">AH71</f>
        <v>0</v>
      </c>
      <c r="AI72" s="617">
        <f ca="1">AI71</f>
        <v>0</v>
      </c>
      <c r="AJ72" s="617">
        <f t="shared" ca="1" si="189"/>
        <v>0</v>
      </c>
      <c r="AK72" s="617">
        <f ca="1">SUM(S72:AJ72)</f>
        <v>0</v>
      </c>
      <c r="AM72" s="623">
        <f ca="1">AM71</f>
        <v>0</v>
      </c>
      <c r="AN72" s="623">
        <f t="shared" ref="AN72:BE72" ca="1" si="190">AN71</f>
        <v>0</v>
      </c>
      <c r="AO72" s="623">
        <f t="shared" ca="1" si="190"/>
        <v>0</v>
      </c>
      <c r="AP72" s="623">
        <f t="shared" ca="1" si="190"/>
        <v>0</v>
      </c>
      <c r="AQ72" s="623">
        <f t="shared" ca="1" si="190"/>
        <v>0</v>
      </c>
      <c r="AR72" s="623">
        <f t="shared" ca="1" si="190"/>
        <v>0</v>
      </c>
      <c r="AS72" s="623">
        <f t="shared" ca="1" si="190"/>
        <v>0</v>
      </c>
      <c r="AT72" s="623">
        <f t="shared" ca="1" si="190"/>
        <v>0</v>
      </c>
      <c r="AU72" s="623">
        <f t="shared" ca="1" si="190"/>
        <v>0</v>
      </c>
      <c r="AV72" s="623">
        <f t="shared" ca="1" si="190"/>
        <v>0</v>
      </c>
      <c r="AW72" s="623">
        <f t="shared" ca="1" si="190"/>
        <v>0</v>
      </c>
      <c r="AX72" s="623">
        <f t="shared" ca="1" si="190"/>
        <v>0</v>
      </c>
      <c r="AY72" s="623">
        <f t="shared" ca="1" si="190"/>
        <v>0</v>
      </c>
      <c r="AZ72" s="623">
        <f t="shared" ca="1" si="190"/>
        <v>0</v>
      </c>
      <c r="BA72" s="623">
        <f t="shared" ca="1" si="190"/>
        <v>0</v>
      </c>
      <c r="BB72" s="623">
        <f t="shared" ca="1" si="190"/>
        <v>0</v>
      </c>
      <c r="BC72" s="623">
        <f t="shared" ca="1" si="190"/>
        <v>0</v>
      </c>
      <c r="BD72" s="623">
        <f t="shared" ca="1" si="190"/>
        <v>0</v>
      </c>
      <c r="BE72" s="623">
        <f t="shared" ca="1" si="190"/>
        <v>0</v>
      </c>
      <c r="BF72" s="623">
        <f ca="1">SUM(AM72:BE72)</f>
        <v>0</v>
      </c>
      <c r="BH72" s="637">
        <f ca="1">BH71</f>
        <v>0</v>
      </c>
      <c r="BI72" s="637">
        <f ca="1">BI71</f>
        <v>0</v>
      </c>
      <c r="BJ72" s="637">
        <f ca="1">SUM(BH72:BI72)</f>
        <v>0</v>
      </c>
      <c r="BL72" s="497">
        <f ca="1">Q72+AK72+BF72+BJ72</f>
        <v>0</v>
      </c>
      <c r="BM72" s="497"/>
      <c r="BN72" s="555"/>
      <c r="BO72" s="945">
        <f t="shared" ref="BO72:DF72" ca="1" si="191">BO71</f>
        <v>0</v>
      </c>
      <c r="BP72" s="945">
        <f t="shared" ca="1" si="191"/>
        <v>0</v>
      </c>
      <c r="BQ72" s="945">
        <f t="shared" ca="1" si="191"/>
        <v>0</v>
      </c>
      <c r="BR72" s="945">
        <f t="shared" ca="1" si="191"/>
        <v>0</v>
      </c>
      <c r="BS72" s="945">
        <f t="shared" ca="1" si="191"/>
        <v>0</v>
      </c>
      <c r="BT72" s="945">
        <f t="shared" ca="1" si="191"/>
        <v>0</v>
      </c>
      <c r="BU72" s="945">
        <f t="shared" ca="1" si="191"/>
        <v>0</v>
      </c>
      <c r="BV72" s="945">
        <f t="shared" ca="1" si="191"/>
        <v>0</v>
      </c>
      <c r="BW72" s="945">
        <f t="shared" ca="1" si="191"/>
        <v>0</v>
      </c>
      <c r="BX72" s="945">
        <f t="shared" ca="1" si="191"/>
        <v>0</v>
      </c>
      <c r="BY72" s="945">
        <f t="shared" ca="1" si="191"/>
        <v>0</v>
      </c>
      <c r="BZ72" s="945">
        <f t="shared" ca="1" si="191"/>
        <v>0</v>
      </c>
      <c r="CA72" s="945">
        <f t="shared" ca="1" si="191"/>
        <v>0</v>
      </c>
      <c r="CB72" s="945">
        <f t="shared" ca="1" si="191"/>
        <v>0</v>
      </c>
      <c r="CC72" s="945">
        <f t="shared" ca="1" si="191"/>
        <v>0</v>
      </c>
      <c r="CD72" s="945">
        <f t="shared" ca="1" si="191"/>
        <v>0</v>
      </c>
      <c r="CE72" s="945">
        <f t="shared" ca="1" si="191"/>
        <v>0</v>
      </c>
      <c r="CF72" s="945">
        <f t="shared" ca="1" si="191"/>
        <v>0</v>
      </c>
      <c r="CG72" s="945">
        <f t="shared" ca="1" si="191"/>
        <v>0</v>
      </c>
      <c r="CH72" s="945">
        <f t="shared" ca="1" si="191"/>
        <v>0</v>
      </c>
      <c r="CI72" s="945">
        <f t="shared" ca="1" si="191"/>
        <v>0</v>
      </c>
      <c r="CJ72" s="945">
        <f t="shared" ca="1" si="191"/>
        <v>0</v>
      </c>
      <c r="CK72" s="945">
        <f t="shared" ca="1" si="191"/>
        <v>0</v>
      </c>
      <c r="CL72" s="945">
        <f t="shared" ca="1" si="191"/>
        <v>0</v>
      </c>
      <c r="CM72" s="945">
        <f t="shared" ca="1" si="191"/>
        <v>0</v>
      </c>
      <c r="CN72" s="945">
        <f t="shared" ca="1" si="191"/>
        <v>0</v>
      </c>
      <c r="CO72" s="945">
        <f t="shared" ca="1" si="191"/>
        <v>0</v>
      </c>
      <c r="CP72" s="945">
        <f t="shared" ca="1" si="191"/>
        <v>0</v>
      </c>
      <c r="CQ72" s="945">
        <f t="shared" ca="1" si="191"/>
        <v>0</v>
      </c>
      <c r="CR72" s="945">
        <f t="shared" ca="1" si="191"/>
        <v>0</v>
      </c>
      <c r="CS72" s="945">
        <f t="shared" ca="1" si="191"/>
        <v>0</v>
      </c>
      <c r="CT72" s="945">
        <f t="shared" ca="1" si="191"/>
        <v>0</v>
      </c>
      <c r="CU72" s="945">
        <f t="shared" ca="1" si="191"/>
        <v>0</v>
      </c>
      <c r="CV72" s="945">
        <f t="shared" ca="1" si="191"/>
        <v>0</v>
      </c>
      <c r="CW72" s="945">
        <f t="shared" ca="1" si="191"/>
        <v>0</v>
      </c>
      <c r="CX72" s="945">
        <f t="shared" ca="1" si="191"/>
        <v>0</v>
      </c>
      <c r="CY72" s="945">
        <f t="shared" ca="1" si="191"/>
        <v>0</v>
      </c>
      <c r="CZ72" s="945">
        <f t="shared" ca="1" si="191"/>
        <v>0</v>
      </c>
      <c r="DA72" s="945">
        <f t="shared" ca="1" si="191"/>
        <v>0</v>
      </c>
      <c r="DB72" s="945">
        <f t="shared" ca="1" si="191"/>
        <v>0</v>
      </c>
      <c r="DC72" s="945">
        <f t="shared" ca="1" si="191"/>
        <v>0</v>
      </c>
      <c r="DD72" s="945">
        <f t="shared" ca="1" si="191"/>
        <v>0</v>
      </c>
      <c r="DE72" s="945">
        <f t="shared" ca="1" si="191"/>
        <v>0</v>
      </c>
      <c r="DF72" s="945">
        <f t="shared" ca="1" si="191"/>
        <v>0</v>
      </c>
      <c r="DH72" s="553">
        <f t="shared" ca="1" si="125"/>
        <v>0</v>
      </c>
    </row>
    <row r="73" spans="1:112" s="522" customFormat="1" ht="12.75" customHeight="1" outlineLevel="1">
      <c r="A73" s="16"/>
      <c r="B73" s="16"/>
      <c r="C73" s="525"/>
      <c r="D73" s="495"/>
      <c r="E73" s="495"/>
      <c r="G73" s="605"/>
      <c r="H73" s="605"/>
      <c r="I73" s="605"/>
      <c r="J73" s="605"/>
      <c r="K73" s="607"/>
      <c r="L73" s="605"/>
      <c r="M73" s="605"/>
      <c r="N73" s="605"/>
      <c r="O73" s="605"/>
      <c r="P73" s="605"/>
      <c r="Q73" s="605"/>
      <c r="S73" s="617"/>
      <c r="T73" s="617"/>
      <c r="U73" s="617"/>
      <c r="V73" s="617"/>
      <c r="W73" s="617"/>
      <c r="X73" s="617"/>
      <c r="Y73" s="617"/>
      <c r="Z73" s="617"/>
      <c r="AA73" s="617"/>
      <c r="AB73" s="617"/>
      <c r="AC73" s="617"/>
      <c r="AD73" s="617"/>
      <c r="AE73" s="617"/>
      <c r="AF73" s="617"/>
      <c r="AG73" s="617"/>
      <c r="AH73" s="617"/>
      <c r="AI73" s="617"/>
      <c r="AJ73" s="617"/>
      <c r="AK73" s="617"/>
      <c r="AM73" s="623"/>
      <c r="AN73" s="623"/>
      <c r="AO73" s="623"/>
      <c r="AP73" s="623"/>
      <c r="AQ73" s="623"/>
      <c r="AR73" s="623"/>
      <c r="AS73" s="623"/>
      <c r="AT73" s="623"/>
      <c r="AU73" s="623"/>
      <c r="AV73" s="623"/>
      <c r="AW73" s="623"/>
      <c r="AX73" s="623"/>
      <c r="AY73" s="623"/>
      <c r="AZ73" s="623"/>
      <c r="BA73" s="623"/>
      <c r="BB73" s="623"/>
      <c r="BC73" s="623"/>
      <c r="BD73" s="623"/>
      <c r="BE73" s="623"/>
      <c r="BF73" s="623"/>
      <c r="BH73" s="637"/>
      <c r="BI73" s="637"/>
      <c r="BJ73" s="637"/>
      <c r="BL73" s="497"/>
      <c r="BM73" s="497"/>
      <c r="BN73" s="16"/>
      <c r="BO73" s="945"/>
      <c r="BP73" s="945"/>
      <c r="BQ73" s="945"/>
      <c r="BR73" s="945"/>
      <c r="BS73" s="945"/>
      <c r="BT73" s="945"/>
      <c r="BU73" s="945"/>
      <c r="BV73" s="945"/>
      <c r="BW73" s="945"/>
      <c r="BX73" s="945"/>
      <c r="BY73" s="945"/>
      <c r="BZ73" s="945"/>
      <c r="CA73" s="945"/>
      <c r="CB73" s="945"/>
      <c r="CC73" s="945"/>
      <c r="CD73" s="945"/>
      <c r="CE73" s="945"/>
      <c r="CF73" s="945"/>
      <c r="CG73" s="945"/>
      <c r="CH73" s="945"/>
      <c r="CI73" s="945"/>
      <c r="CJ73" s="945"/>
      <c r="CK73" s="945"/>
      <c r="CL73" s="945"/>
      <c r="CM73" s="945"/>
      <c r="CN73" s="945"/>
      <c r="CO73" s="945"/>
      <c r="CP73" s="945"/>
      <c r="CQ73" s="945"/>
      <c r="CR73" s="945"/>
      <c r="CS73" s="945"/>
      <c r="CT73" s="945"/>
      <c r="CU73" s="945"/>
      <c r="CV73" s="945"/>
      <c r="CW73" s="945"/>
      <c r="CX73" s="945"/>
      <c r="CY73" s="945"/>
      <c r="CZ73" s="945"/>
      <c r="DA73" s="945"/>
      <c r="DB73" s="945"/>
      <c r="DC73" s="945"/>
      <c r="DD73" s="945"/>
      <c r="DE73" s="945"/>
      <c r="DF73" s="945"/>
      <c r="DH73" s="553">
        <f t="shared" si="125"/>
        <v>0</v>
      </c>
    </row>
    <row r="74" spans="1:112" s="951" customFormat="1" ht="12.75" customHeight="1" outlineLevel="1">
      <c r="C74" s="692" t="s">
        <v>1020</v>
      </c>
      <c r="D74" s="693" t="s">
        <v>963</v>
      </c>
      <c r="E74" s="693"/>
      <c r="F74" s="522"/>
      <c r="G74" s="694"/>
      <c r="H74" s="694"/>
      <c r="I74" s="694"/>
      <c r="J74" s="694"/>
      <c r="K74" s="695"/>
      <c r="L74" s="694"/>
      <c r="M74" s="694"/>
      <c r="N74" s="694"/>
      <c r="O74" s="694"/>
      <c r="P74" s="694"/>
      <c r="Q74" s="694"/>
      <c r="R74" s="522"/>
      <c r="S74" s="696">
        <f ca="1">S$40+S$46+S$51+S$99+S$55+S$93+S$63+S$68+S$72</f>
        <v>-31.008546529888466</v>
      </c>
      <c r="T74" s="696">
        <f ca="1">T$40+T$46+T$51+T$99+T$55+T$93+T$63+T$68+T$72</f>
        <v>0</v>
      </c>
      <c r="U74" s="696"/>
      <c r="V74" s="696"/>
      <c r="W74" s="696"/>
      <c r="X74" s="696"/>
      <c r="Y74" s="696"/>
      <c r="Z74" s="696"/>
      <c r="AA74" s="696"/>
      <c r="AB74" s="696"/>
      <c r="AC74" s="696"/>
      <c r="AD74" s="696"/>
      <c r="AE74" s="696"/>
      <c r="AF74" s="696"/>
      <c r="AG74" s="696"/>
      <c r="AH74" s="696"/>
      <c r="AI74" s="696"/>
      <c r="AJ74" s="696"/>
      <c r="AK74" s="696"/>
      <c r="AL74" s="522"/>
      <c r="AM74" s="697"/>
      <c r="AN74" s="697"/>
      <c r="AO74" s="697"/>
      <c r="AP74" s="697"/>
      <c r="AQ74" s="697"/>
      <c r="AR74" s="697"/>
      <c r="AS74" s="697"/>
      <c r="AT74" s="697"/>
      <c r="AU74" s="697"/>
      <c r="AV74" s="697"/>
      <c r="AW74" s="697"/>
      <c r="AX74" s="697"/>
      <c r="AY74" s="697"/>
      <c r="AZ74" s="697"/>
      <c r="BA74" s="697"/>
      <c r="BB74" s="697"/>
      <c r="BC74" s="697"/>
      <c r="BD74" s="697"/>
      <c r="BE74" s="697"/>
      <c r="BF74" s="697"/>
      <c r="BG74" s="522"/>
      <c r="BH74" s="698"/>
      <c r="BI74" s="698"/>
      <c r="BJ74" s="698">
        <f>SUM(BH74:BI74)</f>
        <v>0</v>
      </c>
      <c r="BK74" s="522"/>
      <c r="BL74" s="561">
        <f t="shared" ref="BL74:BL80" si="192">Q74+AK74+BF74+BJ74</f>
        <v>0</v>
      </c>
      <c r="BM74" s="561"/>
      <c r="BO74" s="953"/>
      <c r="BP74" s="953"/>
      <c r="BQ74" s="953"/>
      <c r="BR74" s="953"/>
      <c r="BS74" s="953"/>
      <c r="BT74" s="953"/>
      <c r="BU74" s="953"/>
      <c r="BV74" s="953"/>
      <c r="BW74" s="953"/>
      <c r="BX74" s="953"/>
      <c r="BY74" s="953"/>
      <c r="BZ74" s="953"/>
      <c r="CA74" s="953"/>
      <c r="CB74" s="953"/>
      <c r="CC74" s="953"/>
      <c r="CD74" s="953"/>
      <c r="CE74" s="953"/>
      <c r="CF74" s="953"/>
      <c r="CG74" s="953"/>
      <c r="CH74" s="953"/>
      <c r="CI74" s="953"/>
      <c r="CJ74" s="953"/>
      <c r="CK74" s="953"/>
      <c r="CL74" s="953"/>
      <c r="CM74" s="953"/>
      <c r="CN74" s="953"/>
      <c r="CO74" s="953"/>
      <c r="CP74" s="953"/>
      <c r="CQ74" s="953"/>
      <c r="CR74" s="953"/>
      <c r="CS74" s="953"/>
      <c r="CT74" s="953"/>
      <c r="CU74" s="953"/>
      <c r="CV74" s="953"/>
      <c r="CW74" s="953"/>
      <c r="CX74" s="953"/>
      <c r="CY74" s="953"/>
      <c r="CZ74" s="953"/>
      <c r="DA74" s="953"/>
      <c r="DB74" s="953"/>
      <c r="DC74" s="953"/>
      <c r="DD74" s="953"/>
      <c r="DE74" s="953"/>
      <c r="DF74" s="953"/>
      <c r="DH74" s="553">
        <f t="shared" si="125"/>
        <v>0</v>
      </c>
    </row>
    <row r="75" spans="1:112" s="947" customFormat="1" ht="12.75" customHeight="1" outlineLevel="1">
      <c r="C75" s="524" t="s">
        <v>628</v>
      </c>
      <c r="D75" s="656" t="str">
        <f>INDEX(Modules[Module], MATCH($C75, Modules[Code], 0))</f>
        <v>Nuclear power</v>
      </c>
      <c r="E75" s="656"/>
      <c r="F75" s="522"/>
      <c r="G75" s="668">
        <f t="shared" ref="G75:P75" ca="1" si="193">IFERROR(INDEX(INDIRECT($C75&amp;".Outputs["&amp;this.Year&amp;"]"), MATCH(G$5, INDIRECT($C75&amp;".Outputs[Vector]"), 0)), 0)</f>
        <v>0</v>
      </c>
      <c r="H75" s="668">
        <f t="shared" ca="1" si="193"/>
        <v>0</v>
      </c>
      <c r="I75" s="668">
        <f t="shared" ca="1" si="193"/>
        <v>0</v>
      </c>
      <c r="J75" s="668">
        <f t="shared" ca="1" si="193"/>
        <v>0</v>
      </c>
      <c r="K75" s="668">
        <f t="shared" ca="1" si="193"/>
        <v>0</v>
      </c>
      <c r="L75" s="668">
        <f t="shared" ca="1" si="193"/>
        <v>0</v>
      </c>
      <c r="M75" s="668">
        <f t="shared" ca="1" si="193"/>
        <v>0</v>
      </c>
      <c r="N75" s="668">
        <f t="shared" ca="1" si="193"/>
        <v>0</v>
      </c>
      <c r="O75" s="668">
        <f t="shared" ca="1" si="193"/>
        <v>0</v>
      </c>
      <c r="P75" s="668">
        <f t="shared" ca="1" si="193"/>
        <v>0</v>
      </c>
      <c r="Q75" s="666">
        <f ca="1">SUM(G75:P75)</f>
        <v>0</v>
      </c>
      <c r="R75" s="522"/>
      <c r="S75" s="677">
        <f t="shared" ref="S75:BE75" ca="1" si="194">IFERROR(INDEX(INDIRECT($C75&amp;".Outputs["&amp;this.Year&amp;"]"), MATCH(S$5, INDIRECT($C75&amp;".Outputs[Vector]"), 0)), 0)</f>
        <v>0</v>
      </c>
      <c r="T75" s="677">
        <f t="shared" ca="1" si="194"/>
        <v>0</v>
      </c>
      <c r="U75" s="677">
        <f t="shared" ca="1" si="194"/>
        <v>0</v>
      </c>
      <c r="V75" s="677">
        <f t="shared" ca="1" si="194"/>
        <v>0</v>
      </c>
      <c r="W75" s="677">
        <f t="shared" ca="1" si="194"/>
        <v>0</v>
      </c>
      <c r="X75" s="677">
        <f ca="1">IFERROR(INDEX(INDIRECT($C75&amp;".Outputs["&amp;this.Year&amp;"]"), MATCH(X$5, INDIRECT($C75&amp;".Outputs[Vector]"), 0)), 0)</f>
        <v>0</v>
      </c>
      <c r="Y75" s="677">
        <f ca="1">IFERROR(INDEX(INDIRECT($C75&amp;".Outputs["&amp;this.Year&amp;"]"), MATCH(Y$5, INDIRECT($C75&amp;".Outputs[Vector]"), 0)), 0)</f>
        <v>0</v>
      </c>
      <c r="Z75" s="677">
        <f ca="1">IFERROR(INDEX(INDIRECT($C75&amp;".Outputs["&amp;this.Year&amp;"]"), MATCH(Z$5, INDIRECT($C75&amp;".Outputs[Vector]"), 0)), 0)</f>
        <v>0</v>
      </c>
      <c r="AA75" s="677">
        <f t="shared" ca="1" si="194"/>
        <v>0</v>
      </c>
      <c r="AB75" s="677">
        <f t="shared" ca="1" si="194"/>
        <v>0</v>
      </c>
      <c r="AC75" s="677">
        <f t="shared" ca="1" si="194"/>
        <v>0</v>
      </c>
      <c r="AD75" s="677">
        <f t="shared" ca="1" si="194"/>
        <v>0</v>
      </c>
      <c r="AE75" s="677">
        <f t="shared" ca="1" si="194"/>
        <v>0</v>
      </c>
      <c r="AF75" s="677">
        <f t="shared" ca="1" si="194"/>
        <v>0</v>
      </c>
      <c r="AG75" s="677">
        <f t="shared" ca="1" si="194"/>
        <v>0</v>
      </c>
      <c r="AH75" s="677">
        <f t="shared" ca="1" si="194"/>
        <v>0</v>
      </c>
      <c r="AI75" s="677">
        <f t="shared" ca="1" si="194"/>
        <v>0</v>
      </c>
      <c r="AJ75" s="677">
        <f t="shared" ca="1" si="194"/>
        <v>0</v>
      </c>
      <c r="AK75" s="676">
        <f ca="1">SUM(S75:AJ75)</f>
        <v>0</v>
      </c>
      <c r="AL75" s="522"/>
      <c r="AM75" s="688">
        <f t="shared" ref="AM75:AU75" ca="1" si="195">IFERROR(INDEX(INDIRECT($C75&amp;".Outputs["&amp;this.Year&amp;"]"), MATCH(AM$5, INDIRECT($C75&amp;".Outputs[Vector]"), 0)), 0)</f>
        <v>0</v>
      </c>
      <c r="AN75" s="688">
        <f t="shared" ca="1" si="195"/>
        <v>0</v>
      </c>
      <c r="AO75" s="688">
        <f t="shared" ca="1" si="195"/>
        <v>0</v>
      </c>
      <c r="AP75" s="688">
        <f t="shared" ca="1" si="195"/>
        <v>0</v>
      </c>
      <c r="AQ75" s="688">
        <f t="shared" ca="1" si="195"/>
        <v>0</v>
      </c>
      <c r="AR75" s="688">
        <f t="shared" ca="1" si="195"/>
        <v>0</v>
      </c>
      <c r="AS75" s="688">
        <f t="shared" ca="1" si="195"/>
        <v>0</v>
      </c>
      <c r="AT75" s="688">
        <f t="shared" ca="1" si="195"/>
        <v>0</v>
      </c>
      <c r="AU75" s="688">
        <f t="shared" ca="1" si="195"/>
        <v>0</v>
      </c>
      <c r="AV75" s="688">
        <f t="shared" ca="1" si="194"/>
        <v>0</v>
      </c>
      <c r="AW75" s="688">
        <f t="shared" ca="1" si="194"/>
        <v>0</v>
      </c>
      <c r="AX75" s="688">
        <f t="shared" ca="1" si="194"/>
        <v>0</v>
      </c>
      <c r="AY75" s="688">
        <f t="shared" ca="1" si="194"/>
        <v>0</v>
      </c>
      <c r="AZ75" s="688">
        <f t="shared" ca="1" si="194"/>
        <v>0</v>
      </c>
      <c r="BA75" s="688">
        <f t="shared" ca="1" si="194"/>
        <v>0</v>
      </c>
      <c r="BB75" s="688">
        <f t="shared" ca="1" si="194"/>
        <v>0</v>
      </c>
      <c r="BC75" s="688">
        <f t="shared" ca="1" si="194"/>
        <v>0</v>
      </c>
      <c r="BD75" s="688">
        <f t="shared" ca="1" si="194"/>
        <v>0</v>
      </c>
      <c r="BE75" s="688">
        <f t="shared" ca="1" si="194"/>
        <v>0</v>
      </c>
      <c r="BF75" s="658">
        <f ca="1">SUM(AM75:BE75)</f>
        <v>0</v>
      </c>
      <c r="BG75" s="522"/>
      <c r="BH75" s="682">
        <f ca="1">IFERROR(INDEX(INDIRECT($C75&amp;".Outputs["&amp;this.Year&amp;"]"), MATCH(BH$5, INDIRECT($C75&amp;".Outputs[Vector]"), 0)), 0)</f>
        <v>0</v>
      </c>
      <c r="BI75" s="682">
        <f ca="1">IFERROR(INDEX(INDIRECT($C75&amp;".Outputs["&amp;this.Year&amp;"]"), MATCH(BI$5, INDIRECT($C75&amp;".Outputs[Vector]"), 0)), 0)</f>
        <v>0</v>
      </c>
      <c r="BJ75" s="681">
        <f ca="1">SUM(BH75:BI75)</f>
        <v>0</v>
      </c>
      <c r="BK75" s="522"/>
      <c r="BL75" s="547">
        <f t="shared" ca="1" si="192"/>
        <v>0</v>
      </c>
      <c r="BM75" s="547"/>
      <c r="BN75" s="555"/>
      <c r="BO75" s="948">
        <f t="shared" ref="BO75:DF75" ca="1" si="196">IFERROR(SUMIFS(INDIRECT($C75&amp;".Emissions["&amp;this.Year&amp;"]"), INDIRECT($C75&amp;".Emissions[GHG]"), BO$6, INDIRECT($C75&amp;".Emissions[IPCC Sector]"), BO$5),0)</f>
        <v>0</v>
      </c>
      <c r="BP75" s="949">
        <f t="shared" ca="1" si="196"/>
        <v>0</v>
      </c>
      <c r="BQ75" s="949">
        <f t="shared" ca="1" si="196"/>
        <v>0</v>
      </c>
      <c r="BR75" s="949">
        <f t="shared" ca="1" si="196"/>
        <v>0</v>
      </c>
      <c r="BS75" s="949">
        <f t="shared" ca="1" si="196"/>
        <v>0</v>
      </c>
      <c r="BT75" s="949">
        <f t="shared" ca="1" si="196"/>
        <v>0</v>
      </c>
      <c r="BU75" s="949">
        <f t="shared" ca="1" si="196"/>
        <v>0</v>
      </c>
      <c r="BV75" s="949">
        <f t="shared" ca="1" si="196"/>
        <v>0</v>
      </c>
      <c r="BW75" s="949">
        <f t="shared" ca="1" si="196"/>
        <v>0</v>
      </c>
      <c r="BX75" s="949">
        <f t="shared" ca="1" si="196"/>
        <v>0</v>
      </c>
      <c r="BY75" s="949">
        <f t="shared" ca="1" si="196"/>
        <v>0</v>
      </c>
      <c r="BZ75" s="949">
        <f t="shared" ca="1" si="196"/>
        <v>0</v>
      </c>
      <c r="CA75" s="949">
        <f t="shared" ca="1" si="196"/>
        <v>0</v>
      </c>
      <c r="CB75" s="949">
        <f t="shared" ca="1" si="196"/>
        <v>0</v>
      </c>
      <c r="CC75" s="949">
        <f t="shared" ca="1" si="196"/>
        <v>0</v>
      </c>
      <c r="CD75" s="949">
        <f t="shared" ca="1" si="196"/>
        <v>0</v>
      </c>
      <c r="CE75" s="949">
        <f t="shared" ca="1" si="196"/>
        <v>0</v>
      </c>
      <c r="CF75" s="949">
        <f t="shared" ca="1" si="196"/>
        <v>0</v>
      </c>
      <c r="CG75" s="949">
        <f t="shared" ca="1" si="196"/>
        <v>0</v>
      </c>
      <c r="CH75" s="949">
        <f t="shared" ca="1" si="196"/>
        <v>0</v>
      </c>
      <c r="CI75" s="949">
        <f t="shared" ca="1" si="196"/>
        <v>0</v>
      </c>
      <c r="CJ75" s="949">
        <f t="shared" ca="1" si="196"/>
        <v>0</v>
      </c>
      <c r="CK75" s="949">
        <f t="shared" ca="1" si="196"/>
        <v>0</v>
      </c>
      <c r="CL75" s="949">
        <f t="shared" ca="1" si="196"/>
        <v>0</v>
      </c>
      <c r="CM75" s="949">
        <f t="shared" ca="1" si="196"/>
        <v>0</v>
      </c>
      <c r="CN75" s="949">
        <f t="shared" ca="1" si="196"/>
        <v>0</v>
      </c>
      <c r="CO75" s="949">
        <f t="shared" ca="1" si="196"/>
        <v>0</v>
      </c>
      <c r="CP75" s="949">
        <f t="shared" ca="1" si="196"/>
        <v>0</v>
      </c>
      <c r="CQ75" s="949">
        <f t="shared" ca="1" si="196"/>
        <v>0</v>
      </c>
      <c r="CR75" s="949">
        <f t="shared" ca="1" si="196"/>
        <v>0</v>
      </c>
      <c r="CS75" s="949">
        <f t="shared" ca="1" si="196"/>
        <v>0</v>
      </c>
      <c r="CT75" s="949">
        <f t="shared" ca="1" si="196"/>
        <v>0</v>
      </c>
      <c r="CU75" s="949">
        <f t="shared" ca="1" si="196"/>
        <v>0</v>
      </c>
      <c r="CV75" s="949">
        <f t="shared" ca="1" si="196"/>
        <v>0</v>
      </c>
      <c r="CW75" s="949">
        <f t="shared" ca="1" si="196"/>
        <v>0</v>
      </c>
      <c r="CX75" s="949">
        <f t="shared" ca="1" si="196"/>
        <v>0</v>
      </c>
      <c r="CY75" s="949">
        <f t="shared" ca="1" si="196"/>
        <v>0</v>
      </c>
      <c r="CZ75" s="949">
        <f t="shared" ca="1" si="196"/>
        <v>0</v>
      </c>
      <c r="DA75" s="949">
        <f t="shared" ca="1" si="196"/>
        <v>0</v>
      </c>
      <c r="DB75" s="949">
        <f t="shared" ca="1" si="196"/>
        <v>0</v>
      </c>
      <c r="DC75" s="949">
        <f t="shared" ca="1" si="196"/>
        <v>0</v>
      </c>
      <c r="DD75" s="949">
        <f t="shared" ca="1" si="196"/>
        <v>0</v>
      </c>
      <c r="DE75" s="949">
        <f t="shared" ca="1" si="196"/>
        <v>0</v>
      </c>
      <c r="DF75" s="949">
        <f t="shared" ca="1" si="196"/>
        <v>0</v>
      </c>
      <c r="DH75" s="553">
        <f t="shared" ca="1" si="125"/>
        <v>0</v>
      </c>
    </row>
    <row r="76" spans="1:112" s="522" customFormat="1" ht="15">
      <c r="A76" s="16"/>
      <c r="B76" s="527"/>
      <c r="C76" s="523" t="s">
        <v>69</v>
      </c>
      <c r="D76" s="499" t="str">
        <f>INDEX(Workstreams[Workstream], MATCH($C76, Workstreams[Code], 0))</f>
        <v>Nuclear power generation</v>
      </c>
      <c r="E76" s="495"/>
      <c r="G76" s="667">
        <f ca="1">G75</f>
        <v>0</v>
      </c>
      <c r="H76" s="667">
        <f t="shared" ref="H76:P76" ca="1" si="197">H75</f>
        <v>0</v>
      </c>
      <c r="I76" s="667">
        <f t="shared" ca="1" si="197"/>
        <v>0</v>
      </c>
      <c r="J76" s="667">
        <f t="shared" ca="1" si="197"/>
        <v>0</v>
      </c>
      <c r="K76" s="667">
        <f t="shared" ca="1" si="197"/>
        <v>0</v>
      </c>
      <c r="L76" s="667">
        <f t="shared" ca="1" si="197"/>
        <v>0</v>
      </c>
      <c r="M76" s="667">
        <f t="shared" ca="1" si="197"/>
        <v>0</v>
      </c>
      <c r="N76" s="667">
        <f t="shared" ca="1" si="197"/>
        <v>0</v>
      </c>
      <c r="O76" s="667">
        <f t="shared" ca="1" si="197"/>
        <v>0</v>
      </c>
      <c r="P76" s="667">
        <f t="shared" ca="1" si="197"/>
        <v>0</v>
      </c>
      <c r="Q76" s="667">
        <f ca="1">SUM(G76:P76)</f>
        <v>0</v>
      </c>
      <c r="S76" s="617">
        <f t="shared" ref="S76:AJ76" ca="1" si="198">S75</f>
        <v>0</v>
      </c>
      <c r="T76" s="617">
        <f t="shared" ca="1" si="198"/>
        <v>0</v>
      </c>
      <c r="U76" s="617">
        <f t="shared" ca="1" si="198"/>
        <v>0</v>
      </c>
      <c r="V76" s="617">
        <f t="shared" ca="1" si="198"/>
        <v>0</v>
      </c>
      <c r="W76" s="617">
        <f t="shared" ca="1" si="198"/>
        <v>0</v>
      </c>
      <c r="X76" s="617">
        <f t="shared" ca="1" si="198"/>
        <v>0</v>
      </c>
      <c r="Y76" s="617">
        <f t="shared" ca="1" si="198"/>
        <v>0</v>
      </c>
      <c r="Z76" s="617">
        <f t="shared" ca="1" si="198"/>
        <v>0</v>
      </c>
      <c r="AA76" s="617">
        <f t="shared" ca="1" si="198"/>
        <v>0</v>
      </c>
      <c r="AB76" s="617">
        <f t="shared" ca="1" si="198"/>
        <v>0</v>
      </c>
      <c r="AC76" s="617">
        <f t="shared" ca="1" si="198"/>
        <v>0</v>
      </c>
      <c r="AD76" s="617">
        <f t="shared" ca="1" si="198"/>
        <v>0</v>
      </c>
      <c r="AE76" s="617">
        <f ca="1">AE75</f>
        <v>0</v>
      </c>
      <c r="AF76" s="617">
        <f t="shared" ca="1" si="198"/>
        <v>0</v>
      </c>
      <c r="AG76" s="617">
        <f t="shared" ca="1" si="198"/>
        <v>0</v>
      </c>
      <c r="AH76" s="617">
        <f ca="1">AH75</f>
        <v>0</v>
      </c>
      <c r="AI76" s="617">
        <f t="shared" ca="1" si="198"/>
        <v>0</v>
      </c>
      <c r="AJ76" s="617">
        <f t="shared" ca="1" si="198"/>
        <v>0</v>
      </c>
      <c r="AK76" s="617">
        <f ca="1">SUM(S76:AJ76)</f>
        <v>0</v>
      </c>
      <c r="AM76" s="623">
        <f t="shared" ref="AM76:BE76" ca="1" si="199">AM75</f>
        <v>0</v>
      </c>
      <c r="AN76" s="623">
        <f t="shared" ca="1" si="199"/>
        <v>0</v>
      </c>
      <c r="AO76" s="623">
        <f t="shared" ca="1" si="199"/>
        <v>0</v>
      </c>
      <c r="AP76" s="623">
        <f t="shared" ca="1" si="199"/>
        <v>0</v>
      </c>
      <c r="AQ76" s="623">
        <f t="shared" ca="1" si="199"/>
        <v>0</v>
      </c>
      <c r="AR76" s="623">
        <f t="shared" ca="1" si="199"/>
        <v>0</v>
      </c>
      <c r="AS76" s="623">
        <f t="shared" ca="1" si="199"/>
        <v>0</v>
      </c>
      <c r="AT76" s="623">
        <f t="shared" ca="1" si="199"/>
        <v>0</v>
      </c>
      <c r="AU76" s="623">
        <f t="shared" ca="1" si="199"/>
        <v>0</v>
      </c>
      <c r="AV76" s="623">
        <f t="shared" ca="1" si="199"/>
        <v>0</v>
      </c>
      <c r="AW76" s="623">
        <f t="shared" ca="1" si="199"/>
        <v>0</v>
      </c>
      <c r="AX76" s="623">
        <f t="shared" ca="1" si="199"/>
        <v>0</v>
      </c>
      <c r="AY76" s="623">
        <f t="shared" ca="1" si="199"/>
        <v>0</v>
      </c>
      <c r="AZ76" s="623">
        <f t="shared" ca="1" si="199"/>
        <v>0</v>
      </c>
      <c r="BA76" s="623">
        <f t="shared" ca="1" si="199"/>
        <v>0</v>
      </c>
      <c r="BB76" s="623">
        <f t="shared" ca="1" si="199"/>
        <v>0</v>
      </c>
      <c r="BC76" s="623">
        <f t="shared" ca="1" si="199"/>
        <v>0</v>
      </c>
      <c r="BD76" s="623">
        <f t="shared" ca="1" si="199"/>
        <v>0</v>
      </c>
      <c r="BE76" s="623">
        <f t="shared" ca="1" si="199"/>
        <v>0</v>
      </c>
      <c r="BF76" s="623">
        <f ca="1">SUM(AM76:BE76)</f>
        <v>0</v>
      </c>
      <c r="BH76" s="637">
        <f ca="1">BH75</f>
        <v>0</v>
      </c>
      <c r="BI76" s="637">
        <f ca="1">BI75</f>
        <v>0</v>
      </c>
      <c r="BJ76" s="637">
        <f ca="1">SUM(BH76:BI76)</f>
        <v>0</v>
      </c>
      <c r="BL76" s="497">
        <f t="shared" ca="1" si="192"/>
        <v>0</v>
      </c>
      <c r="BM76" s="497"/>
      <c r="BN76" s="555"/>
      <c r="BO76" s="945">
        <f t="shared" ref="BO76:DF76" ca="1" si="200">BO75</f>
        <v>0</v>
      </c>
      <c r="BP76" s="945">
        <f t="shared" ca="1" si="200"/>
        <v>0</v>
      </c>
      <c r="BQ76" s="945">
        <f t="shared" ca="1" si="200"/>
        <v>0</v>
      </c>
      <c r="BR76" s="945">
        <f t="shared" ca="1" si="200"/>
        <v>0</v>
      </c>
      <c r="BS76" s="945">
        <f t="shared" ca="1" si="200"/>
        <v>0</v>
      </c>
      <c r="BT76" s="945">
        <f t="shared" ca="1" si="200"/>
        <v>0</v>
      </c>
      <c r="BU76" s="945">
        <f t="shared" ca="1" si="200"/>
        <v>0</v>
      </c>
      <c r="BV76" s="945">
        <f t="shared" ca="1" si="200"/>
        <v>0</v>
      </c>
      <c r="BW76" s="945">
        <f t="shared" ca="1" si="200"/>
        <v>0</v>
      </c>
      <c r="BX76" s="945">
        <f t="shared" ca="1" si="200"/>
        <v>0</v>
      </c>
      <c r="BY76" s="945">
        <f t="shared" ca="1" si="200"/>
        <v>0</v>
      </c>
      <c r="BZ76" s="945">
        <f t="shared" ca="1" si="200"/>
        <v>0</v>
      </c>
      <c r="CA76" s="945">
        <f t="shared" ca="1" si="200"/>
        <v>0</v>
      </c>
      <c r="CB76" s="945">
        <f t="shared" ca="1" si="200"/>
        <v>0</v>
      </c>
      <c r="CC76" s="945">
        <f t="shared" ca="1" si="200"/>
        <v>0</v>
      </c>
      <c r="CD76" s="945">
        <f t="shared" ca="1" si="200"/>
        <v>0</v>
      </c>
      <c r="CE76" s="945">
        <f t="shared" ca="1" si="200"/>
        <v>0</v>
      </c>
      <c r="CF76" s="945">
        <f t="shared" ca="1" si="200"/>
        <v>0</v>
      </c>
      <c r="CG76" s="945">
        <f t="shared" ca="1" si="200"/>
        <v>0</v>
      </c>
      <c r="CH76" s="945">
        <f t="shared" ca="1" si="200"/>
        <v>0</v>
      </c>
      <c r="CI76" s="945">
        <f t="shared" ca="1" si="200"/>
        <v>0</v>
      </c>
      <c r="CJ76" s="945">
        <f t="shared" ca="1" si="200"/>
        <v>0</v>
      </c>
      <c r="CK76" s="945">
        <f t="shared" ca="1" si="200"/>
        <v>0</v>
      </c>
      <c r="CL76" s="945">
        <f t="shared" ca="1" si="200"/>
        <v>0</v>
      </c>
      <c r="CM76" s="945">
        <f t="shared" ca="1" si="200"/>
        <v>0</v>
      </c>
      <c r="CN76" s="945">
        <f t="shared" ca="1" si="200"/>
        <v>0</v>
      </c>
      <c r="CO76" s="945">
        <f t="shared" ca="1" si="200"/>
        <v>0</v>
      </c>
      <c r="CP76" s="945">
        <f t="shared" ca="1" si="200"/>
        <v>0</v>
      </c>
      <c r="CQ76" s="945">
        <f t="shared" ca="1" si="200"/>
        <v>0</v>
      </c>
      <c r="CR76" s="945">
        <f t="shared" ca="1" si="200"/>
        <v>0</v>
      </c>
      <c r="CS76" s="945">
        <f t="shared" ca="1" si="200"/>
        <v>0</v>
      </c>
      <c r="CT76" s="945">
        <f t="shared" ca="1" si="200"/>
        <v>0</v>
      </c>
      <c r="CU76" s="945">
        <f t="shared" ca="1" si="200"/>
        <v>0</v>
      </c>
      <c r="CV76" s="945">
        <f t="shared" ca="1" si="200"/>
        <v>0</v>
      </c>
      <c r="CW76" s="945">
        <f t="shared" ca="1" si="200"/>
        <v>0</v>
      </c>
      <c r="CX76" s="945">
        <f t="shared" ca="1" si="200"/>
        <v>0</v>
      </c>
      <c r="CY76" s="945">
        <f t="shared" ca="1" si="200"/>
        <v>0</v>
      </c>
      <c r="CZ76" s="945">
        <f t="shared" ca="1" si="200"/>
        <v>0</v>
      </c>
      <c r="DA76" s="945">
        <f t="shared" ca="1" si="200"/>
        <v>0</v>
      </c>
      <c r="DB76" s="945">
        <f t="shared" ca="1" si="200"/>
        <v>0</v>
      </c>
      <c r="DC76" s="945">
        <f t="shared" ca="1" si="200"/>
        <v>0</v>
      </c>
      <c r="DD76" s="945">
        <f t="shared" ca="1" si="200"/>
        <v>0</v>
      </c>
      <c r="DE76" s="945">
        <f t="shared" ca="1" si="200"/>
        <v>0</v>
      </c>
      <c r="DF76" s="945">
        <f t="shared" ca="1" si="200"/>
        <v>0</v>
      </c>
      <c r="DH76" s="553">
        <f t="shared" ca="1" si="125"/>
        <v>0</v>
      </c>
    </row>
    <row r="77" spans="1:112" s="522" customFormat="1" ht="12.75" customHeight="1" outlineLevel="1">
      <c r="A77" s="16"/>
      <c r="B77" s="16"/>
      <c r="C77" s="525"/>
      <c r="D77" s="495"/>
      <c r="E77" s="495"/>
      <c r="G77" s="605"/>
      <c r="H77" s="605"/>
      <c r="I77" s="605"/>
      <c r="J77" s="605"/>
      <c r="K77" s="607"/>
      <c r="L77" s="605"/>
      <c r="M77" s="605"/>
      <c r="N77" s="605"/>
      <c r="O77" s="605"/>
      <c r="P77" s="605"/>
      <c r="Q77" s="605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M77" s="623"/>
      <c r="AN77" s="623"/>
      <c r="AO77" s="623"/>
      <c r="AP77" s="623"/>
      <c r="AQ77" s="623"/>
      <c r="AR77" s="623"/>
      <c r="AS77" s="623"/>
      <c r="AT77" s="623"/>
      <c r="AU77" s="623"/>
      <c r="AV77" s="623"/>
      <c r="AW77" s="623"/>
      <c r="AX77" s="623"/>
      <c r="AY77" s="623"/>
      <c r="AZ77" s="623"/>
      <c r="BA77" s="623"/>
      <c r="BB77" s="623"/>
      <c r="BC77" s="623"/>
      <c r="BD77" s="623"/>
      <c r="BE77" s="623"/>
      <c r="BF77" s="623"/>
      <c r="BH77" s="637"/>
      <c r="BI77" s="637"/>
      <c r="BJ77" s="637"/>
      <c r="BL77" s="497">
        <f t="shared" si="192"/>
        <v>0</v>
      </c>
      <c r="BM77" s="497"/>
      <c r="BN77" s="16"/>
      <c r="BO77" s="945"/>
      <c r="BP77" s="945"/>
      <c r="BQ77" s="945"/>
      <c r="BR77" s="945"/>
      <c r="BS77" s="945"/>
      <c r="BT77" s="945"/>
      <c r="BU77" s="945"/>
      <c r="BV77" s="945"/>
      <c r="BW77" s="945"/>
      <c r="BX77" s="945"/>
      <c r="BY77" s="945"/>
      <c r="BZ77" s="945"/>
      <c r="CA77" s="945"/>
      <c r="CB77" s="945"/>
      <c r="CC77" s="945"/>
      <c r="CD77" s="945"/>
      <c r="CE77" s="945"/>
      <c r="CF77" s="945"/>
      <c r="CG77" s="945"/>
      <c r="CH77" s="945"/>
      <c r="CI77" s="945"/>
      <c r="CJ77" s="945"/>
      <c r="CK77" s="945"/>
      <c r="CL77" s="945"/>
      <c r="CM77" s="945"/>
      <c r="CN77" s="945"/>
      <c r="CO77" s="945"/>
      <c r="CP77" s="945"/>
      <c r="CQ77" s="945"/>
      <c r="CR77" s="945"/>
      <c r="CS77" s="945"/>
      <c r="CT77" s="945"/>
      <c r="CU77" s="945"/>
      <c r="CV77" s="945"/>
      <c r="CW77" s="945"/>
      <c r="CX77" s="945"/>
      <c r="CY77" s="945"/>
      <c r="CZ77" s="945"/>
      <c r="DA77" s="945"/>
      <c r="DB77" s="945"/>
      <c r="DC77" s="945"/>
      <c r="DD77" s="945"/>
      <c r="DE77" s="945"/>
      <c r="DF77" s="945"/>
      <c r="DH77" s="553">
        <f t="shared" si="125"/>
        <v>0</v>
      </c>
    </row>
    <row r="78" spans="1:112" s="951" customFormat="1" ht="12.75" customHeight="1" outlineLevel="1">
      <c r="C78" s="692" t="s">
        <v>1021</v>
      </c>
      <c r="D78" s="693" t="s">
        <v>963</v>
      </c>
      <c r="E78" s="693"/>
      <c r="F78" s="522"/>
      <c r="G78" s="694"/>
      <c r="H78" s="694"/>
      <c r="I78" s="694"/>
      <c r="J78" s="694"/>
      <c r="K78" s="695"/>
      <c r="L78" s="694"/>
      <c r="M78" s="694"/>
      <c r="N78" s="694"/>
      <c r="O78" s="694"/>
      <c r="P78" s="694"/>
      <c r="Q78" s="694"/>
      <c r="R78" s="522"/>
      <c r="S78" s="696">
        <f ca="1">S$74+S$76</f>
        <v>-31.008546529888466</v>
      </c>
      <c r="T78" s="696">
        <f ca="1">T$74+T$76</f>
        <v>0</v>
      </c>
      <c r="U78" s="696"/>
      <c r="V78" s="696"/>
      <c r="W78" s="696"/>
      <c r="X78" s="696"/>
      <c r="Y78" s="696"/>
      <c r="Z78" s="696"/>
      <c r="AA78" s="696"/>
      <c r="AB78" s="696"/>
      <c r="AC78" s="696"/>
      <c r="AD78" s="696"/>
      <c r="AE78" s="696"/>
      <c r="AF78" s="696"/>
      <c r="AG78" s="696"/>
      <c r="AH78" s="696"/>
      <c r="AI78" s="696"/>
      <c r="AJ78" s="696"/>
      <c r="AK78" s="696"/>
      <c r="AL78" s="522"/>
      <c r="AM78" s="697"/>
      <c r="AN78" s="697"/>
      <c r="AO78" s="697"/>
      <c r="AP78" s="697"/>
      <c r="AQ78" s="697"/>
      <c r="AR78" s="697"/>
      <c r="AS78" s="697"/>
      <c r="AT78" s="697"/>
      <c r="AU78" s="697"/>
      <c r="AV78" s="697"/>
      <c r="AW78" s="697"/>
      <c r="AX78" s="697"/>
      <c r="AY78" s="697"/>
      <c r="AZ78" s="697"/>
      <c r="BA78" s="697"/>
      <c r="BB78" s="697"/>
      <c r="BC78" s="697"/>
      <c r="BD78" s="697"/>
      <c r="BE78" s="697"/>
      <c r="BF78" s="697"/>
      <c r="BG78" s="522"/>
      <c r="BH78" s="698"/>
      <c r="BI78" s="698"/>
      <c r="BJ78" s="698"/>
      <c r="BK78" s="522"/>
      <c r="BL78" s="561">
        <f t="shared" si="192"/>
        <v>0</v>
      </c>
      <c r="BM78" s="561"/>
      <c r="BO78" s="953"/>
      <c r="BP78" s="953"/>
      <c r="BQ78" s="953"/>
      <c r="BR78" s="953"/>
      <c r="BS78" s="953"/>
      <c r="BT78" s="953"/>
      <c r="BU78" s="953"/>
      <c r="BV78" s="953"/>
      <c r="BW78" s="953"/>
      <c r="BX78" s="953"/>
      <c r="BY78" s="953"/>
      <c r="BZ78" s="953"/>
      <c r="CA78" s="953"/>
      <c r="CB78" s="953"/>
      <c r="CC78" s="953"/>
      <c r="CD78" s="953"/>
      <c r="CE78" s="953"/>
      <c r="CF78" s="953"/>
      <c r="CG78" s="953"/>
      <c r="CH78" s="953"/>
      <c r="CI78" s="953"/>
      <c r="CJ78" s="953"/>
      <c r="CK78" s="953"/>
      <c r="CL78" s="953"/>
      <c r="CM78" s="953"/>
      <c r="CN78" s="953"/>
      <c r="CO78" s="953"/>
      <c r="CP78" s="953"/>
      <c r="CQ78" s="953"/>
      <c r="CR78" s="953"/>
      <c r="CS78" s="953"/>
      <c r="CT78" s="953"/>
      <c r="CU78" s="953"/>
      <c r="CV78" s="953"/>
      <c r="CW78" s="953"/>
      <c r="CX78" s="953"/>
      <c r="CY78" s="953"/>
      <c r="CZ78" s="953"/>
      <c r="DA78" s="953"/>
      <c r="DB78" s="953"/>
      <c r="DC78" s="953"/>
      <c r="DD78" s="953"/>
      <c r="DE78" s="953"/>
      <c r="DF78" s="953"/>
      <c r="DH78" s="553">
        <f t="shared" si="125"/>
        <v>0</v>
      </c>
    </row>
    <row r="79" spans="1:112" s="947" customFormat="1" ht="12.75" customHeight="1" outlineLevel="1">
      <c r="C79" s="524" t="s">
        <v>695</v>
      </c>
      <c r="D79" s="503" t="str">
        <f>INDEX(Modules[Module], MATCH($C79, Modules[Code], 0))</f>
        <v>CCS Power</v>
      </c>
      <c r="E79" s="503"/>
      <c r="F79" s="522"/>
      <c r="G79" s="1098">
        <f t="shared" ref="G79:P79" ca="1" si="201">IFERROR(INDEX(INDIRECT($C79&amp;".Outputs["&amp;this.Year&amp;"]"), MATCH(G$5, INDIRECT($C79&amp;".Outputs[Vector]"), 0)), 0)</f>
        <v>0</v>
      </c>
      <c r="H79" s="1098">
        <f t="shared" ca="1" si="201"/>
        <v>0</v>
      </c>
      <c r="I79" s="1098">
        <f t="shared" ca="1" si="201"/>
        <v>0</v>
      </c>
      <c r="J79" s="1098">
        <f t="shared" ca="1" si="201"/>
        <v>0</v>
      </c>
      <c r="K79" s="1098">
        <f t="shared" ca="1" si="201"/>
        <v>0</v>
      </c>
      <c r="L79" s="1098">
        <f t="shared" ca="1" si="201"/>
        <v>0</v>
      </c>
      <c r="M79" s="1098">
        <f t="shared" ca="1" si="201"/>
        <v>0</v>
      </c>
      <c r="N79" s="1098">
        <f t="shared" ca="1" si="201"/>
        <v>0</v>
      </c>
      <c r="O79" s="1098">
        <f t="shared" ca="1" si="201"/>
        <v>0</v>
      </c>
      <c r="P79" s="1098">
        <f t="shared" ca="1" si="201"/>
        <v>0</v>
      </c>
      <c r="Q79" s="1099">
        <f ca="1">SUM(G79:P79)</f>
        <v>0</v>
      </c>
      <c r="R79" s="522"/>
      <c r="S79" s="1100">
        <f t="shared" ref="S79:BE79" ca="1" si="202">IFERROR(INDEX(INDIRECT($C79&amp;".Outputs["&amp;this.Year&amp;"]"), MATCH(S$5, INDIRECT($C79&amp;".Outputs[Vector]"), 0)), 0)</f>
        <v>0</v>
      </c>
      <c r="T79" s="1100">
        <f t="shared" ca="1" si="202"/>
        <v>0</v>
      </c>
      <c r="U79" s="1100">
        <f t="shared" ca="1" si="202"/>
        <v>0</v>
      </c>
      <c r="V79" s="1100">
        <f t="shared" ca="1" si="202"/>
        <v>0</v>
      </c>
      <c r="W79" s="1100">
        <f t="shared" ca="1" si="202"/>
        <v>0</v>
      </c>
      <c r="X79" s="1100">
        <f ca="1">IFERROR(INDEX(INDIRECT($C79&amp;".Outputs["&amp;this.Year&amp;"]"), MATCH(X$5, INDIRECT($C79&amp;".Outputs[Vector]"), 0)), 0)</f>
        <v>0</v>
      </c>
      <c r="Y79" s="1100">
        <f ca="1">IFERROR(INDEX(INDIRECT($C79&amp;".Outputs["&amp;this.Year&amp;"]"), MATCH(Y$5, INDIRECT($C79&amp;".Outputs[Vector]"), 0)), 0)</f>
        <v>0</v>
      </c>
      <c r="Z79" s="1100">
        <f ca="1">IFERROR(INDEX(INDIRECT($C79&amp;".Outputs["&amp;this.Year&amp;"]"), MATCH(Z$5, INDIRECT($C79&amp;".Outputs[Vector]"), 0)), 0)</f>
        <v>0</v>
      </c>
      <c r="AA79" s="1100">
        <f t="shared" ca="1" si="202"/>
        <v>0</v>
      </c>
      <c r="AB79" s="1100">
        <f t="shared" ca="1" si="202"/>
        <v>0</v>
      </c>
      <c r="AC79" s="1100">
        <f t="shared" ca="1" si="202"/>
        <v>0</v>
      </c>
      <c r="AD79" s="1100">
        <f t="shared" ca="1" si="202"/>
        <v>0</v>
      </c>
      <c r="AE79" s="1100">
        <f t="shared" ca="1" si="202"/>
        <v>0</v>
      </c>
      <c r="AF79" s="1100">
        <f t="shared" ca="1" si="202"/>
        <v>0</v>
      </c>
      <c r="AG79" s="1100">
        <f t="shared" ca="1" si="202"/>
        <v>0</v>
      </c>
      <c r="AH79" s="1100">
        <f t="shared" ca="1" si="202"/>
        <v>0</v>
      </c>
      <c r="AI79" s="1100">
        <f t="shared" ca="1" si="202"/>
        <v>0</v>
      </c>
      <c r="AJ79" s="1100">
        <f t="shared" ca="1" si="202"/>
        <v>0</v>
      </c>
      <c r="AK79" s="1101">
        <f ca="1">SUM(S79:AJ79)</f>
        <v>0</v>
      </c>
      <c r="AL79" s="522"/>
      <c r="AM79" s="1102">
        <f t="shared" ref="AM79:AU79" ca="1" si="203">IFERROR(INDEX(INDIRECT($C79&amp;".Outputs["&amp;this.Year&amp;"]"), MATCH(AM$5, INDIRECT($C79&amp;".Outputs[Vector]"), 0)), 0)</f>
        <v>0</v>
      </c>
      <c r="AN79" s="1102">
        <f t="shared" ca="1" si="203"/>
        <v>0</v>
      </c>
      <c r="AO79" s="1102">
        <f t="shared" ca="1" si="203"/>
        <v>0</v>
      </c>
      <c r="AP79" s="1102">
        <f t="shared" ca="1" si="203"/>
        <v>0</v>
      </c>
      <c r="AQ79" s="1102">
        <f t="shared" ca="1" si="203"/>
        <v>0</v>
      </c>
      <c r="AR79" s="1102">
        <f t="shared" ca="1" si="203"/>
        <v>0</v>
      </c>
      <c r="AS79" s="1102">
        <f t="shared" ca="1" si="203"/>
        <v>0</v>
      </c>
      <c r="AT79" s="1102">
        <f t="shared" ca="1" si="203"/>
        <v>0</v>
      </c>
      <c r="AU79" s="1102">
        <f t="shared" ca="1" si="203"/>
        <v>0</v>
      </c>
      <c r="AV79" s="1102">
        <f t="shared" ca="1" si="202"/>
        <v>0</v>
      </c>
      <c r="AW79" s="1102">
        <f t="shared" ca="1" si="202"/>
        <v>0</v>
      </c>
      <c r="AX79" s="1102">
        <f t="shared" ca="1" si="202"/>
        <v>0</v>
      </c>
      <c r="AY79" s="1102">
        <f t="shared" ca="1" si="202"/>
        <v>0</v>
      </c>
      <c r="AZ79" s="1102">
        <f t="shared" ca="1" si="202"/>
        <v>0</v>
      </c>
      <c r="BA79" s="1102">
        <f t="shared" ca="1" si="202"/>
        <v>0</v>
      </c>
      <c r="BB79" s="1102">
        <f t="shared" ca="1" si="202"/>
        <v>0</v>
      </c>
      <c r="BC79" s="1102">
        <f t="shared" ca="1" si="202"/>
        <v>0</v>
      </c>
      <c r="BD79" s="1102">
        <f t="shared" ca="1" si="202"/>
        <v>0</v>
      </c>
      <c r="BE79" s="1102">
        <f t="shared" ca="1" si="202"/>
        <v>0</v>
      </c>
      <c r="BF79" s="1103">
        <f ca="1">SUM(AM79:BE79)</f>
        <v>0</v>
      </c>
      <c r="BG79" s="522"/>
      <c r="BH79" s="1104">
        <f ca="1">IFERROR(INDEX(INDIRECT($C79&amp;".Outputs["&amp;this.Year&amp;"]"), MATCH(BH$5, INDIRECT($C79&amp;".Outputs[Vector]"), 0)), 0)</f>
        <v>0</v>
      </c>
      <c r="BI79" s="1104">
        <f ca="1">IFERROR(INDEX(INDIRECT($C79&amp;".Outputs["&amp;this.Year&amp;"]"), MATCH(BI$5, INDIRECT($C79&amp;".Outputs[Vector]"), 0)), 0)</f>
        <v>0</v>
      </c>
      <c r="BJ79" s="1105">
        <f ca="1">SUM(BH79:BI79)</f>
        <v>0</v>
      </c>
      <c r="BK79" s="522"/>
      <c r="BL79" s="547">
        <f t="shared" ca="1" si="192"/>
        <v>0</v>
      </c>
      <c r="BM79" s="547"/>
      <c r="BN79" s="555"/>
      <c r="BO79" s="944">
        <f t="shared" ref="BO79:DF79" ca="1" si="204">IFERROR(SUMIFS(INDIRECT($C79&amp;".Emissions["&amp;this.Year&amp;"]"), INDIRECT($C79&amp;".Emissions[GHG]"), BO$6, INDIRECT($C79&amp;".Emissions[IPCC Sector]"), BO$5),0)</f>
        <v>0</v>
      </c>
      <c r="BP79" s="945">
        <f t="shared" ca="1" si="204"/>
        <v>0</v>
      </c>
      <c r="BQ79" s="945">
        <f t="shared" ca="1" si="204"/>
        <v>0</v>
      </c>
      <c r="BR79" s="945">
        <f t="shared" ca="1" si="204"/>
        <v>0</v>
      </c>
      <c r="BS79" s="945">
        <f t="shared" ca="1" si="204"/>
        <v>0</v>
      </c>
      <c r="BT79" s="945">
        <f t="shared" ca="1" si="204"/>
        <v>0</v>
      </c>
      <c r="BU79" s="945">
        <f t="shared" ca="1" si="204"/>
        <v>0</v>
      </c>
      <c r="BV79" s="945">
        <f t="shared" ca="1" si="204"/>
        <v>0</v>
      </c>
      <c r="BW79" s="945">
        <f t="shared" ca="1" si="204"/>
        <v>0</v>
      </c>
      <c r="BX79" s="945">
        <f t="shared" ca="1" si="204"/>
        <v>0</v>
      </c>
      <c r="BY79" s="945">
        <f t="shared" ca="1" si="204"/>
        <v>0</v>
      </c>
      <c r="BZ79" s="945">
        <f t="shared" ca="1" si="204"/>
        <v>0</v>
      </c>
      <c r="CA79" s="945">
        <f t="shared" ca="1" si="204"/>
        <v>0</v>
      </c>
      <c r="CB79" s="945">
        <f t="shared" ca="1" si="204"/>
        <v>0</v>
      </c>
      <c r="CC79" s="945">
        <f t="shared" ca="1" si="204"/>
        <v>0</v>
      </c>
      <c r="CD79" s="945">
        <f t="shared" ca="1" si="204"/>
        <v>0</v>
      </c>
      <c r="CE79" s="945">
        <f t="shared" ca="1" si="204"/>
        <v>0</v>
      </c>
      <c r="CF79" s="945">
        <f t="shared" ca="1" si="204"/>
        <v>0</v>
      </c>
      <c r="CG79" s="945">
        <f t="shared" ca="1" si="204"/>
        <v>0</v>
      </c>
      <c r="CH79" s="945">
        <f t="shared" ca="1" si="204"/>
        <v>0</v>
      </c>
      <c r="CI79" s="945">
        <f t="shared" ca="1" si="204"/>
        <v>0</v>
      </c>
      <c r="CJ79" s="945">
        <f t="shared" ca="1" si="204"/>
        <v>0</v>
      </c>
      <c r="CK79" s="945">
        <f t="shared" ca="1" si="204"/>
        <v>0</v>
      </c>
      <c r="CL79" s="945">
        <f t="shared" ca="1" si="204"/>
        <v>0</v>
      </c>
      <c r="CM79" s="945">
        <f t="shared" ca="1" si="204"/>
        <v>0</v>
      </c>
      <c r="CN79" s="945">
        <f t="shared" ca="1" si="204"/>
        <v>0</v>
      </c>
      <c r="CO79" s="945">
        <f t="shared" ca="1" si="204"/>
        <v>0</v>
      </c>
      <c r="CP79" s="945">
        <f t="shared" ca="1" si="204"/>
        <v>0</v>
      </c>
      <c r="CQ79" s="945">
        <f t="shared" ca="1" si="204"/>
        <v>0</v>
      </c>
      <c r="CR79" s="945">
        <f t="shared" ca="1" si="204"/>
        <v>0</v>
      </c>
      <c r="CS79" s="945">
        <f t="shared" ca="1" si="204"/>
        <v>0</v>
      </c>
      <c r="CT79" s="945">
        <f t="shared" ca="1" si="204"/>
        <v>0</v>
      </c>
      <c r="CU79" s="945">
        <f t="shared" ca="1" si="204"/>
        <v>0</v>
      </c>
      <c r="CV79" s="945">
        <f t="shared" ca="1" si="204"/>
        <v>0</v>
      </c>
      <c r="CW79" s="945">
        <f t="shared" ca="1" si="204"/>
        <v>0</v>
      </c>
      <c r="CX79" s="945">
        <f t="shared" ca="1" si="204"/>
        <v>0</v>
      </c>
      <c r="CY79" s="945">
        <f t="shared" ca="1" si="204"/>
        <v>0</v>
      </c>
      <c r="CZ79" s="945">
        <f t="shared" ca="1" si="204"/>
        <v>0</v>
      </c>
      <c r="DA79" s="945">
        <f t="shared" ca="1" si="204"/>
        <v>0</v>
      </c>
      <c r="DB79" s="945">
        <f t="shared" ca="1" si="204"/>
        <v>0</v>
      </c>
      <c r="DC79" s="945">
        <f t="shared" ca="1" si="204"/>
        <v>0</v>
      </c>
      <c r="DD79" s="945">
        <f t="shared" ca="1" si="204"/>
        <v>0</v>
      </c>
      <c r="DE79" s="945">
        <f t="shared" ca="1" si="204"/>
        <v>0</v>
      </c>
      <c r="DF79" s="945">
        <f t="shared" ca="1" si="204"/>
        <v>0</v>
      </c>
      <c r="DH79" s="553">
        <f t="shared" ca="1" si="125"/>
        <v>0</v>
      </c>
    </row>
    <row r="80" spans="1:112" s="954" customFormat="1" ht="12.75" customHeight="1" outlineLevel="1">
      <c r="C80" s="963" t="s">
        <v>1022</v>
      </c>
      <c r="D80" s="693" t="s">
        <v>963</v>
      </c>
      <c r="E80" s="964"/>
      <c r="F80" s="1044"/>
      <c r="G80" s="708"/>
      <c r="H80" s="708"/>
      <c r="I80" s="708"/>
      <c r="J80" s="708"/>
      <c r="K80" s="709"/>
      <c r="L80" s="708"/>
      <c r="M80" s="708"/>
      <c r="N80" s="708"/>
      <c r="O80" s="708"/>
      <c r="P80" s="708"/>
      <c r="Q80" s="708"/>
      <c r="R80" s="1044"/>
      <c r="S80" s="710">
        <f ca="1">S78+S79</f>
        <v>-31.008546529888466</v>
      </c>
      <c r="T80" s="710">
        <f ca="1">T78+T79</f>
        <v>0</v>
      </c>
      <c r="U80" s="710"/>
      <c r="V80" s="710"/>
      <c r="W80" s="710"/>
      <c r="X80" s="710"/>
      <c r="Y80" s="710"/>
      <c r="Z80" s="710"/>
      <c r="AA80" s="710"/>
      <c r="AB80" s="710"/>
      <c r="AC80" s="710"/>
      <c r="AD80" s="710"/>
      <c r="AE80" s="710"/>
      <c r="AF80" s="710"/>
      <c r="AG80" s="710"/>
      <c r="AH80" s="710"/>
      <c r="AI80" s="710"/>
      <c r="AJ80" s="710"/>
      <c r="AK80" s="710"/>
      <c r="AL80" s="1044"/>
      <c r="AM80" s="711"/>
      <c r="AN80" s="711"/>
      <c r="AO80" s="711"/>
      <c r="AP80" s="711"/>
      <c r="AQ80" s="711"/>
      <c r="AR80" s="711"/>
      <c r="AS80" s="711"/>
      <c r="AT80" s="711"/>
      <c r="AU80" s="711"/>
      <c r="AV80" s="711"/>
      <c r="AW80" s="711"/>
      <c r="AX80" s="711"/>
      <c r="AY80" s="711"/>
      <c r="AZ80" s="711"/>
      <c r="BA80" s="711"/>
      <c r="BB80" s="711"/>
      <c r="BC80" s="711"/>
      <c r="BD80" s="711"/>
      <c r="BE80" s="711"/>
      <c r="BF80" s="711"/>
      <c r="BG80" s="1044"/>
      <c r="BH80" s="712"/>
      <c r="BI80" s="712"/>
      <c r="BJ80" s="712"/>
      <c r="BK80" s="1044"/>
      <c r="BL80" s="965">
        <f t="shared" si="192"/>
        <v>0</v>
      </c>
      <c r="BM80" s="965"/>
      <c r="BO80" s="1050"/>
      <c r="BP80" s="1050"/>
      <c r="BQ80" s="1050"/>
      <c r="BR80" s="1050"/>
      <c r="BS80" s="1050"/>
      <c r="BT80" s="1050"/>
      <c r="BU80" s="1050"/>
      <c r="BV80" s="1050"/>
      <c r="BW80" s="1050"/>
      <c r="BX80" s="1050"/>
      <c r="BY80" s="1050"/>
      <c r="BZ80" s="1050"/>
      <c r="CA80" s="1050"/>
      <c r="CB80" s="1050"/>
      <c r="CC80" s="1050"/>
      <c r="CD80" s="1050"/>
      <c r="CE80" s="1050"/>
      <c r="CF80" s="1050"/>
      <c r="CG80" s="1050"/>
      <c r="CH80" s="1050"/>
      <c r="CI80" s="1050"/>
      <c r="CJ80" s="1050"/>
      <c r="CK80" s="1050"/>
      <c r="CL80" s="1050"/>
      <c r="CM80" s="1050"/>
      <c r="CN80" s="1050"/>
      <c r="CO80" s="1050"/>
      <c r="CP80" s="1050"/>
      <c r="CQ80" s="1050"/>
      <c r="CR80" s="1050"/>
      <c r="CS80" s="1050"/>
      <c r="CT80" s="1050"/>
      <c r="CU80" s="1050"/>
      <c r="CV80" s="1050"/>
      <c r="CW80" s="1050"/>
      <c r="CX80" s="1050"/>
      <c r="CY80" s="1050"/>
      <c r="CZ80" s="1050"/>
      <c r="DA80" s="1050"/>
      <c r="DB80" s="1050"/>
      <c r="DC80" s="1050"/>
      <c r="DD80" s="1050"/>
      <c r="DE80" s="1050"/>
      <c r="DF80" s="1050"/>
      <c r="DH80" s="1049">
        <f t="shared" si="125"/>
        <v>0</v>
      </c>
    </row>
    <row r="81" spans="1:112" s="947" customFormat="1" ht="12.75" customHeight="1" outlineLevel="1">
      <c r="C81" s="524" t="s">
        <v>619</v>
      </c>
      <c r="D81" s="503" t="str">
        <f>INDEX(Modules[Module], MATCH($C81, Modules[Code], 0))</f>
        <v>Biomass/Coal power stations</v>
      </c>
      <c r="E81" s="503"/>
      <c r="F81" s="522"/>
      <c r="G81" s="668">
        <f t="shared" ref="G81:P81" ca="1" si="205">IFERROR(INDEX(INDIRECT($C81&amp;".Outputs["&amp;this.Year&amp;"]"), MATCH(G$5, INDIRECT($C81&amp;".Outputs[Vector]"), 0)), 0)</f>
        <v>0</v>
      </c>
      <c r="H81" s="668">
        <f t="shared" ca="1" si="205"/>
        <v>0</v>
      </c>
      <c r="I81" s="668">
        <f t="shared" ca="1" si="205"/>
        <v>0</v>
      </c>
      <c r="J81" s="668">
        <f t="shared" ca="1" si="205"/>
        <v>0</v>
      </c>
      <c r="K81" s="668">
        <f t="shared" ca="1" si="205"/>
        <v>0</v>
      </c>
      <c r="L81" s="668">
        <f t="shared" ca="1" si="205"/>
        <v>0</v>
      </c>
      <c r="M81" s="668">
        <f t="shared" ca="1" si="205"/>
        <v>0</v>
      </c>
      <c r="N81" s="668">
        <f t="shared" ca="1" si="205"/>
        <v>0</v>
      </c>
      <c r="O81" s="668">
        <f t="shared" ca="1" si="205"/>
        <v>0</v>
      </c>
      <c r="P81" s="668">
        <f t="shared" ca="1" si="205"/>
        <v>0</v>
      </c>
      <c r="Q81" s="666">
        <f ca="1">SUM(G81:P81)</f>
        <v>0</v>
      </c>
      <c r="R81" s="522"/>
      <c r="S81" s="677">
        <f t="shared" ref="S81:BE81" ca="1" si="206">IFERROR(INDEX(INDIRECT($C81&amp;".Outputs["&amp;this.Year&amp;"]"), MATCH(S$5, INDIRECT($C81&amp;".Outputs[Vector]"), 0)), 0)</f>
        <v>0</v>
      </c>
      <c r="T81" s="677">
        <f t="shared" ca="1" si="206"/>
        <v>0</v>
      </c>
      <c r="U81" s="677">
        <f t="shared" ca="1" si="206"/>
        <v>0</v>
      </c>
      <c r="V81" s="677">
        <f t="shared" ca="1" si="206"/>
        <v>0</v>
      </c>
      <c r="W81" s="677">
        <f t="shared" ca="1" si="206"/>
        <v>0</v>
      </c>
      <c r="X81" s="677">
        <f ca="1">IFERROR(INDEX(INDIRECT($C81&amp;".Outputs["&amp;this.Year&amp;"]"), MATCH(X$5, INDIRECT($C81&amp;".Outputs[Vector]"), 0)), 0)</f>
        <v>0</v>
      </c>
      <c r="Y81" s="677">
        <f ca="1">IFERROR(INDEX(INDIRECT($C81&amp;".Outputs["&amp;this.Year&amp;"]"), MATCH(Y$5, INDIRECT($C81&amp;".Outputs[Vector]"), 0)), 0)</f>
        <v>0</v>
      </c>
      <c r="Z81" s="677">
        <f ca="1">IFERROR(INDEX(INDIRECT($C81&amp;".Outputs["&amp;this.Year&amp;"]"), MATCH(Z$5, INDIRECT($C81&amp;".Outputs[Vector]"), 0)), 0)</f>
        <v>0</v>
      </c>
      <c r="AA81" s="677">
        <f t="shared" ca="1" si="206"/>
        <v>0</v>
      </c>
      <c r="AB81" s="677">
        <f t="shared" ca="1" si="206"/>
        <v>0</v>
      </c>
      <c r="AC81" s="677">
        <f t="shared" ca="1" si="206"/>
        <v>0</v>
      </c>
      <c r="AD81" s="677">
        <f t="shared" ca="1" si="206"/>
        <v>0</v>
      </c>
      <c r="AE81" s="677">
        <f t="shared" ca="1" si="206"/>
        <v>0</v>
      </c>
      <c r="AF81" s="677">
        <f t="shared" ca="1" si="206"/>
        <v>0</v>
      </c>
      <c r="AG81" s="677">
        <f t="shared" ca="1" si="206"/>
        <v>0</v>
      </c>
      <c r="AH81" s="677">
        <f t="shared" ca="1" si="206"/>
        <v>0</v>
      </c>
      <c r="AI81" s="677">
        <f t="shared" ca="1" si="206"/>
        <v>0</v>
      </c>
      <c r="AJ81" s="677">
        <f t="shared" ca="1" si="206"/>
        <v>0</v>
      </c>
      <c r="AK81" s="676">
        <f ca="1">SUM(S81:AJ81)</f>
        <v>0</v>
      </c>
      <c r="AL81" s="522"/>
      <c r="AM81" s="688">
        <f t="shared" ref="AM81:AU81" ca="1" si="207">IFERROR(INDEX(INDIRECT($C81&amp;".Outputs["&amp;this.Year&amp;"]"), MATCH(AM$5, INDIRECT($C81&amp;".Outputs[Vector]"), 0)), 0)</f>
        <v>0</v>
      </c>
      <c r="AN81" s="688">
        <f t="shared" ca="1" si="207"/>
        <v>0</v>
      </c>
      <c r="AO81" s="688">
        <f t="shared" ca="1" si="207"/>
        <v>0</v>
      </c>
      <c r="AP81" s="688">
        <f t="shared" ca="1" si="207"/>
        <v>0</v>
      </c>
      <c r="AQ81" s="688">
        <f t="shared" ca="1" si="207"/>
        <v>0</v>
      </c>
      <c r="AR81" s="688">
        <f t="shared" ca="1" si="207"/>
        <v>0</v>
      </c>
      <c r="AS81" s="688">
        <f t="shared" ca="1" si="207"/>
        <v>0</v>
      </c>
      <c r="AT81" s="688">
        <f t="shared" ca="1" si="207"/>
        <v>0</v>
      </c>
      <c r="AU81" s="688">
        <f t="shared" ca="1" si="207"/>
        <v>0</v>
      </c>
      <c r="AV81" s="688">
        <f t="shared" ca="1" si="206"/>
        <v>0</v>
      </c>
      <c r="AW81" s="688">
        <f t="shared" ca="1" si="206"/>
        <v>0</v>
      </c>
      <c r="AX81" s="688">
        <f t="shared" ca="1" si="206"/>
        <v>0</v>
      </c>
      <c r="AY81" s="688">
        <f t="shared" ca="1" si="206"/>
        <v>0</v>
      </c>
      <c r="AZ81" s="688">
        <f t="shared" ca="1" si="206"/>
        <v>0</v>
      </c>
      <c r="BA81" s="688">
        <f t="shared" ca="1" si="206"/>
        <v>0</v>
      </c>
      <c r="BB81" s="688">
        <f t="shared" ca="1" si="206"/>
        <v>0</v>
      </c>
      <c r="BC81" s="688">
        <f t="shared" ca="1" si="206"/>
        <v>0</v>
      </c>
      <c r="BD81" s="688">
        <f t="shared" ca="1" si="206"/>
        <v>0</v>
      </c>
      <c r="BE81" s="688">
        <f t="shared" ca="1" si="206"/>
        <v>0</v>
      </c>
      <c r="BF81" s="658">
        <f ca="1">SUM(AM81:BE81)</f>
        <v>0</v>
      </c>
      <c r="BG81" s="522"/>
      <c r="BH81" s="682">
        <f ca="1">IFERROR(INDEX(INDIRECT($C81&amp;".Outputs["&amp;this.Year&amp;"]"), MATCH(BH$5, INDIRECT($C81&amp;".Outputs[Vector]"), 0)), 0)</f>
        <v>0</v>
      </c>
      <c r="BI81" s="682">
        <f ca="1">IFERROR(INDEX(INDIRECT($C81&amp;".Outputs["&amp;this.Year&amp;"]"), MATCH(BI$5, INDIRECT($C81&amp;".Outputs[Vector]"), 0)), 0)</f>
        <v>0</v>
      </c>
      <c r="BJ81" s="681">
        <f ca="1">SUM(BH81:BI81)</f>
        <v>0</v>
      </c>
      <c r="BK81" s="522"/>
      <c r="BL81" s="547">
        <f t="shared" ref="BL81:BL87" ca="1" si="208">Q81+AK81+BF81+BJ81</f>
        <v>0</v>
      </c>
      <c r="BM81" s="547"/>
      <c r="BN81" s="555"/>
      <c r="BO81" s="948">
        <f t="shared" ref="BO81:DF81" ca="1" si="209">IFERROR(SUMIFS(INDIRECT($C81&amp;".Emissions["&amp;this.Year&amp;"]"), INDIRECT($C81&amp;".Emissions[GHG]"), BO$6, INDIRECT($C81&amp;".Emissions[IPCC Sector]"), BO$5),0)</f>
        <v>0</v>
      </c>
      <c r="BP81" s="949">
        <f t="shared" ca="1" si="209"/>
        <v>0</v>
      </c>
      <c r="BQ81" s="949">
        <f t="shared" ca="1" si="209"/>
        <v>0</v>
      </c>
      <c r="BR81" s="949">
        <f t="shared" ca="1" si="209"/>
        <v>0</v>
      </c>
      <c r="BS81" s="949">
        <f t="shared" ca="1" si="209"/>
        <v>0</v>
      </c>
      <c r="BT81" s="949">
        <f t="shared" ca="1" si="209"/>
        <v>0</v>
      </c>
      <c r="BU81" s="949">
        <f t="shared" ca="1" si="209"/>
        <v>0</v>
      </c>
      <c r="BV81" s="949">
        <f t="shared" ca="1" si="209"/>
        <v>0</v>
      </c>
      <c r="BW81" s="949">
        <f t="shared" ca="1" si="209"/>
        <v>0</v>
      </c>
      <c r="BX81" s="949">
        <f t="shared" ca="1" si="209"/>
        <v>0</v>
      </c>
      <c r="BY81" s="949">
        <f t="shared" ca="1" si="209"/>
        <v>0</v>
      </c>
      <c r="BZ81" s="949">
        <f t="shared" ca="1" si="209"/>
        <v>0</v>
      </c>
      <c r="CA81" s="949">
        <f t="shared" ca="1" si="209"/>
        <v>0</v>
      </c>
      <c r="CB81" s="949">
        <f t="shared" ca="1" si="209"/>
        <v>0</v>
      </c>
      <c r="CC81" s="949">
        <f t="shared" ca="1" si="209"/>
        <v>0</v>
      </c>
      <c r="CD81" s="949">
        <f t="shared" ca="1" si="209"/>
        <v>0</v>
      </c>
      <c r="CE81" s="949">
        <f t="shared" ca="1" si="209"/>
        <v>0</v>
      </c>
      <c r="CF81" s="949">
        <f t="shared" ca="1" si="209"/>
        <v>0</v>
      </c>
      <c r="CG81" s="949">
        <f t="shared" ca="1" si="209"/>
        <v>0</v>
      </c>
      <c r="CH81" s="949">
        <f t="shared" ca="1" si="209"/>
        <v>0</v>
      </c>
      <c r="CI81" s="949">
        <f t="shared" ca="1" si="209"/>
        <v>0</v>
      </c>
      <c r="CJ81" s="949">
        <f t="shared" ca="1" si="209"/>
        <v>0</v>
      </c>
      <c r="CK81" s="949">
        <f t="shared" ca="1" si="209"/>
        <v>0</v>
      </c>
      <c r="CL81" s="949">
        <f t="shared" ca="1" si="209"/>
        <v>0</v>
      </c>
      <c r="CM81" s="949">
        <f t="shared" ca="1" si="209"/>
        <v>0</v>
      </c>
      <c r="CN81" s="949">
        <f t="shared" ca="1" si="209"/>
        <v>0</v>
      </c>
      <c r="CO81" s="949">
        <f t="shared" ca="1" si="209"/>
        <v>0</v>
      </c>
      <c r="CP81" s="949">
        <f t="shared" ca="1" si="209"/>
        <v>0</v>
      </c>
      <c r="CQ81" s="949">
        <f t="shared" ca="1" si="209"/>
        <v>0</v>
      </c>
      <c r="CR81" s="949">
        <f t="shared" ca="1" si="209"/>
        <v>0</v>
      </c>
      <c r="CS81" s="949">
        <f t="shared" ca="1" si="209"/>
        <v>0</v>
      </c>
      <c r="CT81" s="949">
        <f t="shared" ca="1" si="209"/>
        <v>0</v>
      </c>
      <c r="CU81" s="949">
        <f t="shared" ca="1" si="209"/>
        <v>0</v>
      </c>
      <c r="CV81" s="949">
        <f t="shared" ca="1" si="209"/>
        <v>0</v>
      </c>
      <c r="CW81" s="949">
        <f t="shared" ca="1" si="209"/>
        <v>0</v>
      </c>
      <c r="CX81" s="949">
        <f t="shared" ca="1" si="209"/>
        <v>0</v>
      </c>
      <c r="CY81" s="949">
        <f t="shared" ca="1" si="209"/>
        <v>0</v>
      </c>
      <c r="CZ81" s="949">
        <f t="shared" ca="1" si="209"/>
        <v>0</v>
      </c>
      <c r="DA81" s="949">
        <f t="shared" ca="1" si="209"/>
        <v>0</v>
      </c>
      <c r="DB81" s="949">
        <f t="shared" ca="1" si="209"/>
        <v>0</v>
      </c>
      <c r="DC81" s="949">
        <f t="shared" ca="1" si="209"/>
        <v>0</v>
      </c>
      <c r="DD81" s="949">
        <f t="shared" ca="1" si="209"/>
        <v>0</v>
      </c>
      <c r="DE81" s="949">
        <f t="shared" ca="1" si="209"/>
        <v>0</v>
      </c>
      <c r="DF81" s="949">
        <f t="shared" ca="1" si="209"/>
        <v>0</v>
      </c>
      <c r="DH81" s="553">
        <f t="shared" ca="1" si="125"/>
        <v>0</v>
      </c>
    </row>
    <row r="82" spans="1:112" s="522" customFormat="1" ht="15">
      <c r="A82" s="16"/>
      <c r="B82" s="527"/>
      <c r="C82" s="523" t="s">
        <v>68</v>
      </c>
      <c r="D82" s="499" t="str">
        <f>INDEX(Workstreams[Workstream], MATCH($C82, Workstreams[Code], 0))</f>
        <v>Hydrocarbon fuel power generation</v>
      </c>
      <c r="E82" s="495"/>
      <c r="G82" s="667">
        <f t="shared" ref="G82:P82" ca="1" si="210">G79+G81</f>
        <v>0</v>
      </c>
      <c r="H82" s="667">
        <f t="shared" ca="1" si="210"/>
        <v>0</v>
      </c>
      <c r="I82" s="667">
        <f t="shared" ca="1" si="210"/>
        <v>0</v>
      </c>
      <c r="J82" s="667">
        <f t="shared" ca="1" si="210"/>
        <v>0</v>
      </c>
      <c r="K82" s="667">
        <f t="shared" ca="1" si="210"/>
        <v>0</v>
      </c>
      <c r="L82" s="667">
        <f t="shared" ca="1" si="210"/>
        <v>0</v>
      </c>
      <c r="M82" s="667">
        <f t="shared" ca="1" si="210"/>
        <v>0</v>
      </c>
      <c r="N82" s="667">
        <f t="shared" ca="1" si="210"/>
        <v>0</v>
      </c>
      <c r="O82" s="667">
        <f t="shared" ca="1" si="210"/>
        <v>0</v>
      </c>
      <c r="P82" s="667">
        <f t="shared" ca="1" si="210"/>
        <v>0</v>
      </c>
      <c r="Q82" s="667">
        <f ca="1">SUM(G82:P82)</f>
        <v>0</v>
      </c>
      <c r="S82" s="617">
        <f t="shared" ref="S82:AJ82" ca="1" si="211">S79+S81</f>
        <v>0</v>
      </c>
      <c r="T82" s="617">
        <f t="shared" ca="1" si="211"/>
        <v>0</v>
      </c>
      <c r="U82" s="617">
        <f t="shared" ca="1" si="211"/>
        <v>0</v>
      </c>
      <c r="V82" s="617">
        <f t="shared" ca="1" si="211"/>
        <v>0</v>
      </c>
      <c r="W82" s="617">
        <f t="shared" ca="1" si="211"/>
        <v>0</v>
      </c>
      <c r="X82" s="617">
        <f t="shared" ca="1" si="211"/>
        <v>0</v>
      </c>
      <c r="Y82" s="617">
        <f t="shared" ca="1" si="211"/>
        <v>0</v>
      </c>
      <c r="Z82" s="617">
        <f t="shared" ca="1" si="211"/>
        <v>0</v>
      </c>
      <c r="AA82" s="617">
        <f t="shared" ca="1" si="211"/>
        <v>0</v>
      </c>
      <c r="AB82" s="617">
        <f t="shared" ca="1" si="211"/>
        <v>0</v>
      </c>
      <c r="AC82" s="617">
        <f t="shared" ca="1" si="211"/>
        <v>0</v>
      </c>
      <c r="AD82" s="617">
        <f ca="1">AD79+AD81</f>
        <v>0</v>
      </c>
      <c r="AE82" s="617">
        <f ca="1">AE79+AE81</f>
        <v>0</v>
      </c>
      <c r="AF82" s="617">
        <f t="shared" ca="1" si="211"/>
        <v>0</v>
      </c>
      <c r="AG82" s="617">
        <f t="shared" ca="1" si="211"/>
        <v>0</v>
      </c>
      <c r="AH82" s="617">
        <f ca="1">AH79+AH81</f>
        <v>0</v>
      </c>
      <c r="AI82" s="617">
        <f t="shared" ca="1" si="211"/>
        <v>0</v>
      </c>
      <c r="AJ82" s="617">
        <f t="shared" ca="1" si="211"/>
        <v>0</v>
      </c>
      <c r="AK82" s="617">
        <f ca="1">SUM(S82:AJ82)</f>
        <v>0</v>
      </c>
      <c r="AM82" s="623">
        <f t="shared" ref="AM82:BE82" ca="1" si="212">AM79+AM81</f>
        <v>0</v>
      </c>
      <c r="AN82" s="623">
        <f t="shared" ca="1" si="212"/>
        <v>0</v>
      </c>
      <c r="AO82" s="623">
        <f t="shared" ca="1" si="212"/>
        <v>0</v>
      </c>
      <c r="AP82" s="623">
        <f t="shared" ca="1" si="212"/>
        <v>0</v>
      </c>
      <c r="AQ82" s="623">
        <f t="shared" ca="1" si="212"/>
        <v>0</v>
      </c>
      <c r="AR82" s="623">
        <f t="shared" ca="1" si="212"/>
        <v>0</v>
      </c>
      <c r="AS82" s="623">
        <f t="shared" ca="1" si="212"/>
        <v>0</v>
      </c>
      <c r="AT82" s="623">
        <f t="shared" ca="1" si="212"/>
        <v>0</v>
      </c>
      <c r="AU82" s="623">
        <f t="shared" ca="1" si="212"/>
        <v>0</v>
      </c>
      <c r="AV82" s="623">
        <f t="shared" ca="1" si="212"/>
        <v>0</v>
      </c>
      <c r="AW82" s="623">
        <f t="shared" ca="1" si="212"/>
        <v>0</v>
      </c>
      <c r="AX82" s="623">
        <f t="shared" ca="1" si="212"/>
        <v>0</v>
      </c>
      <c r="AY82" s="623">
        <f t="shared" ca="1" si="212"/>
        <v>0</v>
      </c>
      <c r="AZ82" s="623">
        <f t="shared" ca="1" si="212"/>
        <v>0</v>
      </c>
      <c r="BA82" s="623">
        <f t="shared" ca="1" si="212"/>
        <v>0</v>
      </c>
      <c r="BB82" s="623">
        <f t="shared" ca="1" si="212"/>
        <v>0</v>
      </c>
      <c r="BC82" s="623">
        <f t="shared" ca="1" si="212"/>
        <v>0</v>
      </c>
      <c r="BD82" s="623">
        <f t="shared" ca="1" si="212"/>
        <v>0</v>
      </c>
      <c r="BE82" s="623">
        <f t="shared" ca="1" si="212"/>
        <v>0</v>
      </c>
      <c r="BF82" s="623">
        <f ca="1">SUM(AM82:BE82)</f>
        <v>0</v>
      </c>
      <c r="BH82" s="637">
        <f ca="1">BH79+BH81</f>
        <v>0</v>
      </c>
      <c r="BI82" s="637">
        <f ca="1">BI79+BI81</f>
        <v>0</v>
      </c>
      <c r="BJ82" s="637">
        <f ca="1">SUM(BH82:BI82)</f>
        <v>0</v>
      </c>
      <c r="BL82" s="497">
        <f t="shared" ca="1" si="208"/>
        <v>0</v>
      </c>
      <c r="BM82" s="497"/>
      <c r="BN82" s="555"/>
      <c r="BO82" s="945">
        <f t="shared" ref="BO82:DF82" ca="1" si="213">BO79+BO81</f>
        <v>0</v>
      </c>
      <c r="BP82" s="945">
        <f t="shared" ca="1" si="213"/>
        <v>0</v>
      </c>
      <c r="BQ82" s="945">
        <f t="shared" ca="1" si="213"/>
        <v>0</v>
      </c>
      <c r="BR82" s="945">
        <f t="shared" ca="1" si="213"/>
        <v>0</v>
      </c>
      <c r="BS82" s="945">
        <f t="shared" ca="1" si="213"/>
        <v>0</v>
      </c>
      <c r="BT82" s="945">
        <f t="shared" ca="1" si="213"/>
        <v>0</v>
      </c>
      <c r="BU82" s="945">
        <f t="shared" ca="1" si="213"/>
        <v>0</v>
      </c>
      <c r="BV82" s="945">
        <f t="shared" ca="1" si="213"/>
        <v>0</v>
      </c>
      <c r="BW82" s="945">
        <f t="shared" ca="1" si="213"/>
        <v>0</v>
      </c>
      <c r="BX82" s="945">
        <f t="shared" ca="1" si="213"/>
        <v>0</v>
      </c>
      <c r="BY82" s="945">
        <f t="shared" ca="1" si="213"/>
        <v>0</v>
      </c>
      <c r="BZ82" s="945">
        <f t="shared" ca="1" si="213"/>
        <v>0</v>
      </c>
      <c r="CA82" s="945">
        <f t="shared" ca="1" si="213"/>
        <v>0</v>
      </c>
      <c r="CB82" s="945">
        <f t="shared" ca="1" si="213"/>
        <v>0</v>
      </c>
      <c r="CC82" s="945">
        <f t="shared" ca="1" si="213"/>
        <v>0</v>
      </c>
      <c r="CD82" s="945">
        <f t="shared" ca="1" si="213"/>
        <v>0</v>
      </c>
      <c r="CE82" s="945">
        <f t="shared" ca="1" si="213"/>
        <v>0</v>
      </c>
      <c r="CF82" s="945">
        <f t="shared" ca="1" si="213"/>
        <v>0</v>
      </c>
      <c r="CG82" s="945">
        <f t="shared" ca="1" si="213"/>
        <v>0</v>
      </c>
      <c r="CH82" s="945">
        <f t="shared" ca="1" si="213"/>
        <v>0</v>
      </c>
      <c r="CI82" s="945">
        <f t="shared" ca="1" si="213"/>
        <v>0</v>
      </c>
      <c r="CJ82" s="945">
        <f t="shared" ca="1" si="213"/>
        <v>0</v>
      </c>
      <c r="CK82" s="945">
        <f t="shared" ca="1" si="213"/>
        <v>0</v>
      </c>
      <c r="CL82" s="945">
        <f t="shared" ca="1" si="213"/>
        <v>0</v>
      </c>
      <c r="CM82" s="945">
        <f t="shared" ca="1" si="213"/>
        <v>0</v>
      </c>
      <c r="CN82" s="945">
        <f t="shared" ca="1" si="213"/>
        <v>0</v>
      </c>
      <c r="CO82" s="945">
        <f t="shared" ca="1" si="213"/>
        <v>0</v>
      </c>
      <c r="CP82" s="945">
        <f t="shared" ca="1" si="213"/>
        <v>0</v>
      </c>
      <c r="CQ82" s="945">
        <f t="shared" ca="1" si="213"/>
        <v>0</v>
      </c>
      <c r="CR82" s="945">
        <f t="shared" ca="1" si="213"/>
        <v>0</v>
      </c>
      <c r="CS82" s="945">
        <f t="shared" ca="1" si="213"/>
        <v>0</v>
      </c>
      <c r="CT82" s="945">
        <f t="shared" ca="1" si="213"/>
        <v>0</v>
      </c>
      <c r="CU82" s="945">
        <f t="shared" ca="1" si="213"/>
        <v>0</v>
      </c>
      <c r="CV82" s="945">
        <f t="shared" ca="1" si="213"/>
        <v>0</v>
      </c>
      <c r="CW82" s="945">
        <f t="shared" ca="1" si="213"/>
        <v>0</v>
      </c>
      <c r="CX82" s="945">
        <f t="shared" ca="1" si="213"/>
        <v>0</v>
      </c>
      <c r="CY82" s="945">
        <f t="shared" ca="1" si="213"/>
        <v>0</v>
      </c>
      <c r="CZ82" s="945">
        <f t="shared" ca="1" si="213"/>
        <v>0</v>
      </c>
      <c r="DA82" s="945">
        <f t="shared" ca="1" si="213"/>
        <v>0</v>
      </c>
      <c r="DB82" s="945">
        <f t="shared" ca="1" si="213"/>
        <v>0</v>
      </c>
      <c r="DC82" s="945">
        <f t="shared" ca="1" si="213"/>
        <v>0</v>
      </c>
      <c r="DD82" s="945">
        <f t="shared" ca="1" si="213"/>
        <v>0</v>
      </c>
      <c r="DE82" s="945">
        <f t="shared" ca="1" si="213"/>
        <v>0</v>
      </c>
      <c r="DF82" s="945">
        <f t="shared" ca="1" si="213"/>
        <v>0</v>
      </c>
      <c r="DH82" s="553">
        <f t="shared" ca="1" si="125"/>
        <v>0</v>
      </c>
    </row>
    <row r="83" spans="1:112" s="522" customFormat="1" ht="6" customHeight="1">
      <c r="C83" s="498"/>
      <c r="D83" s="499"/>
      <c r="E83" s="493"/>
      <c r="G83" s="605"/>
      <c r="H83" s="605"/>
      <c r="I83" s="605"/>
      <c r="J83" s="605"/>
      <c r="K83" s="607"/>
      <c r="L83" s="605"/>
      <c r="M83" s="605"/>
      <c r="N83" s="605"/>
      <c r="O83" s="605"/>
      <c r="P83" s="605"/>
      <c r="Q83" s="605"/>
      <c r="S83" s="617"/>
      <c r="T83" s="617"/>
      <c r="U83" s="617"/>
      <c r="V83" s="617"/>
      <c r="W83" s="617"/>
      <c r="X83" s="617"/>
      <c r="Y83" s="617"/>
      <c r="Z83" s="617"/>
      <c r="AA83" s="617"/>
      <c r="AB83" s="617"/>
      <c r="AC83" s="617"/>
      <c r="AD83" s="617"/>
      <c r="AE83" s="617"/>
      <c r="AF83" s="617"/>
      <c r="AG83" s="617"/>
      <c r="AH83" s="617"/>
      <c r="AI83" s="617"/>
      <c r="AJ83" s="617"/>
      <c r="AK83" s="617"/>
      <c r="AM83" s="623"/>
      <c r="AN83" s="623"/>
      <c r="AO83" s="623"/>
      <c r="AP83" s="623"/>
      <c r="AQ83" s="623"/>
      <c r="AR83" s="623"/>
      <c r="AS83" s="623"/>
      <c r="AT83" s="623"/>
      <c r="AU83" s="623"/>
      <c r="AV83" s="623"/>
      <c r="AW83" s="623"/>
      <c r="AX83" s="623"/>
      <c r="AY83" s="623"/>
      <c r="AZ83" s="623"/>
      <c r="BA83" s="623"/>
      <c r="BB83" s="623"/>
      <c r="BC83" s="623"/>
      <c r="BD83" s="623"/>
      <c r="BE83" s="623"/>
      <c r="BF83" s="623">
        <f>SUM(AM83:BE83)</f>
        <v>0</v>
      </c>
      <c r="BH83" s="637"/>
      <c r="BI83" s="637"/>
      <c r="BJ83" s="637"/>
      <c r="BL83" s="497">
        <f t="shared" si="208"/>
        <v>0</v>
      </c>
      <c r="BM83" s="497"/>
      <c r="BO83" s="945"/>
      <c r="BP83" s="945"/>
      <c r="BQ83" s="945"/>
      <c r="BR83" s="945"/>
      <c r="BS83" s="945"/>
      <c r="BT83" s="945"/>
      <c r="BU83" s="945"/>
      <c r="BV83" s="945"/>
      <c r="BW83" s="945"/>
      <c r="BX83" s="945"/>
      <c r="BY83" s="945"/>
      <c r="BZ83" s="945"/>
      <c r="CA83" s="945"/>
      <c r="CB83" s="945"/>
      <c r="CC83" s="945"/>
      <c r="CD83" s="945"/>
      <c r="CE83" s="945"/>
      <c r="CF83" s="945"/>
      <c r="CG83" s="945"/>
      <c r="CH83" s="945"/>
      <c r="CI83" s="945"/>
      <c r="CJ83" s="945"/>
      <c r="CK83" s="945"/>
      <c r="CL83" s="945"/>
      <c r="CM83" s="945"/>
      <c r="CN83" s="945"/>
      <c r="CO83" s="945"/>
      <c r="CP83" s="945"/>
      <c r="CQ83" s="945"/>
      <c r="CR83" s="945"/>
      <c r="CS83" s="945"/>
      <c r="CT83" s="945"/>
      <c r="CU83" s="945"/>
      <c r="CV83" s="945"/>
      <c r="CW83" s="945"/>
      <c r="CX83" s="945"/>
      <c r="CY83" s="945"/>
      <c r="CZ83" s="945"/>
      <c r="DA83" s="945"/>
      <c r="DB83" s="945"/>
      <c r="DC83" s="945"/>
      <c r="DD83" s="945"/>
      <c r="DE83" s="945"/>
      <c r="DF83" s="945"/>
      <c r="DH83" s="553"/>
    </row>
    <row r="84" spans="1:112" s="522" customFormat="1" ht="15">
      <c r="B84" s="527"/>
      <c r="C84" s="1108" t="s">
        <v>1093</v>
      </c>
      <c r="D84" s="510" t="s">
        <v>234</v>
      </c>
      <c r="E84" s="511"/>
      <c r="G84" s="713">
        <f t="shared" ref="G84:P84" ca="1" si="214">G$51+G$55+G$63+G$68+G$72+G$76+G$82+G$46</f>
        <v>0</v>
      </c>
      <c r="H84" s="713">
        <f t="shared" ca="1" si="214"/>
        <v>0</v>
      </c>
      <c r="I84" s="713">
        <f t="shared" ca="1" si="214"/>
        <v>0</v>
      </c>
      <c r="J84" s="713">
        <f t="shared" ca="1" si="214"/>
        <v>0</v>
      </c>
      <c r="K84" s="714">
        <f t="shared" ca="1" si="214"/>
        <v>0</v>
      </c>
      <c r="L84" s="713">
        <f t="shared" ca="1" si="214"/>
        <v>0</v>
      </c>
      <c r="M84" s="713">
        <f t="shared" ca="1" si="214"/>
        <v>0</v>
      </c>
      <c r="N84" s="713">
        <f t="shared" ca="1" si="214"/>
        <v>0</v>
      </c>
      <c r="O84" s="713">
        <f t="shared" ca="1" si="214"/>
        <v>0</v>
      </c>
      <c r="P84" s="713">
        <f t="shared" ca="1" si="214"/>
        <v>0</v>
      </c>
      <c r="Q84" s="669">
        <f ca="1">SUM(G84:P84)</f>
        <v>0</v>
      </c>
      <c r="S84" s="660">
        <f t="shared" ref="S84:AJ84" ca="1" si="215">S$51+S$55+S$63+S$68+S$72+S$76+S$82+S$46</f>
        <v>0</v>
      </c>
      <c r="T84" s="660">
        <f t="shared" ca="1" si="215"/>
        <v>0</v>
      </c>
      <c r="U84" s="660">
        <f t="shared" ca="1" si="215"/>
        <v>0</v>
      </c>
      <c r="V84" s="660">
        <f t="shared" ca="1" si="215"/>
        <v>0</v>
      </c>
      <c r="W84" s="660">
        <f t="shared" ca="1" si="215"/>
        <v>0</v>
      </c>
      <c r="X84" s="660">
        <f t="shared" ca="1" si="215"/>
        <v>0</v>
      </c>
      <c r="Y84" s="660">
        <f t="shared" ca="1" si="215"/>
        <v>0</v>
      </c>
      <c r="Z84" s="660">
        <f t="shared" ca="1" si="215"/>
        <v>0</v>
      </c>
      <c r="AA84" s="660">
        <f t="shared" ca="1" si="215"/>
        <v>0</v>
      </c>
      <c r="AB84" s="660">
        <f t="shared" ca="1" si="215"/>
        <v>0</v>
      </c>
      <c r="AC84" s="660">
        <f t="shared" ca="1" si="215"/>
        <v>0</v>
      </c>
      <c r="AD84" s="660">
        <f t="shared" ca="1" si="215"/>
        <v>0</v>
      </c>
      <c r="AE84" s="660">
        <f t="shared" ca="1" si="215"/>
        <v>0</v>
      </c>
      <c r="AF84" s="660">
        <f t="shared" ca="1" si="215"/>
        <v>0</v>
      </c>
      <c r="AG84" s="660">
        <f t="shared" ca="1" si="215"/>
        <v>0</v>
      </c>
      <c r="AH84" s="660">
        <f t="shared" ca="1" si="215"/>
        <v>0</v>
      </c>
      <c r="AI84" s="660">
        <f t="shared" ca="1" si="215"/>
        <v>0</v>
      </c>
      <c r="AJ84" s="660">
        <f t="shared" ca="1" si="215"/>
        <v>0</v>
      </c>
      <c r="AK84" s="660">
        <f ca="1">SUM(S84:AJ84)</f>
        <v>0</v>
      </c>
      <c r="AM84" s="661">
        <f t="shared" ref="AM84:BE84" ca="1" si="216">AM$51+AM$55+AM$63+AM$68+AM$72+AM$76+AM$82+AM$46</f>
        <v>0</v>
      </c>
      <c r="AN84" s="661">
        <f t="shared" ca="1" si="216"/>
        <v>0</v>
      </c>
      <c r="AO84" s="661">
        <f t="shared" ca="1" si="216"/>
        <v>0</v>
      </c>
      <c r="AP84" s="661">
        <f t="shared" ca="1" si="216"/>
        <v>0</v>
      </c>
      <c r="AQ84" s="661">
        <f t="shared" ca="1" si="216"/>
        <v>0</v>
      </c>
      <c r="AR84" s="661">
        <f t="shared" ca="1" si="216"/>
        <v>0</v>
      </c>
      <c r="AS84" s="661">
        <f t="shared" ca="1" si="216"/>
        <v>0</v>
      </c>
      <c r="AT84" s="661">
        <f t="shared" ca="1" si="216"/>
        <v>0</v>
      </c>
      <c r="AU84" s="661">
        <f t="shared" ca="1" si="216"/>
        <v>0</v>
      </c>
      <c r="AV84" s="661">
        <f t="shared" ca="1" si="216"/>
        <v>0</v>
      </c>
      <c r="AW84" s="661">
        <f t="shared" ca="1" si="216"/>
        <v>0</v>
      </c>
      <c r="AX84" s="661">
        <f t="shared" ca="1" si="216"/>
        <v>0</v>
      </c>
      <c r="AY84" s="661">
        <f t="shared" ca="1" si="216"/>
        <v>0</v>
      </c>
      <c r="AZ84" s="661">
        <f t="shared" ca="1" si="216"/>
        <v>0</v>
      </c>
      <c r="BA84" s="661">
        <f t="shared" ca="1" si="216"/>
        <v>0</v>
      </c>
      <c r="BB84" s="661">
        <f t="shared" ca="1" si="216"/>
        <v>0</v>
      </c>
      <c r="BC84" s="661">
        <f t="shared" ca="1" si="216"/>
        <v>0</v>
      </c>
      <c r="BD84" s="661">
        <f t="shared" ca="1" si="216"/>
        <v>0</v>
      </c>
      <c r="BE84" s="661">
        <f t="shared" ca="1" si="216"/>
        <v>0</v>
      </c>
      <c r="BF84" s="661">
        <f ca="1">SUM(AM84:BE84)</f>
        <v>0</v>
      </c>
      <c r="BH84" s="662">
        <f ca="1">BH$51+BH$55+BH$63+BH$68+BH$72+BH$76+BH$82+BH$46</f>
        <v>0</v>
      </c>
      <c r="BI84" s="662">
        <f ca="1">BI$51+BI$55+BI$63+BI$68+BI$72+BI$76+BI$82+BI$46</f>
        <v>0</v>
      </c>
      <c r="BJ84" s="662">
        <f ca="1">SUM(BH84:BI84)</f>
        <v>0</v>
      </c>
      <c r="BL84" s="500">
        <f t="shared" ca="1" si="208"/>
        <v>0</v>
      </c>
      <c r="BM84" s="500"/>
      <c r="BO84" s="950">
        <f t="shared" ref="BO84:DE84" ca="1" si="217">BO$51+BO$55+BO$63+BO$68+BO$72+BO$76+BO$82+BO$46</f>
        <v>0</v>
      </c>
      <c r="BP84" s="950">
        <f t="shared" ca="1" si="217"/>
        <v>0</v>
      </c>
      <c r="BQ84" s="950">
        <f t="shared" ca="1" si="217"/>
        <v>0</v>
      </c>
      <c r="BR84" s="950">
        <f t="shared" ca="1" si="217"/>
        <v>0</v>
      </c>
      <c r="BS84" s="950">
        <f t="shared" ca="1" si="217"/>
        <v>0</v>
      </c>
      <c r="BT84" s="950">
        <f t="shared" ca="1" si="217"/>
        <v>0</v>
      </c>
      <c r="BU84" s="950">
        <f t="shared" ca="1" si="217"/>
        <v>0</v>
      </c>
      <c r="BV84" s="950">
        <f t="shared" ca="1" si="217"/>
        <v>0</v>
      </c>
      <c r="BW84" s="950">
        <f t="shared" ca="1" si="217"/>
        <v>0</v>
      </c>
      <c r="BX84" s="950">
        <f t="shared" ca="1" si="217"/>
        <v>0</v>
      </c>
      <c r="BY84" s="950">
        <f t="shared" ca="1" si="217"/>
        <v>0</v>
      </c>
      <c r="BZ84" s="950">
        <f t="shared" ca="1" si="217"/>
        <v>0</v>
      </c>
      <c r="CA84" s="950">
        <f t="shared" ca="1" si="217"/>
        <v>0</v>
      </c>
      <c r="CB84" s="950">
        <f t="shared" ca="1" si="217"/>
        <v>0</v>
      </c>
      <c r="CC84" s="950">
        <f t="shared" ca="1" si="217"/>
        <v>0</v>
      </c>
      <c r="CD84" s="950">
        <f t="shared" ca="1" si="217"/>
        <v>0</v>
      </c>
      <c r="CE84" s="950">
        <f t="shared" ca="1" si="217"/>
        <v>0</v>
      </c>
      <c r="CF84" s="950">
        <f t="shared" ca="1" si="217"/>
        <v>0</v>
      </c>
      <c r="CG84" s="950">
        <f t="shared" ca="1" si="217"/>
        <v>0</v>
      </c>
      <c r="CH84" s="950">
        <f t="shared" ca="1" si="217"/>
        <v>0</v>
      </c>
      <c r="CI84" s="950">
        <f t="shared" ca="1" si="217"/>
        <v>0</v>
      </c>
      <c r="CJ84" s="950">
        <f t="shared" ca="1" si="217"/>
        <v>0</v>
      </c>
      <c r="CK84" s="950">
        <f t="shared" ca="1" si="217"/>
        <v>0</v>
      </c>
      <c r="CL84" s="950">
        <f t="shared" ca="1" si="217"/>
        <v>0</v>
      </c>
      <c r="CM84" s="950">
        <f t="shared" ca="1" si="217"/>
        <v>0</v>
      </c>
      <c r="CN84" s="950">
        <f t="shared" ca="1" si="217"/>
        <v>0</v>
      </c>
      <c r="CO84" s="950">
        <f t="shared" ca="1" si="217"/>
        <v>0</v>
      </c>
      <c r="CP84" s="950">
        <f t="shared" ca="1" si="217"/>
        <v>0</v>
      </c>
      <c r="CQ84" s="950">
        <f t="shared" ca="1" si="217"/>
        <v>0</v>
      </c>
      <c r="CR84" s="950">
        <f t="shared" ca="1" si="217"/>
        <v>0</v>
      </c>
      <c r="CS84" s="950">
        <f t="shared" ca="1" si="217"/>
        <v>0</v>
      </c>
      <c r="CT84" s="950">
        <f t="shared" ca="1" si="217"/>
        <v>0</v>
      </c>
      <c r="CU84" s="950">
        <f t="shared" ca="1" si="217"/>
        <v>0</v>
      </c>
      <c r="CV84" s="950">
        <f t="shared" ca="1" si="217"/>
        <v>0</v>
      </c>
      <c r="CW84" s="950">
        <f t="shared" ca="1" si="217"/>
        <v>0</v>
      </c>
      <c r="CX84" s="950">
        <f t="shared" ca="1" si="217"/>
        <v>0</v>
      </c>
      <c r="CY84" s="950">
        <f t="shared" ca="1" si="217"/>
        <v>0</v>
      </c>
      <c r="CZ84" s="950">
        <f t="shared" ca="1" si="217"/>
        <v>0</v>
      </c>
      <c r="DA84" s="950">
        <f t="shared" ca="1" si="217"/>
        <v>0</v>
      </c>
      <c r="DB84" s="950">
        <f t="shared" ca="1" si="217"/>
        <v>0</v>
      </c>
      <c r="DC84" s="950">
        <f t="shared" ca="1" si="217"/>
        <v>0</v>
      </c>
      <c r="DD84" s="950">
        <f t="shared" ca="1" si="217"/>
        <v>0</v>
      </c>
      <c r="DE84" s="950">
        <f t="shared" ca="1" si="217"/>
        <v>0</v>
      </c>
      <c r="DF84" s="950">
        <f ca="1">DF$51+DF$99+DF$55+DF$63+DF$68+DF$76+DF$82+DF$46</f>
        <v>0</v>
      </c>
      <c r="DH84" s="551">
        <f ca="1">SUM(BO84:DF84)</f>
        <v>0</v>
      </c>
    </row>
    <row r="85" spans="1:112" s="522" customFormat="1" ht="6" customHeight="1">
      <c r="C85" s="498"/>
      <c r="D85" s="499"/>
      <c r="E85" s="493"/>
      <c r="G85" s="605"/>
      <c r="H85" s="605"/>
      <c r="I85" s="605"/>
      <c r="J85" s="605"/>
      <c r="K85" s="607"/>
      <c r="L85" s="605"/>
      <c r="M85" s="605"/>
      <c r="N85" s="605"/>
      <c r="O85" s="605"/>
      <c r="P85" s="605"/>
      <c r="Q85" s="605"/>
      <c r="S85" s="617"/>
      <c r="T85" s="617"/>
      <c r="U85" s="617"/>
      <c r="V85" s="617"/>
      <c r="W85" s="617"/>
      <c r="X85" s="617"/>
      <c r="Y85" s="617"/>
      <c r="Z85" s="617"/>
      <c r="AA85" s="617"/>
      <c r="AB85" s="617"/>
      <c r="AC85" s="617"/>
      <c r="AD85" s="617"/>
      <c r="AE85" s="617"/>
      <c r="AF85" s="617"/>
      <c r="AG85" s="617"/>
      <c r="AH85" s="617"/>
      <c r="AI85" s="617"/>
      <c r="AJ85" s="617"/>
      <c r="AK85" s="617"/>
      <c r="AM85" s="623"/>
      <c r="AN85" s="623"/>
      <c r="AO85" s="623"/>
      <c r="AP85" s="623"/>
      <c r="AQ85" s="623"/>
      <c r="AR85" s="623"/>
      <c r="AS85" s="623"/>
      <c r="AT85" s="623"/>
      <c r="AU85" s="623"/>
      <c r="AV85" s="623"/>
      <c r="AW85" s="623"/>
      <c r="AX85" s="623"/>
      <c r="AY85" s="623"/>
      <c r="AZ85" s="623"/>
      <c r="BA85" s="623"/>
      <c r="BB85" s="623"/>
      <c r="BC85" s="623"/>
      <c r="BD85" s="623"/>
      <c r="BE85" s="623"/>
      <c r="BF85" s="623"/>
      <c r="BH85" s="637"/>
      <c r="BI85" s="637"/>
      <c r="BJ85" s="637"/>
      <c r="BL85" s="497">
        <f t="shared" si="208"/>
        <v>0</v>
      </c>
      <c r="BM85" s="497"/>
      <c r="BO85" s="945"/>
      <c r="BP85" s="945"/>
      <c r="BQ85" s="945"/>
      <c r="BR85" s="945"/>
      <c r="BS85" s="945"/>
      <c r="BT85" s="945"/>
      <c r="BU85" s="945"/>
      <c r="BV85" s="945"/>
      <c r="BW85" s="945"/>
      <c r="BX85" s="945"/>
      <c r="BY85" s="945"/>
      <c r="BZ85" s="945"/>
      <c r="CA85" s="945"/>
      <c r="CB85" s="945"/>
      <c r="CC85" s="945"/>
      <c r="CD85" s="945"/>
      <c r="CE85" s="945"/>
      <c r="CF85" s="945"/>
      <c r="CG85" s="945"/>
      <c r="CH85" s="945"/>
      <c r="CI85" s="945"/>
      <c r="CJ85" s="945"/>
      <c r="CK85" s="945"/>
      <c r="CL85" s="945"/>
      <c r="CM85" s="945"/>
      <c r="CN85" s="945"/>
      <c r="CO85" s="945"/>
      <c r="CP85" s="945"/>
      <c r="CQ85" s="945"/>
      <c r="CR85" s="945"/>
      <c r="CS85" s="945"/>
      <c r="CT85" s="945"/>
      <c r="CU85" s="945"/>
      <c r="CV85" s="945"/>
      <c r="CW85" s="945"/>
      <c r="CX85" s="945"/>
      <c r="CY85" s="945"/>
      <c r="CZ85" s="945"/>
      <c r="DA85" s="945"/>
      <c r="DB85" s="945"/>
      <c r="DC85" s="945"/>
      <c r="DD85" s="945"/>
      <c r="DE85" s="945"/>
      <c r="DF85" s="945"/>
      <c r="DH85" s="553"/>
    </row>
    <row r="86" spans="1:112" s="522" customFormat="1" ht="24" customHeight="1">
      <c r="C86" s="487" t="s">
        <v>754</v>
      </c>
      <c r="D86" s="487"/>
      <c r="E86" s="509"/>
      <c r="G86" s="604"/>
      <c r="H86" s="604"/>
      <c r="I86" s="604"/>
      <c r="J86" s="604"/>
      <c r="K86" s="604"/>
      <c r="L86" s="604"/>
      <c r="M86" s="604"/>
      <c r="N86" s="604"/>
      <c r="O86" s="604"/>
      <c r="P86" s="604"/>
      <c r="Q86" s="604"/>
      <c r="S86" s="620"/>
      <c r="T86" s="620"/>
      <c r="U86" s="620"/>
      <c r="V86" s="620"/>
      <c r="W86" s="620"/>
      <c r="X86" s="616"/>
      <c r="Y86" s="616"/>
      <c r="Z86" s="616"/>
      <c r="AA86" s="620"/>
      <c r="AB86" s="620"/>
      <c r="AC86" s="620"/>
      <c r="AD86" s="620"/>
      <c r="AE86" s="620"/>
      <c r="AF86" s="620"/>
      <c r="AG86" s="620"/>
      <c r="AH86" s="620"/>
      <c r="AI86" s="620"/>
      <c r="AJ86" s="620"/>
      <c r="AK86" s="620"/>
      <c r="AM86" s="627"/>
      <c r="AN86" s="627"/>
      <c r="AO86" s="627"/>
      <c r="AP86" s="627"/>
      <c r="AQ86" s="627"/>
      <c r="AR86" s="627"/>
      <c r="AS86" s="627"/>
      <c r="AT86" s="627"/>
      <c r="AU86" s="627"/>
      <c r="AV86" s="627"/>
      <c r="AW86" s="622"/>
      <c r="AX86" s="622"/>
      <c r="AY86" s="622"/>
      <c r="AZ86" s="622"/>
      <c r="BA86" s="622"/>
      <c r="BB86" s="622"/>
      <c r="BC86" s="622"/>
      <c r="BD86" s="622"/>
      <c r="BE86" s="622"/>
      <c r="BF86" s="627"/>
      <c r="BH86" s="640"/>
      <c r="BI86" s="640"/>
      <c r="BJ86" s="640"/>
      <c r="BL86" s="496">
        <f t="shared" si="208"/>
        <v>0</v>
      </c>
      <c r="BM86" s="496"/>
      <c r="BO86" s="945"/>
      <c r="BP86" s="945"/>
      <c r="BQ86" s="945"/>
      <c r="BR86" s="945"/>
      <c r="BS86" s="945"/>
      <c r="BT86" s="945"/>
      <c r="BU86" s="945"/>
      <c r="BV86" s="945"/>
      <c r="BW86" s="945"/>
      <c r="BX86" s="945"/>
      <c r="BY86" s="945"/>
      <c r="BZ86" s="945"/>
      <c r="CA86" s="945"/>
      <c r="CB86" s="945"/>
      <c r="CC86" s="945"/>
      <c r="CD86" s="945"/>
      <c r="CE86" s="945"/>
      <c r="CF86" s="945"/>
      <c r="CG86" s="945"/>
      <c r="CH86" s="945"/>
      <c r="CI86" s="945"/>
      <c r="CJ86" s="945"/>
      <c r="CK86" s="945"/>
      <c r="CL86" s="945"/>
      <c r="CM86" s="945"/>
      <c r="CN86" s="945"/>
      <c r="CO86" s="945"/>
      <c r="CP86" s="945"/>
      <c r="CQ86" s="945"/>
      <c r="CR86" s="945"/>
      <c r="CS86" s="945"/>
      <c r="CT86" s="945"/>
      <c r="CU86" s="945"/>
      <c r="CV86" s="945"/>
      <c r="CW86" s="945"/>
      <c r="CX86" s="945"/>
      <c r="CY86" s="945"/>
      <c r="CZ86" s="945"/>
      <c r="DA86" s="945"/>
      <c r="DB86" s="945"/>
      <c r="DC86" s="945"/>
      <c r="DD86" s="945"/>
      <c r="DE86" s="945"/>
      <c r="DF86" s="945"/>
      <c r="DH86" s="553"/>
    </row>
    <row r="87" spans="1:112" s="522" customFormat="1" ht="6" customHeight="1">
      <c r="C87" s="502"/>
      <c r="D87" s="32"/>
      <c r="E87" s="493"/>
      <c r="G87" s="605"/>
      <c r="H87" s="605"/>
      <c r="I87" s="605"/>
      <c r="J87" s="605"/>
      <c r="K87" s="607"/>
      <c r="L87" s="605"/>
      <c r="M87" s="605"/>
      <c r="N87" s="605"/>
      <c r="O87" s="605"/>
      <c r="P87" s="605"/>
      <c r="Q87" s="605"/>
      <c r="S87" s="617"/>
      <c r="T87" s="617"/>
      <c r="U87" s="617"/>
      <c r="V87" s="617"/>
      <c r="W87" s="617"/>
      <c r="X87" s="617"/>
      <c r="Y87" s="617"/>
      <c r="Z87" s="617"/>
      <c r="AA87" s="617"/>
      <c r="AB87" s="617"/>
      <c r="AC87" s="617"/>
      <c r="AD87" s="617"/>
      <c r="AE87" s="617"/>
      <c r="AF87" s="617"/>
      <c r="AG87" s="617"/>
      <c r="AH87" s="617"/>
      <c r="AI87" s="617"/>
      <c r="AJ87" s="617"/>
      <c r="AK87" s="617"/>
      <c r="AM87" s="623"/>
      <c r="AN87" s="623"/>
      <c r="AO87" s="623"/>
      <c r="AP87" s="623"/>
      <c r="AQ87" s="623"/>
      <c r="AR87" s="623"/>
      <c r="AS87" s="623"/>
      <c r="AT87" s="623"/>
      <c r="AU87" s="623"/>
      <c r="AV87" s="623"/>
      <c r="AW87" s="623"/>
      <c r="AX87" s="623"/>
      <c r="AY87" s="623"/>
      <c r="AZ87" s="623"/>
      <c r="BA87" s="623"/>
      <c r="BB87" s="623"/>
      <c r="BC87" s="623"/>
      <c r="BD87" s="623"/>
      <c r="BE87" s="623"/>
      <c r="BF87" s="623"/>
      <c r="BH87" s="637"/>
      <c r="BI87" s="637"/>
      <c r="BJ87" s="637"/>
      <c r="BL87" s="497">
        <f t="shared" si="208"/>
        <v>0</v>
      </c>
      <c r="BM87" s="497"/>
      <c r="BO87" s="945"/>
      <c r="BP87" s="945"/>
      <c r="BQ87" s="945"/>
      <c r="BR87" s="945"/>
      <c r="BS87" s="945"/>
      <c r="BT87" s="945"/>
      <c r="BU87" s="945"/>
      <c r="BV87" s="945"/>
      <c r="BW87" s="945"/>
      <c r="BX87" s="945"/>
      <c r="BY87" s="945"/>
      <c r="BZ87" s="945"/>
      <c r="CA87" s="945"/>
      <c r="CB87" s="945"/>
      <c r="CC87" s="945"/>
      <c r="CD87" s="945"/>
      <c r="CE87" s="945"/>
      <c r="CF87" s="945"/>
      <c r="CG87" s="945"/>
      <c r="CH87" s="945"/>
      <c r="CI87" s="945"/>
      <c r="CJ87" s="945"/>
      <c r="CK87" s="945"/>
      <c r="CL87" s="945"/>
      <c r="CM87" s="945"/>
      <c r="CN87" s="945"/>
      <c r="CO87" s="945"/>
      <c r="CP87" s="945"/>
      <c r="CQ87" s="945"/>
      <c r="CR87" s="945"/>
      <c r="CS87" s="945"/>
      <c r="CT87" s="945"/>
      <c r="CU87" s="945"/>
      <c r="CV87" s="945"/>
      <c r="CW87" s="945"/>
      <c r="CX87" s="945"/>
      <c r="CY87" s="945"/>
      <c r="CZ87" s="945"/>
      <c r="DA87" s="945"/>
      <c r="DB87" s="945"/>
      <c r="DC87" s="945"/>
      <c r="DD87" s="945"/>
      <c r="DE87" s="945"/>
      <c r="DF87" s="945"/>
      <c r="DH87" s="553"/>
    </row>
    <row r="88" spans="1:112" s="522" customFormat="1" outlineLevel="1">
      <c r="A88" s="951"/>
      <c r="B88" s="951"/>
      <c r="C88" s="559"/>
      <c r="D88" s="560"/>
      <c r="E88" s="560"/>
      <c r="G88" s="608"/>
      <c r="H88" s="608"/>
      <c r="I88" s="608"/>
      <c r="J88" s="608"/>
      <c r="K88" s="609"/>
      <c r="L88" s="608"/>
      <c r="M88" s="608"/>
      <c r="N88" s="608"/>
      <c r="O88" s="608"/>
      <c r="P88" s="608"/>
      <c r="Q88" s="608"/>
      <c r="S88" s="618"/>
      <c r="T88" s="618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M88" s="625"/>
      <c r="AN88" s="625"/>
      <c r="AO88" s="625"/>
      <c r="AP88" s="625"/>
      <c r="AQ88" s="625"/>
      <c r="AR88" s="625"/>
      <c r="AS88" s="625"/>
      <c r="AT88" s="625"/>
      <c r="AU88" s="625"/>
      <c r="AV88" s="625"/>
      <c r="AW88" s="625"/>
      <c r="AX88" s="625"/>
      <c r="AY88" s="625"/>
      <c r="AZ88" s="625"/>
      <c r="BA88" s="625"/>
      <c r="BB88" s="625"/>
      <c r="BC88" s="625"/>
      <c r="BD88" s="625"/>
      <c r="BE88" s="625"/>
      <c r="BF88" s="625"/>
      <c r="BH88" s="638"/>
      <c r="BI88" s="638"/>
      <c r="BJ88" s="638"/>
      <c r="BL88" s="561"/>
      <c r="BM88" s="561"/>
      <c r="BN88" s="951"/>
      <c r="BO88" s="953"/>
      <c r="BP88" s="945"/>
      <c r="BQ88" s="945"/>
      <c r="BR88" s="945"/>
      <c r="BS88" s="945"/>
      <c r="BT88" s="945"/>
      <c r="BU88" s="945"/>
      <c r="BV88" s="945"/>
      <c r="BW88" s="945"/>
      <c r="BX88" s="945"/>
      <c r="BY88" s="945"/>
      <c r="BZ88" s="945"/>
      <c r="CA88" s="945"/>
      <c r="CB88" s="945"/>
      <c r="CC88" s="945"/>
      <c r="CD88" s="945"/>
      <c r="CE88" s="945"/>
      <c r="CF88" s="945"/>
      <c r="CG88" s="945"/>
      <c r="CH88" s="945"/>
      <c r="CI88" s="945"/>
      <c r="CJ88" s="945"/>
      <c r="CK88" s="945"/>
      <c r="CL88" s="945"/>
      <c r="CM88" s="945"/>
      <c r="CN88" s="945"/>
      <c r="CO88" s="945"/>
      <c r="CP88" s="945"/>
      <c r="CQ88" s="945"/>
      <c r="CR88" s="945"/>
      <c r="CS88" s="945"/>
      <c r="CT88" s="945"/>
      <c r="CU88" s="945"/>
      <c r="CV88" s="945"/>
      <c r="CW88" s="945"/>
      <c r="CX88" s="945"/>
      <c r="CY88" s="945"/>
      <c r="CZ88" s="945"/>
      <c r="DA88" s="945"/>
      <c r="DB88" s="945"/>
      <c r="DC88" s="945"/>
      <c r="DD88" s="945"/>
      <c r="DE88" s="945"/>
      <c r="DF88" s="945"/>
      <c r="DH88" s="553"/>
    </row>
    <row r="89" spans="1:112" s="947" customFormat="1" outlineLevel="1">
      <c r="C89" s="504" t="s">
        <v>630</v>
      </c>
      <c r="D89" s="503" t="str">
        <f>INDEX(Modules[Module], MATCH($C89, Modules[Code], 0))</f>
        <v>Electricity imports</v>
      </c>
      <c r="E89" s="503"/>
      <c r="F89" s="522"/>
      <c r="G89" s="663">
        <f t="shared" ref="G89:P89" ca="1" si="218">IFERROR(INDEX(INDIRECT($C89&amp;".Outputs["&amp;this.Year&amp;"]"), MATCH(G$5, INDIRECT($C89&amp;".Outputs[Vector]"), 0)), 0)</f>
        <v>0</v>
      </c>
      <c r="H89" s="663">
        <f t="shared" ca="1" si="218"/>
        <v>0</v>
      </c>
      <c r="I89" s="663">
        <f t="shared" ca="1" si="218"/>
        <v>0</v>
      </c>
      <c r="J89" s="663">
        <f t="shared" ca="1" si="218"/>
        <v>0</v>
      </c>
      <c r="K89" s="663">
        <f t="shared" ca="1" si="218"/>
        <v>0</v>
      </c>
      <c r="L89" s="663">
        <f t="shared" ca="1" si="218"/>
        <v>0</v>
      </c>
      <c r="M89" s="663">
        <f t="shared" ca="1" si="218"/>
        <v>0</v>
      </c>
      <c r="N89" s="663">
        <f t="shared" ca="1" si="218"/>
        <v>0</v>
      </c>
      <c r="O89" s="663">
        <f t="shared" ca="1" si="218"/>
        <v>0</v>
      </c>
      <c r="P89" s="663">
        <f t="shared" ca="1" si="218"/>
        <v>0</v>
      </c>
      <c r="Q89" s="665">
        <f ca="1">SUM(G89:P89)</f>
        <v>0</v>
      </c>
      <c r="R89" s="522"/>
      <c r="S89" s="672">
        <f t="shared" ref="S89:AJ89" ca="1" si="219">IFERROR(INDEX(INDIRECT($C89&amp;".Outputs["&amp;this.Year&amp;"]"), MATCH(S$5, INDIRECT($C89&amp;".Outputs[Vector]"), 0)), 0)</f>
        <v>0</v>
      </c>
      <c r="T89" s="672">
        <f t="shared" ca="1" si="219"/>
        <v>0</v>
      </c>
      <c r="U89" s="672">
        <f t="shared" ca="1" si="219"/>
        <v>0</v>
      </c>
      <c r="V89" s="672">
        <f t="shared" ca="1" si="219"/>
        <v>0</v>
      </c>
      <c r="W89" s="672">
        <f t="shared" ca="1" si="219"/>
        <v>0</v>
      </c>
      <c r="X89" s="672">
        <f ca="1">IFERROR(INDEX(INDIRECT($C89&amp;".Outputs["&amp;this.Year&amp;"]"), MATCH(X$5, INDIRECT($C89&amp;".Outputs[Vector]"), 0)), 0)</f>
        <v>0</v>
      </c>
      <c r="Y89" s="672">
        <f ca="1">IFERROR(INDEX(INDIRECT($C89&amp;".Outputs["&amp;this.Year&amp;"]"), MATCH(Y$5, INDIRECT($C89&amp;".Outputs[Vector]"), 0)), 0)</f>
        <v>0</v>
      </c>
      <c r="Z89" s="672">
        <f ca="1">IFERROR(INDEX(INDIRECT($C89&amp;".Outputs["&amp;this.Year&amp;"]"), MATCH(Z$5, INDIRECT($C89&amp;".Outputs[Vector]"), 0)), 0)</f>
        <v>0</v>
      </c>
      <c r="AA89" s="672">
        <f t="shared" ca="1" si="219"/>
        <v>0</v>
      </c>
      <c r="AB89" s="672">
        <f t="shared" ca="1" si="219"/>
        <v>0</v>
      </c>
      <c r="AC89" s="672">
        <f t="shared" ca="1" si="219"/>
        <v>0</v>
      </c>
      <c r="AD89" s="672">
        <f t="shared" ca="1" si="219"/>
        <v>0</v>
      </c>
      <c r="AE89" s="672">
        <f t="shared" ca="1" si="219"/>
        <v>0</v>
      </c>
      <c r="AF89" s="672">
        <f t="shared" ca="1" si="219"/>
        <v>0</v>
      </c>
      <c r="AG89" s="672">
        <f t="shared" ca="1" si="219"/>
        <v>0</v>
      </c>
      <c r="AH89" s="672">
        <f t="shared" ca="1" si="219"/>
        <v>0</v>
      </c>
      <c r="AI89" s="672">
        <f t="shared" ca="1" si="219"/>
        <v>0</v>
      </c>
      <c r="AJ89" s="672">
        <f t="shared" ca="1" si="219"/>
        <v>0</v>
      </c>
      <c r="AK89" s="673">
        <f ca="1">SUM(S89:AJ89)</f>
        <v>0</v>
      </c>
      <c r="AL89" s="522"/>
      <c r="AM89" s="684">
        <f t="shared" ref="AM89:AU89" ca="1" si="220">IFERROR(INDEX(INDIRECT($C89&amp;".Outputs["&amp;this.Year&amp;"]"), MATCH(AM$5, INDIRECT($C89&amp;".Outputs[Vector]"), 0)), 0)</f>
        <v>0</v>
      </c>
      <c r="AN89" s="684">
        <f t="shared" ca="1" si="220"/>
        <v>0</v>
      </c>
      <c r="AO89" s="684">
        <f t="shared" ca="1" si="220"/>
        <v>0</v>
      </c>
      <c r="AP89" s="684">
        <f t="shared" ca="1" si="220"/>
        <v>0</v>
      </c>
      <c r="AQ89" s="684">
        <f t="shared" ca="1" si="220"/>
        <v>0</v>
      </c>
      <c r="AR89" s="684">
        <f t="shared" ca="1" si="220"/>
        <v>0</v>
      </c>
      <c r="AS89" s="684">
        <f t="shared" ca="1" si="220"/>
        <v>0</v>
      </c>
      <c r="AT89" s="684">
        <f t="shared" ca="1" si="220"/>
        <v>0</v>
      </c>
      <c r="AU89" s="684">
        <f t="shared" ca="1" si="220"/>
        <v>0</v>
      </c>
      <c r="AV89" s="684">
        <f t="shared" ref="AV89:BE89" ca="1" si="221">IFERROR(INDEX(INDIRECT($C89&amp;".Outputs["&amp;this.Year&amp;"]"), MATCH(AV$5, INDIRECT($C89&amp;".Outputs[Vector]"), 0)), 0)</f>
        <v>0</v>
      </c>
      <c r="AW89" s="684">
        <f t="shared" ca="1" si="221"/>
        <v>0</v>
      </c>
      <c r="AX89" s="684">
        <f t="shared" ca="1" si="221"/>
        <v>0</v>
      </c>
      <c r="AY89" s="684">
        <f t="shared" ca="1" si="221"/>
        <v>0</v>
      </c>
      <c r="AZ89" s="684">
        <f t="shared" ca="1" si="221"/>
        <v>0</v>
      </c>
      <c r="BA89" s="684">
        <f t="shared" ca="1" si="221"/>
        <v>0</v>
      </c>
      <c r="BB89" s="684">
        <f t="shared" ca="1" si="221"/>
        <v>0</v>
      </c>
      <c r="BC89" s="684">
        <f t="shared" ca="1" si="221"/>
        <v>0</v>
      </c>
      <c r="BD89" s="684">
        <f t="shared" ca="1" si="221"/>
        <v>0</v>
      </c>
      <c r="BE89" s="684">
        <f t="shared" ca="1" si="221"/>
        <v>0</v>
      </c>
      <c r="BF89" s="626">
        <f ca="1">SUM(AM89:BE89)</f>
        <v>0</v>
      </c>
      <c r="BG89" s="522"/>
      <c r="BH89" s="678">
        <f ca="1">IFERROR(INDEX(INDIRECT($C89&amp;".Outputs["&amp;this.Year&amp;"]"), MATCH(BH$5, INDIRECT($C89&amp;".Outputs[Vector]"), 0)), 0)</f>
        <v>0</v>
      </c>
      <c r="BI89" s="678">
        <f ca="1">IFERROR(INDEX(INDIRECT($C89&amp;".Outputs["&amp;this.Year&amp;"]"), MATCH(BI$5, INDIRECT($C89&amp;".Outputs[Vector]"), 0)), 0)</f>
        <v>0</v>
      </c>
      <c r="BJ89" s="680">
        <f ca="1">SUM(BH89:BI89)</f>
        <v>0</v>
      </c>
      <c r="BK89" s="522"/>
      <c r="BL89" s="547">
        <f t="shared" ref="BL89:BL94" ca="1" si="222">Q89+AK89+BF89+BJ89</f>
        <v>0</v>
      </c>
      <c r="BM89" s="547"/>
      <c r="BO89" s="944">
        <f t="shared" ref="BO89:DF89" ca="1" si="223">IFERROR(SUMIFS(INDIRECT($C89&amp;".Emissions["&amp;this.Year&amp;"]"), INDIRECT($C89&amp;".Emissions[GHG]"), BO$6, INDIRECT($C89&amp;".Emissions[IPCC Sector]"), BO$5),0)</f>
        <v>0</v>
      </c>
      <c r="BP89" s="945">
        <f t="shared" ca="1" si="223"/>
        <v>0</v>
      </c>
      <c r="BQ89" s="945">
        <f t="shared" ca="1" si="223"/>
        <v>0</v>
      </c>
      <c r="BR89" s="945">
        <f t="shared" ca="1" si="223"/>
        <v>0</v>
      </c>
      <c r="BS89" s="945">
        <f t="shared" ca="1" si="223"/>
        <v>0</v>
      </c>
      <c r="BT89" s="945">
        <f t="shared" ca="1" si="223"/>
        <v>0</v>
      </c>
      <c r="BU89" s="945">
        <f t="shared" ca="1" si="223"/>
        <v>0</v>
      </c>
      <c r="BV89" s="945">
        <f t="shared" ca="1" si="223"/>
        <v>0</v>
      </c>
      <c r="BW89" s="945">
        <f t="shared" ca="1" si="223"/>
        <v>0</v>
      </c>
      <c r="BX89" s="945">
        <f t="shared" ca="1" si="223"/>
        <v>0</v>
      </c>
      <c r="BY89" s="945">
        <f t="shared" ca="1" si="223"/>
        <v>0</v>
      </c>
      <c r="BZ89" s="945">
        <f t="shared" ca="1" si="223"/>
        <v>0</v>
      </c>
      <c r="CA89" s="945">
        <f t="shared" ca="1" si="223"/>
        <v>0</v>
      </c>
      <c r="CB89" s="945">
        <f t="shared" ca="1" si="223"/>
        <v>0</v>
      </c>
      <c r="CC89" s="945">
        <f t="shared" ca="1" si="223"/>
        <v>0</v>
      </c>
      <c r="CD89" s="945">
        <f t="shared" ca="1" si="223"/>
        <v>0</v>
      </c>
      <c r="CE89" s="945">
        <f t="shared" ca="1" si="223"/>
        <v>0</v>
      </c>
      <c r="CF89" s="945">
        <f t="shared" ca="1" si="223"/>
        <v>0</v>
      </c>
      <c r="CG89" s="945">
        <f t="shared" ca="1" si="223"/>
        <v>0</v>
      </c>
      <c r="CH89" s="945">
        <f t="shared" ca="1" si="223"/>
        <v>0</v>
      </c>
      <c r="CI89" s="945">
        <f t="shared" ca="1" si="223"/>
        <v>0</v>
      </c>
      <c r="CJ89" s="945">
        <f t="shared" ca="1" si="223"/>
        <v>0</v>
      </c>
      <c r="CK89" s="945">
        <f t="shared" ca="1" si="223"/>
        <v>0</v>
      </c>
      <c r="CL89" s="945">
        <f t="shared" ca="1" si="223"/>
        <v>0</v>
      </c>
      <c r="CM89" s="945">
        <f t="shared" ca="1" si="223"/>
        <v>0</v>
      </c>
      <c r="CN89" s="945">
        <f t="shared" ca="1" si="223"/>
        <v>0</v>
      </c>
      <c r="CO89" s="945">
        <f t="shared" ca="1" si="223"/>
        <v>0</v>
      </c>
      <c r="CP89" s="945">
        <f t="shared" ca="1" si="223"/>
        <v>0</v>
      </c>
      <c r="CQ89" s="945">
        <f t="shared" ca="1" si="223"/>
        <v>0</v>
      </c>
      <c r="CR89" s="945">
        <f t="shared" ca="1" si="223"/>
        <v>0</v>
      </c>
      <c r="CS89" s="945">
        <f t="shared" ca="1" si="223"/>
        <v>0</v>
      </c>
      <c r="CT89" s="945">
        <f t="shared" ca="1" si="223"/>
        <v>0</v>
      </c>
      <c r="CU89" s="945">
        <f t="shared" ca="1" si="223"/>
        <v>0</v>
      </c>
      <c r="CV89" s="945">
        <f t="shared" ca="1" si="223"/>
        <v>0</v>
      </c>
      <c r="CW89" s="945">
        <f t="shared" ca="1" si="223"/>
        <v>0</v>
      </c>
      <c r="CX89" s="945">
        <f t="shared" ca="1" si="223"/>
        <v>0</v>
      </c>
      <c r="CY89" s="945">
        <f t="shared" ca="1" si="223"/>
        <v>0</v>
      </c>
      <c r="CZ89" s="945">
        <f t="shared" ca="1" si="223"/>
        <v>0</v>
      </c>
      <c r="DA89" s="945">
        <f t="shared" ca="1" si="223"/>
        <v>0</v>
      </c>
      <c r="DB89" s="945">
        <f t="shared" ca="1" si="223"/>
        <v>0</v>
      </c>
      <c r="DC89" s="945">
        <f t="shared" ca="1" si="223"/>
        <v>0</v>
      </c>
      <c r="DD89" s="945">
        <f t="shared" ca="1" si="223"/>
        <v>0</v>
      </c>
      <c r="DE89" s="945">
        <f t="shared" ca="1" si="223"/>
        <v>0</v>
      </c>
      <c r="DF89" s="945">
        <f t="shared" ca="1" si="223"/>
        <v>0</v>
      </c>
      <c r="DH89" s="553"/>
    </row>
    <row r="90" spans="1:112" s="951" customFormat="1" ht="12.75" customHeight="1" outlineLevel="1">
      <c r="C90" s="692" t="s">
        <v>1023</v>
      </c>
      <c r="D90" s="693" t="s">
        <v>964</v>
      </c>
      <c r="E90" s="693"/>
      <c r="F90" s="522"/>
      <c r="G90" s="708"/>
      <c r="H90" s="708"/>
      <c r="I90" s="708"/>
      <c r="J90" s="708"/>
      <c r="K90" s="709"/>
      <c r="L90" s="708"/>
      <c r="M90" s="708"/>
      <c r="N90" s="708"/>
      <c r="O90" s="708"/>
      <c r="P90" s="708"/>
      <c r="Q90" s="708"/>
      <c r="R90" s="522"/>
      <c r="S90" s="710">
        <f ca="1">S$40+$S46+S$51+S$99+S$55+S$89</f>
        <v>-31.008546529888466</v>
      </c>
      <c r="T90" s="710">
        <f ca="1">T$40+$S46+T$51+T$99+T$55+T$89</f>
        <v>0</v>
      </c>
      <c r="U90" s="710"/>
      <c r="V90" s="710"/>
      <c r="W90" s="710"/>
      <c r="X90" s="710"/>
      <c r="Y90" s="710"/>
      <c r="Z90" s="710"/>
      <c r="AA90" s="710"/>
      <c r="AB90" s="710"/>
      <c r="AC90" s="710"/>
      <c r="AD90" s="710"/>
      <c r="AE90" s="710"/>
      <c r="AF90" s="710"/>
      <c r="AG90" s="710"/>
      <c r="AH90" s="710"/>
      <c r="AI90" s="710"/>
      <c r="AJ90" s="710"/>
      <c r="AK90" s="710"/>
      <c r="AL90" s="522"/>
      <c r="AM90" s="711"/>
      <c r="AN90" s="711"/>
      <c r="AO90" s="711"/>
      <c r="AP90" s="711"/>
      <c r="AQ90" s="711"/>
      <c r="AR90" s="711"/>
      <c r="AS90" s="711"/>
      <c r="AT90" s="711"/>
      <c r="AU90" s="711"/>
      <c r="AV90" s="711"/>
      <c r="AW90" s="711"/>
      <c r="AX90" s="711"/>
      <c r="AY90" s="711"/>
      <c r="AZ90" s="711"/>
      <c r="BA90" s="711"/>
      <c r="BB90" s="711"/>
      <c r="BC90" s="711"/>
      <c r="BD90" s="711"/>
      <c r="BE90" s="711"/>
      <c r="BF90" s="711"/>
      <c r="BG90" s="522"/>
      <c r="BH90" s="712"/>
      <c r="BI90" s="712"/>
      <c r="BJ90" s="712"/>
      <c r="BK90" s="522"/>
      <c r="BL90" s="561">
        <f t="shared" si="222"/>
        <v>0</v>
      </c>
      <c r="BM90" s="561"/>
      <c r="BO90" s="953"/>
      <c r="BP90" s="953"/>
      <c r="BQ90" s="953"/>
      <c r="BR90" s="953"/>
      <c r="BS90" s="953"/>
      <c r="BT90" s="953"/>
      <c r="BU90" s="953"/>
      <c r="BV90" s="953"/>
      <c r="BW90" s="953"/>
      <c r="BX90" s="953"/>
      <c r="BY90" s="953"/>
      <c r="BZ90" s="953"/>
      <c r="CA90" s="953"/>
      <c r="CB90" s="953"/>
      <c r="CC90" s="953"/>
      <c r="CD90" s="953"/>
      <c r="CE90" s="953"/>
      <c r="CF90" s="953"/>
      <c r="CG90" s="953"/>
      <c r="CH90" s="953"/>
      <c r="CI90" s="953"/>
      <c r="CJ90" s="953"/>
      <c r="CK90" s="953"/>
      <c r="CL90" s="953"/>
      <c r="CM90" s="953"/>
      <c r="CN90" s="953"/>
      <c r="CO90" s="953"/>
      <c r="CP90" s="953"/>
      <c r="CQ90" s="953"/>
      <c r="CR90" s="953"/>
      <c r="CS90" s="953"/>
      <c r="CT90" s="953"/>
      <c r="CU90" s="953"/>
      <c r="CV90" s="953"/>
      <c r="CW90" s="953"/>
      <c r="CX90" s="953"/>
      <c r="CY90" s="953"/>
      <c r="CZ90" s="953"/>
      <c r="DA90" s="953"/>
      <c r="DB90" s="953"/>
      <c r="DC90" s="953"/>
      <c r="DD90" s="953"/>
      <c r="DE90" s="953"/>
      <c r="DF90" s="953"/>
      <c r="DH90" s="553"/>
    </row>
    <row r="91" spans="1:112" s="947" customFormat="1" outlineLevel="1">
      <c r="C91" s="504" t="s">
        <v>632</v>
      </c>
      <c r="D91" s="503" t="str">
        <f>INDEX(Modules[Module], MATCH($C91, Modules[Code], 0))</f>
        <v>Electricity grid distribution</v>
      </c>
      <c r="E91" s="503"/>
      <c r="F91" s="522"/>
      <c r="G91" s="663">
        <f t="shared" ref="G91:P92" ca="1" si="224">IFERROR(INDEX(INDIRECT($C91&amp;".Outputs["&amp;this.Year&amp;"]"), MATCH(G$5, INDIRECT($C91&amp;".Outputs[Vector]"), 0)), 0)</f>
        <v>0</v>
      </c>
      <c r="H91" s="663">
        <f t="shared" ca="1" si="224"/>
        <v>0</v>
      </c>
      <c r="I91" s="663">
        <f t="shared" ca="1" si="224"/>
        <v>0</v>
      </c>
      <c r="J91" s="663">
        <f t="shared" ca="1" si="224"/>
        <v>0</v>
      </c>
      <c r="K91" s="663">
        <f t="shared" ca="1" si="224"/>
        <v>0</v>
      </c>
      <c r="L91" s="663">
        <f t="shared" ca="1" si="224"/>
        <v>0</v>
      </c>
      <c r="M91" s="663">
        <f t="shared" ca="1" si="224"/>
        <v>0</v>
      </c>
      <c r="N91" s="663">
        <f t="shared" ca="1" si="224"/>
        <v>0</v>
      </c>
      <c r="O91" s="663">
        <f t="shared" ca="1" si="224"/>
        <v>0</v>
      </c>
      <c r="P91" s="663">
        <f t="shared" ca="1" si="224"/>
        <v>0</v>
      </c>
      <c r="Q91" s="665">
        <f ca="1">SUM(G91:P91)</f>
        <v>0</v>
      </c>
      <c r="R91" s="522"/>
      <c r="S91" s="672">
        <f t="shared" ref="S91:AJ92" ca="1" si="225">IFERROR(INDEX(INDIRECT($C91&amp;".Outputs["&amp;this.Year&amp;"]"), MATCH(S$5, INDIRECT($C91&amp;".Outputs[Vector]"), 0)), 0)</f>
        <v>0</v>
      </c>
      <c r="T91" s="672">
        <f t="shared" ca="1" si="225"/>
        <v>0</v>
      </c>
      <c r="U91" s="672">
        <f t="shared" ca="1" si="225"/>
        <v>0</v>
      </c>
      <c r="V91" s="672">
        <f t="shared" ca="1" si="225"/>
        <v>0</v>
      </c>
      <c r="W91" s="672">
        <f t="shared" ca="1" si="225"/>
        <v>0</v>
      </c>
      <c r="X91" s="672">
        <f t="shared" ref="X91:Z92" ca="1" si="226">IFERROR(INDEX(INDIRECT($C91&amp;".Outputs["&amp;this.Year&amp;"]"), MATCH(X$5, INDIRECT($C91&amp;".Outputs[Vector]"), 0)), 0)</f>
        <v>0</v>
      </c>
      <c r="Y91" s="672">
        <f t="shared" ca="1" si="226"/>
        <v>0</v>
      </c>
      <c r="Z91" s="672">
        <f t="shared" ca="1" si="226"/>
        <v>0</v>
      </c>
      <c r="AA91" s="672">
        <f t="shared" ca="1" si="225"/>
        <v>0</v>
      </c>
      <c r="AB91" s="672">
        <f t="shared" ca="1" si="225"/>
        <v>0</v>
      </c>
      <c r="AC91" s="672">
        <f t="shared" ca="1" si="225"/>
        <v>0</v>
      </c>
      <c r="AD91" s="672">
        <f t="shared" ca="1" si="225"/>
        <v>0</v>
      </c>
      <c r="AE91" s="672">
        <f t="shared" ca="1" si="225"/>
        <v>0</v>
      </c>
      <c r="AF91" s="672">
        <f t="shared" ca="1" si="225"/>
        <v>0</v>
      </c>
      <c r="AG91" s="672">
        <f t="shared" ca="1" si="225"/>
        <v>0</v>
      </c>
      <c r="AH91" s="672">
        <f t="shared" ca="1" si="225"/>
        <v>0</v>
      </c>
      <c r="AI91" s="672">
        <f t="shared" ca="1" si="225"/>
        <v>0</v>
      </c>
      <c r="AJ91" s="672">
        <f t="shared" ca="1" si="225"/>
        <v>0</v>
      </c>
      <c r="AK91" s="673">
        <f ca="1">SUM(S91:AJ91)</f>
        <v>0</v>
      </c>
      <c r="AL91" s="522"/>
      <c r="AM91" s="684">
        <f t="shared" ref="AM91:AU92" ca="1" si="227">IFERROR(INDEX(INDIRECT($C91&amp;".Outputs["&amp;this.Year&amp;"]"), MATCH(AM$5, INDIRECT($C91&amp;".Outputs[Vector]"), 0)), 0)</f>
        <v>0</v>
      </c>
      <c r="AN91" s="684">
        <f t="shared" ca="1" si="227"/>
        <v>0</v>
      </c>
      <c r="AO91" s="684">
        <f t="shared" ca="1" si="227"/>
        <v>0</v>
      </c>
      <c r="AP91" s="684">
        <f t="shared" ca="1" si="227"/>
        <v>0</v>
      </c>
      <c r="AQ91" s="684">
        <f t="shared" ca="1" si="227"/>
        <v>0</v>
      </c>
      <c r="AR91" s="684">
        <f t="shared" ca="1" si="227"/>
        <v>0</v>
      </c>
      <c r="AS91" s="684">
        <f t="shared" ca="1" si="227"/>
        <v>0</v>
      </c>
      <c r="AT91" s="684">
        <f t="shared" ca="1" si="227"/>
        <v>0</v>
      </c>
      <c r="AU91" s="684">
        <f t="shared" ca="1" si="227"/>
        <v>0</v>
      </c>
      <c r="AV91" s="684">
        <f t="shared" ref="AV91:BE92" ca="1" si="228">IFERROR(INDEX(INDIRECT($C91&amp;".Outputs["&amp;this.Year&amp;"]"), MATCH(AV$5, INDIRECT($C91&amp;".Outputs[Vector]"), 0)), 0)</f>
        <v>0</v>
      </c>
      <c r="AW91" s="684">
        <f t="shared" ca="1" si="228"/>
        <v>0</v>
      </c>
      <c r="AX91" s="684">
        <f t="shared" ca="1" si="228"/>
        <v>0</v>
      </c>
      <c r="AY91" s="684">
        <f t="shared" ca="1" si="228"/>
        <v>0</v>
      </c>
      <c r="AZ91" s="684">
        <f t="shared" ca="1" si="228"/>
        <v>0</v>
      </c>
      <c r="BA91" s="684">
        <f t="shared" ca="1" si="228"/>
        <v>0</v>
      </c>
      <c r="BB91" s="684">
        <f t="shared" ca="1" si="228"/>
        <v>0</v>
      </c>
      <c r="BC91" s="684">
        <f t="shared" ca="1" si="228"/>
        <v>0</v>
      </c>
      <c r="BD91" s="684">
        <f t="shared" ca="1" si="228"/>
        <v>0</v>
      </c>
      <c r="BE91" s="684">
        <f t="shared" ca="1" si="228"/>
        <v>0</v>
      </c>
      <c r="BF91" s="626">
        <f ca="1">SUM(AM91:BE91)</f>
        <v>0</v>
      </c>
      <c r="BG91" s="522"/>
      <c r="BH91" s="678">
        <f ca="1">IFERROR(INDEX(INDIRECT($C91&amp;".Outputs["&amp;this.Year&amp;"]"), MATCH(BH$5, INDIRECT($C91&amp;".Outputs[Vector]"), 0)), 0)</f>
        <v>0</v>
      </c>
      <c r="BI91" s="678">
        <f ca="1">IFERROR(INDEX(INDIRECT($C91&amp;".Outputs["&amp;this.Year&amp;"]"), MATCH(BI$5, INDIRECT($C91&amp;".Outputs[Vector]"), 0)), 0)</f>
        <v>0</v>
      </c>
      <c r="BJ91" s="680">
        <f ca="1">SUM(BH91:BI91)</f>
        <v>0</v>
      </c>
      <c r="BK91" s="522"/>
      <c r="BL91" s="561">
        <f t="shared" ca="1" si="222"/>
        <v>0</v>
      </c>
      <c r="BM91" s="547"/>
      <c r="BO91" s="944">
        <f t="shared" ref="BO91:BX92" ca="1" si="229">IFERROR(SUMIFS(INDIRECT($C91&amp;".Emissions["&amp;this.Year&amp;"]"), INDIRECT($C91&amp;".Emissions[GHG]"), BO$6, INDIRECT($C91&amp;".Emissions[IPCC Sector]"), BO$5),0)</f>
        <v>0</v>
      </c>
      <c r="BP91" s="945">
        <f t="shared" ca="1" si="229"/>
        <v>0</v>
      </c>
      <c r="BQ91" s="945">
        <f t="shared" ca="1" si="229"/>
        <v>0</v>
      </c>
      <c r="BR91" s="945">
        <f t="shared" ca="1" si="229"/>
        <v>0</v>
      </c>
      <c r="BS91" s="945">
        <f t="shared" ca="1" si="229"/>
        <v>0</v>
      </c>
      <c r="BT91" s="945">
        <f t="shared" ca="1" si="229"/>
        <v>0</v>
      </c>
      <c r="BU91" s="945">
        <f t="shared" ca="1" si="229"/>
        <v>0</v>
      </c>
      <c r="BV91" s="945">
        <f t="shared" ca="1" si="229"/>
        <v>0</v>
      </c>
      <c r="BW91" s="945">
        <f t="shared" ca="1" si="229"/>
        <v>0</v>
      </c>
      <c r="BX91" s="945">
        <f t="shared" ca="1" si="229"/>
        <v>0</v>
      </c>
      <c r="BY91" s="945">
        <f t="shared" ref="BY91:CH92" ca="1" si="230">IFERROR(SUMIFS(INDIRECT($C91&amp;".Emissions["&amp;this.Year&amp;"]"), INDIRECT($C91&amp;".Emissions[GHG]"), BY$6, INDIRECT($C91&amp;".Emissions[IPCC Sector]"), BY$5),0)</f>
        <v>0</v>
      </c>
      <c r="BZ91" s="945">
        <f t="shared" ca="1" si="230"/>
        <v>0</v>
      </c>
      <c r="CA91" s="945">
        <f t="shared" ca="1" si="230"/>
        <v>0</v>
      </c>
      <c r="CB91" s="945">
        <f t="shared" ca="1" si="230"/>
        <v>0</v>
      </c>
      <c r="CC91" s="945">
        <f t="shared" ca="1" si="230"/>
        <v>0</v>
      </c>
      <c r="CD91" s="945">
        <f t="shared" ca="1" si="230"/>
        <v>0</v>
      </c>
      <c r="CE91" s="945">
        <f t="shared" ca="1" si="230"/>
        <v>0</v>
      </c>
      <c r="CF91" s="945">
        <f t="shared" ca="1" si="230"/>
        <v>0</v>
      </c>
      <c r="CG91" s="945">
        <f t="shared" ca="1" si="230"/>
        <v>0</v>
      </c>
      <c r="CH91" s="945">
        <f t="shared" ca="1" si="230"/>
        <v>0</v>
      </c>
      <c r="CI91" s="945">
        <f t="shared" ref="CI91:CR92" ca="1" si="231">IFERROR(SUMIFS(INDIRECT($C91&amp;".Emissions["&amp;this.Year&amp;"]"), INDIRECT($C91&amp;".Emissions[GHG]"), CI$6, INDIRECT($C91&amp;".Emissions[IPCC Sector]"), CI$5),0)</f>
        <v>0</v>
      </c>
      <c r="CJ91" s="945">
        <f t="shared" ca="1" si="231"/>
        <v>0</v>
      </c>
      <c r="CK91" s="945">
        <f t="shared" ca="1" si="231"/>
        <v>0</v>
      </c>
      <c r="CL91" s="945">
        <f t="shared" ca="1" si="231"/>
        <v>0</v>
      </c>
      <c r="CM91" s="945">
        <f t="shared" ca="1" si="231"/>
        <v>0</v>
      </c>
      <c r="CN91" s="945">
        <f t="shared" ca="1" si="231"/>
        <v>0</v>
      </c>
      <c r="CO91" s="945">
        <f t="shared" ca="1" si="231"/>
        <v>0</v>
      </c>
      <c r="CP91" s="945">
        <f t="shared" ca="1" si="231"/>
        <v>0</v>
      </c>
      <c r="CQ91" s="945">
        <f t="shared" ca="1" si="231"/>
        <v>0</v>
      </c>
      <c r="CR91" s="945">
        <f t="shared" ca="1" si="231"/>
        <v>0</v>
      </c>
      <c r="CS91" s="945">
        <f t="shared" ref="CS91:DF92" ca="1" si="232">IFERROR(SUMIFS(INDIRECT($C91&amp;".Emissions["&amp;this.Year&amp;"]"), INDIRECT($C91&amp;".Emissions[GHG]"), CS$6, INDIRECT($C91&amp;".Emissions[IPCC Sector]"), CS$5),0)</f>
        <v>0</v>
      </c>
      <c r="CT91" s="945">
        <f t="shared" ca="1" si="232"/>
        <v>0</v>
      </c>
      <c r="CU91" s="945">
        <f t="shared" ca="1" si="232"/>
        <v>0</v>
      </c>
      <c r="CV91" s="945">
        <f t="shared" ca="1" si="232"/>
        <v>0</v>
      </c>
      <c r="CW91" s="945">
        <f t="shared" ca="1" si="232"/>
        <v>0</v>
      </c>
      <c r="CX91" s="945">
        <f t="shared" ca="1" si="232"/>
        <v>0</v>
      </c>
      <c r="CY91" s="945">
        <f t="shared" ca="1" si="232"/>
        <v>0</v>
      </c>
      <c r="CZ91" s="945">
        <f t="shared" ca="1" si="232"/>
        <v>0</v>
      </c>
      <c r="DA91" s="945">
        <f t="shared" ca="1" si="232"/>
        <v>0</v>
      </c>
      <c r="DB91" s="945">
        <f t="shared" ca="1" si="232"/>
        <v>0</v>
      </c>
      <c r="DC91" s="945">
        <f t="shared" ca="1" si="232"/>
        <v>0</v>
      </c>
      <c r="DD91" s="945">
        <f t="shared" ca="1" si="232"/>
        <v>0</v>
      </c>
      <c r="DE91" s="945">
        <f t="shared" ca="1" si="232"/>
        <v>0</v>
      </c>
      <c r="DF91" s="945">
        <f t="shared" ca="1" si="232"/>
        <v>0</v>
      </c>
      <c r="DH91" s="553"/>
    </row>
    <row r="92" spans="1:112" s="947" customFormat="1" outlineLevel="1">
      <c r="C92" s="504" t="s">
        <v>634</v>
      </c>
      <c r="D92" s="656" t="str">
        <f>INDEX(Modules[Module], MATCH($C92, Modules[Code], 0))</f>
        <v>Storage, demand shifting, interconnection</v>
      </c>
      <c r="E92" s="656"/>
      <c r="F92" s="522"/>
      <c r="G92" s="668">
        <f t="shared" ca="1" si="224"/>
        <v>0</v>
      </c>
      <c r="H92" s="668">
        <f t="shared" ca="1" si="224"/>
        <v>0</v>
      </c>
      <c r="I92" s="668">
        <f t="shared" ca="1" si="224"/>
        <v>0</v>
      </c>
      <c r="J92" s="668">
        <f t="shared" ca="1" si="224"/>
        <v>0</v>
      </c>
      <c r="K92" s="668">
        <f t="shared" ca="1" si="224"/>
        <v>0</v>
      </c>
      <c r="L92" s="668">
        <f t="shared" ca="1" si="224"/>
        <v>0</v>
      </c>
      <c r="M92" s="668">
        <f t="shared" ca="1" si="224"/>
        <v>0</v>
      </c>
      <c r="N92" s="668">
        <f t="shared" ca="1" si="224"/>
        <v>0</v>
      </c>
      <c r="O92" s="668">
        <f t="shared" ca="1" si="224"/>
        <v>0</v>
      </c>
      <c r="P92" s="668">
        <f t="shared" ca="1" si="224"/>
        <v>0</v>
      </c>
      <c r="Q92" s="666">
        <f ca="1">SUM(G92:P92)</f>
        <v>0</v>
      </c>
      <c r="R92" s="522"/>
      <c r="S92" s="677">
        <f t="shared" ca="1" si="225"/>
        <v>0</v>
      </c>
      <c r="T92" s="677">
        <f t="shared" ca="1" si="225"/>
        <v>0</v>
      </c>
      <c r="U92" s="677">
        <f t="shared" ca="1" si="225"/>
        <v>0</v>
      </c>
      <c r="V92" s="677">
        <f t="shared" ca="1" si="225"/>
        <v>0</v>
      </c>
      <c r="W92" s="677">
        <f t="shared" ca="1" si="225"/>
        <v>0</v>
      </c>
      <c r="X92" s="677">
        <f t="shared" ca="1" si="226"/>
        <v>0</v>
      </c>
      <c r="Y92" s="677">
        <f t="shared" ca="1" si="226"/>
        <v>0</v>
      </c>
      <c r="Z92" s="677">
        <f t="shared" ca="1" si="226"/>
        <v>0</v>
      </c>
      <c r="AA92" s="677">
        <f t="shared" ca="1" si="225"/>
        <v>0</v>
      </c>
      <c r="AB92" s="677">
        <f t="shared" ca="1" si="225"/>
        <v>0</v>
      </c>
      <c r="AC92" s="677">
        <f t="shared" ca="1" si="225"/>
        <v>0</v>
      </c>
      <c r="AD92" s="677">
        <f t="shared" ca="1" si="225"/>
        <v>0</v>
      </c>
      <c r="AE92" s="677">
        <f t="shared" ca="1" si="225"/>
        <v>0</v>
      </c>
      <c r="AF92" s="677">
        <f t="shared" ca="1" si="225"/>
        <v>0</v>
      </c>
      <c r="AG92" s="677">
        <f t="shared" ca="1" si="225"/>
        <v>0</v>
      </c>
      <c r="AH92" s="677">
        <f t="shared" ca="1" si="225"/>
        <v>0</v>
      </c>
      <c r="AI92" s="677">
        <f t="shared" ca="1" si="225"/>
        <v>0</v>
      </c>
      <c r="AJ92" s="677">
        <f t="shared" ca="1" si="225"/>
        <v>0</v>
      </c>
      <c r="AK92" s="676">
        <f ca="1">SUM(S92:AJ92)</f>
        <v>0</v>
      </c>
      <c r="AL92" s="522"/>
      <c r="AM92" s="688">
        <f t="shared" ca="1" si="227"/>
        <v>0</v>
      </c>
      <c r="AN92" s="688">
        <f t="shared" ca="1" si="227"/>
        <v>0</v>
      </c>
      <c r="AO92" s="688">
        <f t="shared" ca="1" si="227"/>
        <v>0</v>
      </c>
      <c r="AP92" s="688">
        <f t="shared" ca="1" si="227"/>
        <v>0</v>
      </c>
      <c r="AQ92" s="688">
        <f t="shared" ca="1" si="227"/>
        <v>0</v>
      </c>
      <c r="AR92" s="688">
        <f t="shared" ca="1" si="227"/>
        <v>0</v>
      </c>
      <c r="AS92" s="688">
        <f t="shared" ca="1" si="227"/>
        <v>0</v>
      </c>
      <c r="AT92" s="688">
        <f t="shared" ca="1" si="227"/>
        <v>0</v>
      </c>
      <c r="AU92" s="688">
        <f t="shared" ca="1" si="227"/>
        <v>0</v>
      </c>
      <c r="AV92" s="688">
        <f t="shared" ca="1" si="228"/>
        <v>0</v>
      </c>
      <c r="AW92" s="688">
        <f t="shared" ca="1" si="228"/>
        <v>0</v>
      </c>
      <c r="AX92" s="688">
        <f t="shared" ca="1" si="228"/>
        <v>0</v>
      </c>
      <c r="AY92" s="688">
        <f t="shared" ca="1" si="228"/>
        <v>0</v>
      </c>
      <c r="AZ92" s="688">
        <f t="shared" ca="1" si="228"/>
        <v>0</v>
      </c>
      <c r="BA92" s="688">
        <f t="shared" ca="1" si="228"/>
        <v>0</v>
      </c>
      <c r="BB92" s="688">
        <f t="shared" ca="1" si="228"/>
        <v>0</v>
      </c>
      <c r="BC92" s="688">
        <f t="shared" ca="1" si="228"/>
        <v>0</v>
      </c>
      <c r="BD92" s="688">
        <f t="shared" ca="1" si="228"/>
        <v>0</v>
      </c>
      <c r="BE92" s="688">
        <f t="shared" ca="1" si="228"/>
        <v>0</v>
      </c>
      <c r="BF92" s="658">
        <f ca="1">SUM(AM92:BE92)</f>
        <v>0</v>
      </c>
      <c r="BG92" s="522"/>
      <c r="BH92" s="682">
        <f ca="1">IFERROR(INDEX(INDIRECT($C92&amp;".Outputs["&amp;this.Year&amp;"]"), MATCH(BH$5, INDIRECT($C92&amp;".Outputs[Vector]"), 0)), 0)</f>
        <v>0</v>
      </c>
      <c r="BI92" s="682">
        <f ca="1">IFERROR(INDEX(INDIRECT($C92&amp;".Outputs["&amp;this.Year&amp;"]"), MATCH(BI$5, INDIRECT($C92&amp;".Outputs[Vector]"), 0)), 0)</f>
        <v>0</v>
      </c>
      <c r="BJ92" s="681">
        <f ca="1">SUM(BH92:BI92)</f>
        <v>0</v>
      </c>
      <c r="BK92" s="522"/>
      <c r="BL92" s="561">
        <f t="shared" ca="1" si="222"/>
        <v>0</v>
      </c>
      <c r="BM92" s="547"/>
      <c r="BO92" s="948">
        <f t="shared" ca="1" si="229"/>
        <v>0</v>
      </c>
      <c r="BP92" s="949">
        <f t="shared" ca="1" si="229"/>
        <v>0</v>
      </c>
      <c r="BQ92" s="949">
        <f t="shared" ca="1" si="229"/>
        <v>0</v>
      </c>
      <c r="BR92" s="949">
        <f t="shared" ca="1" si="229"/>
        <v>0</v>
      </c>
      <c r="BS92" s="949">
        <f t="shared" ca="1" si="229"/>
        <v>0</v>
      </c>
      <c r="BT92" s="949">
        <f t="shared" ca="1" si="229"/>
        <v>0</v>
      </c>
      <c r="BU92" s="949">
        <f t="shared" ca="1" si="229"/>
        <v>0</v>
      </c>
      <c r="BV92" s="949">
        <f t="shared" ca="1" si="229"/>
        <v>0</v>
      </c>
      <c r="BW92" s="949">
        <f t="shared" ca="1" si="229"/>
        <v>0</v>
      </c>
      <c r="BX92" s="949">
        <f t="shared" ca="1" si="229"/>
        <v>0</v>
      </c>
      <c r="BY92" s="949">
        <f t="shared" ca="1" si="230"/>
        <v>0</v>
      </c>
      <c r="BZ92" s="949">
        <f t="shared" ca="1" si="230"/>
        <v>0</v>
      </c>
      <c r="CA92" s="949">
        <f t="shared" ca="1" si="230"/>
        <v>0</v>
      </c>
      <c r="CB92" s="949">
        <f t="shared" ca="1" si="230"/>
        <v>0</v>
      </c>
      <c r="CC92" s="949">
        <f t="shared" ca="1" si="230"/>
        <v>0</v>
      </c>
      <c r="CD92" s="949">
        <f t="shared" ca="1" si="230"/>
        <v>0</v>
      </c>
      <c r="CE92" s="949">
        <f t="shared" ca="1" si="230"/>
        <v>0</v>
      </c>
      <c r="CF92" s="949">
        <f t="shared" ca="1" si="230"/>
        <v>0</v>
      </c>
      <c r="CG92" s="949">
        <f t="shared" ca="1" si="230"/>
        <v>0</v>
      </c>
      <c r="CH92" s="949">
        <f t="shared" ca="1" si="230"/>
        <v>0</v>
      </c>
      <c r="CI92" s="949">
        <f t="shared" ca="1" si="231"/>
        <v>0</v>
      </c>
      <c r="CJ92" s="949">
        <f t="shared" ca="1" si="231"/>
        <v>0</v>
      </c>
      <c r="CK92" s="949">
        <f t="shared" ca="1" si="231"/>
        <v>0</v>
      </c>
      <c r="CL92" s="949">
        <f t="shared" ca="1" si="231"/>
        <v>0</v>
      </c>
      <c r="CM92" s="949">
        <f t="shared" ca="1" si="231"/>
        <v>0</v>
      </c>
      <c r="CN92" s="949">
        <f t="shared" ca="1" si="231"/>
        <v>0</v>
      </c>
      <c r="CO92" s="949">
        <f t="shared" ca="1" si="231"/>
        <v>0</v>
      </c>
      <c r="CP92" s="949">
        <f t="shared" ca="1" si="231"/>
        <v>0</v>
      </c>
      <c r="CQ92" s="949">
        <f t="shared" ca="1" si="231"/>
        <v>0</v>
      </c>
      <c r="CR92" s="949">
        <f t="shared" ca="1" si="231"/>
        <v>0</v>
      </c>
      <c r="CS92" s="949">
        <f t="shared" ca="1" si="232"/>
        <v>0</v>
      </c>
      <c r="CT92" s="949">
        <f t="shared" ca="1" si="232"/>
        <v>0</v>
      </c>
      <c r="CU92" s="949">
        <f t="shared" ca="1" si="232"/>
        <v>0</v>
      </c>
      <c r="CV92" s="949">
        <f t="shared" ca="1" si="232"/>
        <v>0</v>
      </c>
      <c r="CW92" s="949">
        <f t="shared" ca="1" si="232"/>
        <v>0</v>
      </c>
      <c r="CX92" s="949">
        <f t="shared" ca="1" si="232"/>
        <v>0</v>
      </c>
      <c r="CY92" s="949">
        <f t="shared" ca="1" si="232"/>
        <v>0</v>
      </c>
      <c r="CZ92" s="949">
        <f t="shared" ca="1" si="232"/>
        <v>0</v>
      </c>
      <c r="DA92" s="949">
        <f t="shared" ca="1" si="232"/>
        <v>0</v>
      </c>
      <c r="DB92" s="949">
        <f t="shared" ca="1" si="232"/>
        <v>0</v>
      </c>
      <c r="DC92" s="949">
        <f t="shared" ca="1" si="232"/>
        <v>0</v>
      </c>
      <c r="DD92" s="949">
        <f t="shared" ca="1" si="232"/>
        <v>0</v>
      </c>
      <c r="DE92" s="949">
        <f t="shared" ca="1" si="232"/>
        <v>0</v>
      </c>
      <c r="DF92" s="949">
        <f t="shared" ca="1" si="232"/>
        <v>0</v>
      </c>
      <c r="DH92" s="553"/>
    </row>
    <row r="93" spans="1:112" s="16" customFormat="1" ht="12.75" customHeight="1">
      <c r="B93" s="527"/>
      <c r="C93" s="523" t="s">
        <v>564</v>
      </c>
      <c r="D93" s="499" t="str">
        <f>INDEX(Workstreams[Workstream], MATCH($C93, Workstreams[Code], 0))</f>
        <v>Electricity distribution, storage &amp; balancing</v>
      </c>
      <c r="E93" s="495"/>
      <c r="F93" s="522"/>
      <c r="G93" s="605">
        <f t="shared" ref="G93:P93" ca="1" si="233">G$89+G$91+G$92</f>
        <v>0</v>
      </c>
      <c r="H93" s="605">
        <f t="shared" ca="1" si="233"/>
        <v>0</v>
      </c>
      <c r="I93" s="605">
        <f t="shared" ca="1" si="233"/>
        <v>0</v>
      </c>
      <c r="J93" s="605">
        <f t="shared" ca="1" si="233"/>
        <v>0</v>
      </c>
      <c r="K93" s="607">
        <f t="shared" ca="1" si="233"/>
        <v>0</v>
      </c>
      <c r="L93" s="605">
        <f t="shared" ca="1" si="233"/>
        <v>0</v>
      </c>
      <c r="M93" s="605">
        <f t="shared" ca="1" si="233"/>
        <v>0</v>
      </c>
      <c r="N93" s="605">
        <f t="shared" ca="1" si="233"/>
        <v>0</v>
      </c>
      <c r="O93" s="605">
        <f t="shared" ca="1" si="233"/>
        <v>0</v>
      </c>
      <c r="P93" s="605">
        <f t="shared" ca="1" si="233"/>
        <v>0</v>
      </c>
      <c r="Q93" s="667">
        <f ca="1">SUM(G93:P93)</f>
        <v>0</v>
      </c>
      <c r="R93" s="522"/>
      <c r="S93" s="617">
        <f t="shared" ref="S93:AJ93" ca="1" si="234">S$89+S$91+S$92</f>
        <v>0</v>
      </c>
      <c r="T93" s="617">
        <f t="shared" ca="1" si="234"/>
        <v>0</v>
      </c>
      <c r="U93" s="617">
        <f t="shared" ca="1" si="234"/>
        <v>0</v>
      </c>
      <c r="V93" s="617">
        <f t="shared" ca="1" si="234"/>
        <v>0</v>
      </c>
      <c r="W93" s="617">
        <f t="shared" ca="1" si="234"/>
        <v>0</v>
      </c>
      <c r="X93" s="617">
        <f ca="1">X$89+X$91+X$92</f>
        <v>0</v>
      </c>
      <c r="Y93" s="617">
        <f ca="1">Y$89+Y$91+Y$92</f>
        <v>0</v>
      </c>
      <c r="Z93" s="617">
        <f ca="1">Z$89+Z$91+Z$92</f>
        <v>0</v>
      </c>
      <c r="AA93" s="617">
        <f t="shared" ca="1" si="234"/>
        <v>0</v>
      </c>
      <c r="AB93" s="617">
        <f t="shared" ca="1" si="234"/>
        <v>0</v>
      </c>
      <c r="AC93" s="617">
        <f t="shared" ca="1" si="234"/>
        <v>0</v>
      </c>
      <c r="AD93" s="617">
        <f t="shared" ca="1" si="234"/>
        <v>0</v>
      </c>
      <c r="AE93" s="617">
        <f t="shared" ca="1" si="234"/>
        <v>0</v>
      </c>
      <c r="AF93" s="617">
        <f t="shared" ca="1" si="234"/>
        <v>0</v>
      </c>
      <c r="AG93" s="617">
        <f t="shared" ca="1" si="234"/>
        <v>0</v>
      </c>
      <c r="AH93" s="617">
        <f t="shared" ca="1" si="234"/>
        <v>0</v>
      </c>
      <c r="AI93" s="617">
        <f t="shared" ca="1" si="234"/>
        <v>0</v>
      </c>
      <c r="AJ93" s="617">
        <f t="shared" ca="1" si="234"/>
        <v>0</v>
      </c>
      <c r="AK93" s="617">
        <f ca="1">SUM(S93:AJ93)</f>
        <v>0</v>
      </c>
      <c r="AL93" s="522"/>
      <c r="AM93" s="623">
        <f t="shared" ref="AM93:AU93" ca="1" si="235">AM$89+AM$91+AM$92</f>
        <v>0</v>
      </c>
      <c r="AN93" s="623">
        <f t="shared" ca="1" si="235"/>
        <v>0</v>
      </c>
      <c r="AO93" s="623">
        <f t="shared" ca="1" si="235"/>
        <v>0</v>
      </c>
      <c r="AP93" s="623">
        <f t="shared" ca="1" si="235"/>
        <v>0</v>
      </c>
      <c r="AQ93" s="623">
        <f t="shared" ca="1" si="235"/>
        <v>0</v>
      </c>
      <c r="AR93" s="623">
        <f t="shared" ca="1" si="235"/>
        <v>0</v>
      </c>
      <c r="AS93" s="623">
        <f t="shared" ca="1" si="235"/>
        <v>0</v>
      </c>
      <c r="AT93" s="623">
        <f t="shared" ca="1" si="235"/>
        <v>0</v>
      </c>
      <c r="AU93" s="623">
        <f t="shared" ca="1" si="235"/>
        <v>0</v>
      </c>
      <c r="AV93" s="623">
        <f t="shared" ref="AV93:BE93" ca="1" si="236">AV$89+AV$91+AV$92</f>
        <v>0</v>
      </c>
      <c r="AW93" s="623">
        <f t="shared" ca="1" si="236"/>
        <v>0</v>
      </c>
      <c r="AX93" s="623">
        <f t="shared" ca="1" si="236"/>
        <v>0</v>
      </c>
      <c r="AY93" s="623">
        <f t="shared" ca="1" si="236"/>
        <v>0</v>
      </c>
      <c r="AZ93" s="623">
        <f t="shared" ca="1" si="236"/>
        <v>0</v>
      </c>
      <c r="BA93" s="623">
        <f t="shared" ca="1" si="236"/>
        <v>0</v>
      </c>
      <c r="BB93" s="623">
        <f t="shared" ca="1" si="236"/>
        <v>0</v>
      </c>
      <c r="BC93" s="623">
        <f t="shared" ca="1" si="236"/>
        <v>0</v>
      </c>
      <c r="BD93" s="623">
        <f t="shared" ca="1" si="236"/>
        <v>0</v>
      </c>
      <c r="BE93" s="623">
        <f t="shared" ca="1" si="236"/>
        <v>0</v>
      </c>
      <c r="BF93" s="623">
        <f ca="1">SUM(AM93:BE93)</f>
        <v>0</v>
      </c>
      <c r="BG93" s="522"/>
      <c r="BH93" s="637">
        <f ca="1">BH$89+BH$91+BH$92</f>
        <v>0</v>
      </c>
      <c r="BI93" s="637">
        <f ca="1">BI$89+BI$91+BI$92</f>
        <v>0</v>
      </c>
      <c r="BJ93" s="637">
        <f ca="1">SUM(BH93:BI93)</f>
        <v>0</v>
      </c>
      <c r="BK93" s="522"/>
      <c r="BL93" s="497">
        <f t="shared" ca="1" si="222"/>
        <v>0</v>
      </c>
      <c r="BM93" s="497"/>
      <c r="BN93" s="555"/>
      <c r="BO93" s="945">
        <f t="shared" ref="BO93:DF93" ca="1" si="237">BO$89+BO$91+BO$92</f>
        <v>0</v>
      </c>
      <c r="BP93" s="945">
        <f t="shared" ca="1" si="237"/>
        <v>0</v>
      </c>
      <c r="BQ93" s="945">
        <f t="shared" ca="1" si="237"/>
        <v>0</v>
      </c>
      <c r="BR93" s="945">
        <f t="shared" ca="1" si="237"/>
        <v>0</v>
      </c>
      <c r="BS93" s="945">
        <f t="shared" ca="1" si="237"/>
        <v>0</v>
      </c>
      <c r="BT93" s="945">
        <f t="shared" ca="1" si="237"/>
        <v>0</v>
      </c>
      <c r="BU93" s="945">
        <f t="shared" ca="1" si="237"/>
        <v>0</v>
      </c>
      <c r="BV93" s="945">
        <f t="shared" ca="1" si="237"/>
        <v>0</v>
      </c>
      <c r="BW93" s="945">
        <f t="shared" ca="1" si="237"/>
        <v>0</v>
      </c>
      <c r="BX93" s="945">
        <f t="shared" ca="1" si="237"/>
        <v>0</v>
      </c>
      <c r="BY93" s="945">
        <f t="shared" ca="1" si="237"/>
        <v>0</v>
      </c>
      <c r="BZ93" s="945">
        <f t="shared" ca="1" si="237"/>
        <v>0</v>
      </c>
      <c r="CA93" s="945">
        <f t="shared" ca="1" si="237"/>
        <v>0</v>
      </c>
      <c r="CB93" s="945">
        <f t="shared" ca="1" si="237"/>
        <v>0</v>
      </c>
      <c r="CC93" s="945">
        <f t="shared" ca="1" si="237"/>
        <v>0</v>
      </c>
      <c r="CD93" s="945">
        <f t="shared" ca="1" si="237"/>
        <v>0</v>
      </c>
      <c r="CE93" s="945">
        <f t="shared" ca="1" si="237"/>
        <v>0</v>
      </c>
      <c r="CF93" s="945">
        <f t="shared" ca="1" si="237"/>
        <v>0</v>
      </c>
      <c r="CG93" s="945">
        <f t="shared" ca="1" si="237"/>
        <v>0</v>
      </c>
      <c r="CH93" s="945">
        <f t="shared" ca="1" si="237"/>
        <v>0</v>
      </c>
      <c r="CI93" s="945">
        <f t="shared" ca="1" si="237"/>
        <v>0</v>
      </c>
      <c r="CJ93" s="945">
        <f t="shared" ca="1" si="237"/>
        <v>0</v>
      </c>
      <c r="CK93" s="945">
        <f t="shared" ca="1" si="237"/>
        <v>0</v>
      </c>
      <c r="CL93" s="945">
        <f t="shared" ca="1" si="237"/>
        <v>0</v>
      </c>
      <c r="CM93" s="945">
        <f t="shared" ca="1" si="237"/>
        <v>0</v>
      </c>
      <c r="CN93" s="945">
        <f t="shared" ca="1" si="237"/>
        <v>0</v>
      </c>
      <c r="CO93" s="945">
        <f t="shared" ca="1" si="237"/>
        <v>0</v>
      </c>
      <c r="CP93" s="945">
        <f t="shared" ca="1" si="237"/>
        <v>0</v>
      </c>
      <c r="CQ93" s="945">
        <f t="shared" ca="1" si="237"/>
        <v>0</v>
      </c>
      <c r="CR93" s="945">
        <f t="shared" ca="1" si="237"/>
        <v>0</v>
      </c>
      <c r="CS93" s="945">
        <f t="shared" ca="1" si="237"/>
        <v>0</v>
      </c>
      <c r="CT93" s="945">
        <f t="shared" ca="1" si="237"/>
        <v>0</v>
      </c>
      <c r="CU93" s="945">
        <f t="shared" ca="1" si="237"/>
        <v>0</v>
      </c>
      <c r="CV93" s="945">
        <f t="shared" ca="1" si="237"/>
        <v>0</v>
      </c>
      <c r="CW93" s="945">
        <f t="shared" ca="1" si="237"/>
        <v>0</v>
      </c>
      <c r="CX93" s="945">
        <f t="shared" ca="1" si="237"/>
        <v>0</v>
      </c>
      <c r="CY93" s="945">
        <f t="shared" ca="1" si="237"/>
        <v>0</v>
      </c>
      <c r="CZ93" s="945">
        <f t="shared" ca="1" si="237"/>
        <v>0</v>
      </c>
      <c r="DA93" s="945">
        <f t="shared" ca="1" si="237"/>
        <v>0</v>
      </c>
      <c r="DB93" s="945">
        <f t="shared" ca="1" si="237"/>
        <v>0</v>
      </c>
      <c r="DC93" s="945">
        <f t="shared" ca="1" si="237"/>
        <v>0</v>
      </c>
      <c r="DD93" s="945">
        <f t="shared" ca="1" si="237"/>
        <v>0</v>
      </c>
      <c r="DE93" s="945">
        <f t="shared" ca="1" si="237"/>
        <v>0</v>
      </c>
      <c r="DF93" s="945">
        <f t="shared" ca="1" si="237"/>
        <v>0</v>
      </c>
      <c r="DH93" s="553">
        <f t="shared" ref="DH93:DH104" ca="1" si="238">SUM(BO93:DF93)</f>
        <v>0</v>
      </c>
    </row>
    <row r="94" spans="1:112" s="522" customFormat="1" ht="12.75" customHeight="1" outlineLevel="1">
      <c r="A94" s="16"/>
      <c r="B94" s="16"/>
      <c r="C94" s="525"/>
      <c r="D94" s="495"/>
      <c r="E94" s="495"/>
      <c r="G94" s="605"/>
      <c r="H94" s="605"/>
      <c r="I94" s="605"/>
      <c r="J94" s="605"/>
      <c r="K94" s="607"/>
      <c r="L94" s="605"/>
      <c r="M94" s="605"/>
      <c r="N94" s="605"/>
      <c r="O94" s="605"/>
      <c r="P94" s="605"/>
      <c r="Q94" s="605"/>
      <c r="S94" s="617"/>
      <c r="T94" s="617"/>
      <c r="U94" s="617"/>
      <c r="V94" s="617"/>
      <c r="W94" s="617"/>
      <c r="X94" s="617"/>
      <c r="Y94" s="617"/>
      <c r="Z94" s="617"/>
      <c r="AA94" s="617"/>
      <c r="AB94" s="617"/>
      <c r="AC94" s="617"/>
      <c r="AD94" s="617"/>
      <c r="AE94" s="617"/>
      <c r="AF94" s="617"/>
      <c r="AG94" s="617"/>
      <c r="AH94" s="617"/>
      <c r="AI94" s="617"/>
      <c r="AJ94" s="617"/>
      <c r="AK94" s="617"/>
      <c r="AM94" s="623"/>
      <c r="AN94" s="623"/>
      <c r="AO94" s="623"/>
      <c r="AP94" s="623"/>
      <c r="AQ94" s="623"/>
      <c r="AR94" s="623"/>
      <c r="AS94" s="623"/>
      <c r="AT94" s="623"/>
      <c r="AU94" s="623"/>
      <c r="AV94" s="623"/>
      <c r="AW94" s="623"/>
      <c r="AX94" s="623"/>
      <c r="AY94" s="623"/>
      <c r="AZ94" s="623"/>
      <c r="BA94" s="623"/>
      <c r="BB94" s="623"/>
      <c r="BC94" s="623"/>
      <c r="BD94" s="623"/>
      <c r="BE94" s="623"/>
      <c r="BF94" s="623"/>
      <c r="BH94" s="637"/>
      <c r="BI94" s="637"/>
      <c r="BJ94" s="637"/>
      <c r="BL94" s="497">
        <f t="shared" si="222"/>
        <v>0</v>
      </c>
      <c r="BM94" s="497"/>
      <c r="BN94" s="555"/>
      <c r="BO94" s="945"/>
      <c r="BP94" s="945"/>
      <c r="BQ94" s="945"/>
      <c r="BR94" s="945"/>
      <c r="BS94" s="945"/>
      <c r="BT94" s="945"/>
      <c r="BU94" s="945"/>
      <c r="BV94" s="945"/>
      <c r="BW94" s="945"/>
      <c r="BX94" s="945"/>
      <c r="BY94" s="945"/>
      <c r="BZ94" s="945"/>
      <c r="CA94" s="945"/>
      <c r="CB94" s="945"/>
      <c r="CC94" s="945"/>
      <c r="CD94" s="945"/>
      <c r="CE94" s="945"/>
      <c r="CF94" s="945"/>
      <c r="CG94" s="945"/>
      <c r="CH94" s="945"/>
      <c r="CI94" s="945"/>
      <c r="CJ94" s="945"/>
      <c r="CK94" s="945"/>
      <c r="CL94" s="945"/>
      <c r="CM94" s="945"/>
      <c r="CN94" s="945"/>
      <c r="CO94" s="945"/>
      <c r="CP94" s="945"/>
      <c r="CQ94" s="945"/>
      <c r="CR94" s="945"/>
      <c r="CS94" s="945"/>
      <c r="CT94" s="945"/>
      <c r="CU94" s="945"/>
      <c r="CV94" s="945"/>
      <c r="CW94" s="945"/>
      <c r="CX94" s="945"/>
      <c r="CY94" s="945"/>
      <c r="CZ94" s="945"/>
      <c r="DA94" s="945"/>
      <c r="DB94" s="945"/>
      <c r="DC94" s="945"/>
      <c r="DD94" s="945"/>
      <c r="DE94" s="945"/>
      <c r="DF94" s="945"/>
      <c r="DH94" s="553">
        <f t="shared" si="238"/>
        <v>0</v>
      </c>
    </row>
    <row r="95" spans="1:112" s="954" customFormat="1" ht="12.75" customHeight="1" outlineLevel="1">
      <c r="C95" s="963" t="s">
        <v>1024</v>
      </c>
      <c r="D95" s="964" t="s">
        <v>1010</v>
      </c>
      <c r="E95" s="964"/>
      <c r="G95" s="708"/>
      <c r="H95" s="708"/>
      <c r="I95" s="708"/>
      <c r="J95" s="708"/>
      <c r="K95" s="709"/>
      <c r="L95" s="708"/>
      <c r="M95" s="708"/>
      <c r="N95" s="708"/>
      <c r="O95" s="708"/>
      <c r="P95" s="708"/>
      <c r="Q95" s="708"/>
      <c r="S95" s="710"/>
      <c r="T95" s="710"/>
      <c r="U95" s="710">
        <f ca="1">(U$40+U$84+U$93)</f>
        <v>-14.256803002247571</v>
      </c>
      <c r="V95" s="710">
        <f ca="1">(V$40+V$84+V$93)</f>
        <v>-12.787029496861225</v>
      </c>
      <c r="W95" s="710">
        <f ca="1">(W$40+W$84+W$93)</f>
        <v>-324.47780687796825</v>
      </c>
      <c r="X95" s="710"/>
      <c r="Y95" s="710"/>
      <c r="Z95" s="710"/>
      <c r="AA95" s="710"/>
      <c r="AB95" s="710"/>
      <c r="AC95" s="710">
        <f t="shared" ref="AC95:AH95" ca="1" si="239">(AC$40+AC$84+AC$93)</f>
        <v>0</v>
      </c>
      <c r="AD95" s="710">
        <f t="shared" ca="1" si="239"/>
        <v>0</v>
      </c>
      <c r="AE95" s="710">
        <f t="shared" ca="1" si="239"/>
        <v>0</v>
      </c>
      <c r="AF95" s="710">
        <f t="shared" ca="1" si="239"/>
        <v>0</v>
      </c>
      <c r="AG95" s="710">
        <f t="shared" ca="1" si="239"/>
        <v>0</v>
      </c>
      <c r="AH95" s="710">
        <f t="shared" ca="1" si="239"/>
        <v>0</v>
      </c>
      <c r="AI95" s="710"/>
      <c r="AJ95" s="710"/>
      <c r="AK95" s="710"/>
      <c r="AM95" s="711"/>
      <c r="AN95" s="711"/>
      <c r="AO95" s="711"/>
      <c r="AP95" s="711"/>
      <c r="AQ95" s="711"/>
      <c r="AR95" s="711"/>
      <c r="AS95" s="711"/>
      <c r="AT95" s="711"/>
      <c r="AU95" s="711"/>
      <c r="AV95" s="711"/>
      <c r="AW95" s="711"/>
      <c r="AX95" s="711"/>
      <c r="AY95" s="711"/>
      <c r="AZ95" s="711"/>
      <c r="BA95" s="711"/>
      <c r="BB95" s="711"/>
      <c r="BC95" s="711"/>
      <c r="BD95" s="711"/>
      <c r="BE95" s="711">
        <f ca="1">BE40+BE46+BE51</f>
        <v>0</v>
      </c>
      <c r="BF95" s="711">
        <f ca="1">SUM(AM95:BE95)</f>
        <v>0</v>
      </c>
      <c r="BH95" s="712"/>
      <c r="BI95" s="712"/>
      <c r="BJ95" s="712"/>
      <c r="BL95" s="965"/>
      <c r="BM95" s="965"/>
      <c r="BN95" s="966"/>
      <c r="BO95" s="967"/>
      <c r="BP95" s="967"/>
      <c r="BQ95" s="967"/>
      <c r="BR95" s="967"/>
      <c r="BS95" s="967"/>
      <c r="BT95" s="967"/>
      <c r="BU95" s="967"/>
      <c r="BV95" s="967"/>
      <c r="BW95" s="967"/>
      <c r="BX95" s="967"/>
      <c r="BY95" s="967"/>
      <c r="BZ95" s="967"/>
      <c r="CA95" s="967"/>
      <c r="CB95" s="967"/>
      <c r="CC95" s="967"/>
      <c r="CD95" s="967"/>
      <c r="CE95" s="967"/>
      <c r="CF95" s="967"/>
      <c r="CG95" s="967"/>
      <c r="CH95" s="967"/>
      <c r="CI95" s="967"/>
      <c r="CJ95" s="967"/>
      <c r="CK95" s="967"/>
      <c r="CL95" s="967"/>
      <c r="CM95" s="967"/>
      <c r="CN95" s="967"/>
      <c r="CO95" s="967"/>
      <c r="CP95" s="967"/>
      <c r="CQ95" s="967"/>
      <c r="CR95" s="967"/>
      <c r="CS95" s="967"/>
      <c r="CT95" s="967"/>
      <c r="CU95" s="967"/>
      <c r="CV95" s="967"/>
      <c r="CW95" s="967"/>
      <c r="CX95" s="967"/>
      <c r="CY95" s="967"/>
      <c r="CZ95" s="967"/>
      <c r="DA95" s="967"/>
      <c r="DB95" s="967"/>
      <c r="DC95" s="967"/>
      <c r="DD95" s="967"/>
      <c r="DE95" s="967"/>
      <c r="DF95" s="967"/>
      <c r="DH95" s="966">
        <f t="shared" si="238"/>
        <v>0</v>
      </c>
    </row>
    <row r="96" spans="1:112" s="1044" customFormat="1" ht="12.75" customHeight="1" outlineLevel="1">
      <c r="A96" s="1041"/>
      <c r="B96" s="1041"/>
      <c r="C96" s="1042" t="s">
        <v>744</v>
      </c>
      <c r="D96" s="1043" t="str">
        <f>INDEX(Modules[Module], MATCH($C96, Modules[Code], 0))</f>
        <v>Types of fuel from Biomass</v>
      </c>
      <c r="E96" s="1043"/>
      <c r="G96" s="699">
        <f t="shared" ref="G96:P96" ca="1" si="240">IFERROR(INDEX(INDIRECT($C96&amp;".Outputs["&amp;this.Year&amp;"]"), MATCH(G$5, INDIRECT($C96&amp;".Outputs[Vector]"), 0)), 0)</f>
        <v>0</v>
      </c>
      <c r="H96" s="699">
        <f t="shared" ca="1" si="240"/>
        <v>0</v>
      </c>
      <c r="I96" s="699">
        <f t="shared" ca="1" si="240"/>
        <v>0</v>
      </c>
      <c r="J96" s="699">
        <f t="shared" ca="1" si="240"/>
        <v>0</v>
      </c>
      <c r="K96" s="699">
        <f t="shared" ca="1" si="240"/>
        <v>0</v>
      </c>
      <c r="L96" s="699">
        <f t="shared" ca="1" si="240"/>
        <v>0</v>
      </c>
      <c r="M96" s="699">
        <f t="shared" ca="1" si="240"/>
        <v>0</v>
      </c>
      <c r="N96" s="699">
        <f t="shared" ca="1" si="240"/>
        <v>0</v>
      </c>
      <c r="O96" s="699">
        <f t="shared" ca="1" si="240"/>
        <v>0</v>
      </c>
      <c r="P96" s="699">
        <f t="shared" ca="1" si="240"/>
        <v>0</v>
      </c>
      <c r="Q96" s="700">
        <f ca="1">SUM(G96:P96)</f>
        <v>0</v>
      </c>
      <c r="S96" s="701">
        <f t="shared" ref="S96:AJ96" ca="1" si="241">IFERROR(INDEX(INDIRECT($C96&amp;".Outputs["&amp;this.Year&amp;"]"), MATCH(S$5, INDIRECT($C96&amp;".Outputs[Vector]"), 0)), 0)</f>
        <v>0</v>
      </c>
      <c r="T96" s="701">
        <f t="shared" ca="1" si="241"/>
        <v>0</v>
      </c>
      <c r="U96" s="701">
        <f t="shared" ca="1" si="241"/>
        <v>0</v>
      </c>
      <c r="V96" s="701">
        <f t="shared" ca="1" si="241"/>
        <v>0</v>
      </c>
      <c r="W96" s="701">
        <f t="shared" ca="1" si="241"/>
        <v>0</v>
      </c>
      <c r="X96" s="701">
        <f t="shared" ca="1" si="241"/>
        <v>0</v>
      </c>
      <c r="Y96" s="701">
        <f t="shared" ca="1" si="241"/>
        <v>0</v>
      </c>
      <c r="Z96" s="701">
        <f t="shared" ca="1" si="241"/>
        <v>0</v>
      </c>
      <c r="AA96" s="701">
        <f t="shared" ca="1" si="241"/>
        <v>0</v>
      </c>
      <c r="AB96" s="701">
        <f t="shared" ca="1" si="241"/>
        <v>0</v>
      </c>
      <c r="AC96" s="701">
        <f t="shared" ca="1" si="241"/>
        <v>0</v>
      </c>
      <c r="AD96" s="701">
        <f t="shared" ca="1" si="241"/>
        <v>0</v>
      </c>
      <c r="AE96" s="701">
        <f t="shared" ca="1" si="241"/>
        <v>0</v>
      </c>
      <c r="AF96" s="701">
        <f t="shared" ca="1" si="241"/>
        <v>0</v>
      </c>
      <c r="AG96" s="701">
        <f t="shared" ca="1" si="241"/>
        <v>0</v>
      </c>
      <c r="AH96" s="701">
        <f t="shared" ca="1" si="241"/>
        <v>0</v>
      </c>
      <c r="AI96" s="701">
        <f t="shared" ca="1" si="241"/>
        <v>0</v>
      </c>
      <c r="AJ96" s="701">
        <f t="shared" ca="1" si="241"/>
        <v>0</v>
      </c>
      <c r="AK96" s="702">
        <f ca="1">SUM(S96:AJ96)</f>
        <v>0</v>
      </c>
      <c r="AM96" s="703">
        <f t="shared" ref="AM96:BE96" ca="1" si="242">IFERROR(INDEX(INDIRECT($C96&amp;".Outputs["&amp;this.Year&amp;"]"), MATCH(AM$5, INDIRECT($C96&amp;".Outputs[Vector]"), 0)), 0)</f>
        <v>0</v>
      </c>
      <c r="AN96" s="703">
        <f t="shared" ca="1" si="242"/>
        <v>0</v>
      </c>
      <c r="AO96" s="703">
        <f t="shared" ca="1" si="242"/>
        <v>0</v>
      </c>
      <c r="AP96" s="703">
        <f t="shared" ca="1" si="242"/>
        <v>0</v>
      </c>
      <c r="AQ96" s="703">
        <f t="shared" ca="1" si="242"/>
        <v>0</v>
      </c>
      <c r="AR96" s="703">
        <f t="shared" ca="1" si="242"/>
        <v>0</v>
      </c>
      <c r="AS96" s="703">
        <f t="shared" ca="1" si="242"/>
        <v>0</v>
      </c>
      <c r="AT96" s="703">
        <f t="shared" ca="1" si="242"/>
        <v>0</v>
      </c>
      <c r="AU96" s="703">
        <f t="shared" ca="1" si="242"/>
        <v>0</v>
      </c>
      <c r="AV96" s="703">
        <f t="shared" ca="1" si="242"/>
        <v>0</v>
      </c>
      <c r="AW96" s="703">
        <f t="shared" ca="1" si="242"/>
        <v>0</v>
      </c>
      <c r="AX96" s="703">
        <f t="shared" ca="1" si="242"/>
        <v>0</v>
      </c>
      <c r="AY96" s="703">
        <f t="shared" ca="1" si="242"/>
        <v>0</v>
      </c>
      <c r="AZ96" s="703">
        <f t="shared" ca="1" si="242"/>
        <v>0</v>
      </c>
      <c r="BA96" s="703">
        <f t="shared" ca="1" si="242"/>
        <v>0</v>
      </c>
      <c r="BB96" s="703">
        <f t="shared" ca="1" si="242"/>
        <v>0</v>
      </c>
      <c r="BC96" s="703">
        <f t="shared" ca="1" si="242"/>
        <v>0</v>
      </c>
      <c r="BD96" s="703">
        <f t="shared" ca="1" si="242"/>
        <v>0</v>
      </c>
      <c r="BE96" s="703">
        <f t="shared" ca="1" si="242"/>
        <v>0</v>
      </c>
      <c r="BF96" s="704">
        <f ca="1">SUM(AM96:BE96)</f>
        <v>0</v>
      </c>
      <c r="BH96" s="705">
        <f ca="1">IFERROR(INDEX(INDIRECT($C96&amp;".Outputs["&amp;this.Year&amp;"]"), MATCH(BH$5, INDIRECT($C96&amp;".Outputs[Vector]"), 0)), 0)</f>
        <v>0</v>
      </c>
      <c r="BI96" s="705">
        <f ca="1">IFERROR(INDEX(INDIRECT($C96&amp;".Outputs["&amp;this.Year&amp;"]"), MATCH(BI$5, INDIRECT($C96&amp;".Outputs[Vector]"), 0)), 0)</f>
        <v>0</v>
      </c>
      <c r="BJ96" s="706">
        <f ca="1">SUM(BH96:BI96)</f>
        <v>0</v>
      </c>
      <c r="BL96" s="1045">
        <f ca="1">Q96+AK96+BF96+BJ96</f>
        <v>0</v>
      </c>
      <c r="BM96" s="1045"/>
      <c r="BN96" s="1046"/>
      <c r="BO96" s="1047">
        <f t="shared" ref="BO96:DF96" ca="1" si="243">IFERROR(SUMIFS(INDIRECT($C96&amp;".Emissions["&amp;this.Year&amp;"]"), INDIRECT($C96&amp;".Emissions[GHG]"), BO$6, INDIRECT($C96&amp;".Emissions[IPCC Sector]"), BO$5),0)</f>
        <v>0</v>
      </c>
      <c r="BP96" s="1048">
        <f t="shared" ca="1" si="243"/>
        <v>0</v>
      </c>
      <c r="BQ96" s="1048">
        <f t="shared" ca="1" si="243"/>
        <v>0</v>
      </c>
      <c r="BR96" s="1048">
        <f t="shared" ca="1" si="243"/>
        <v>0</v>
      </c>
      <c r="BS96" s="1048">
        <f t="shared" ca="1" si="243"/>
        <v>0</v>
      </c>
      <c r="BT96" s="1048">
        <f t="shared" ca="1" si="243"/>
        <v>0</v>
      </c>
      <c r="BU96" s="1048">
        <f t="shared" ca="1" si="243"/>
        <v>0</v>
      </c>
      <c r="BV96" s="1048">
        <f t="shared" ca="1" si="243"/>
        <v>0</v>
      </c>
      <c r="BW96" s="1048">
        <f t="shared" ca="1" si="243"/>
        <v>0</v>
      </c>
      <c r="BX96" s="1048">
        <f t="shared" ca="1" si="243"/>
        <v>0</v>
      </c>
      <c r="BY96" s="1048">
        <f t="shared" ca="1" si="243"/>
        <v>0</v>
      </c>
      <c r="BZ96" s="1048">
        <f t="shared" ca="1" si="243"/>
        <v>0</v>
      </c>
      <c r="CA96" s="1048">
        <f t="shared" ca="1" si="243"/>
        <v>0</v>
      </c>
      <c r="CB96" s="1048">
        <f t="shared" ca="1" si="243"/>
        <v>0</v>
      </c>
      <c r="CC96" s="1048">
        <f t="shared" ca="1" si="243"/>
        <v>0</v>
      </c>
      <c r="CD96" s="1048">
        <f t="shared" ca="1" si="243"/>
        <v>0</v>
      </c>
      <c r="CE96" s="1048">
        <f t="shared" ca="1" si="243"/>
        <v>0</v>
      </c>
      <c r="CF96" s="1048">
        <f t="shared" ca="1" si="243"/>
        <v>0</v>
      </c>
      <c r="CG96" s="1048">
        <f t="shared" ca="1" si="243"/>
        <v>0</v>
      </c>
      <c r="CH96" s="1048">
        <f t="shared" ca="1" si="243"/>
        <v>0</v>
      </c>
      <c r="CI96" s="1048">
        <f t="shared" ca="1" si="243"/>
        <v>0</v>
      </c>
      <c r="CJ96" s="1048">
        <f t="shared" ca="1" si="243"/>
        <v>0</v>
      </c>
      <c r="CK96" s="1048">
        <f t="shared" ca="1" si="243"/>
        <v>0</v>
      </c>
      <c r="CL96" s="1048">
        <f t="shared" ca="1" si="243"/>
        <v>0</v>
      </c>
      <c r="CM96" s="1048">
        <f t="shared" ca="1" si="243"/>
        <v>0</v>
      </c>
      <c r="CN96" s="1048">
        <f t="shared" ca="1" si="243"/>
        <v>0</v>
      </c>
      <c r="CO96" s="1048">
        <f t="shared" ca="1" si="243"/>
        <v>0</v>
      </c>
      <c r="CP96" s="1048">
        <f t="shared" ca="1" si="243"/>
        <v>0</v>
      </c>
      <c r="CQ96" s="1048">
        <f t="shared" ca="1" si="243"/>
        <v>0</v>
      </c>
      <c r="CR96" s="1048">
        <f t="shared" ca="1" si="243"/>
        <v>0</v>
      </c>
      <c r="CS96" s="1048">
        <f t="shared" ca="1" si="243"/>
        <v>0</v>
      </c>
      <c r="CT96" s="1048">
        <f t="shared" ca="1" si="243"/>
        <v>0</v>
      </c>
      <c r="CU96" s="1048">
        <f t="shared" ca="1" si="243"/>
        <v>0</v>
      </c>
      <c r="CV96" s="1048">
        <f t="shared" ca="1" si="243"/>
        <v>0</v>
      </c>
      <c r="CW96" s="1048">
        <f t="shared" ca="1" si="243"/>
        <v>0</v>
      </c>
      <c r="CX96" s="1048">
        <f t="shared" ca="1" si="243"/>
        <v>0</v>
      </c>
      <c r="CY96" s="1048">
        <f t="shared" ca="1" si="243"/>
        <v>0</v>
      </c>
      <c r="CZ96" s="1048">
        <f t="shared" ca="1" si="243"/>
        <v>0</v>
      </c>
      <c r="DA96" s="1048">
        <f t="shared" ca="1" si="243"/>
        <v>0</v>
      </c>
      <c r="DB96" s="1048">
        <f t="shared" ca="1" si="243"/>
        <v>0</v>
      </c>
      <c r="DC96" s="1048">
        <f t="shared" ca="1" si="243"/>
        <v>0</v>
      </c>
      <c r="DD96" s="1048">
        <f t="shared" ca="1" si="243"/>
        <v>0</v>
      </c>
      <c r="DE96" s="1048">
        <f t="shared" ca="1" si="243"/>
        <v>0</v>
      </c>
      <c r="DF96" s="1048">
        <f t="shared" ca="1" si="243"/>
        <v>0</v>
      </c>
      <c r="DH96" s="1049">
        <f t="shared" ca="1" si="238"/>
        <v>0</v>
      </c>
    </row>
    <row r="97" spans="1:112" s="954" customFormat="1" ht="12.75" customHeight="1" outlineLevel="1">
      <c r="C97" s="963" t="s">
        <v>1025</v>
      </c>
      <c r="D97" s="964" t="s">
        <v>1010</v>
      </c>
      <c r="E97" s="964"/>
      <c r="G97" s="708"/>
      <c r="H97" s="708"/>
      <c r="I97" s="708"/>
      <c r="J97" s="708"/>
      <c r="K97" s="709"/>
      <c r="L97" s="708"/>
      <c r="M97" s="708"/>
      <c r="N97" s="708"/>
      <c r="O97" s="708"/>
      <c r="P97" s="708"/>
      <c r="Q97" s="708"/>
      <c r="S97" s="710"/>
      <c r="T97" s="710"/>
      <c r="U97" s="710">
        <f ca="1">U$95+U$96</f>
        <v>-14.256803002247571</v>
      </c>
      <c r="V97" s="710">
        <f ca="1">V$95+V$96</f>
        <v>-12.787029496861225</v>
      </c>
      <c r="W97" s="710">
        <f ca="1">W$95+W$96</f>
        <v>-324.47780687796825</v>
      </c>
      <c r="X97" s="710"/>
      <c r="Y97" s="710"/>
      <c r="Z97" s="710"/>
      <c r="AA97" s="710"/>
      <c r="AB97" s="710"/>
      <c r="AC97" s="710">
        <f t="shared" ref="AC97:AH97" ca="1" si="244">AC$95+AC$96</f>
        <v>0</v>
      </c>
      <c r="AD97" s="710">
        <f t="shared" ca="1" si="244"/>
        <v>0</v>
      </c>
      <c r="AE97" s="710">
        <f t="shared" ca="1" si="244"/>
        <v>0</v>
      </c>
      <c r="AF97" s="710">
        <f t="shared" ca="1" si="244"/>
        <v>0</v>
      </c>
      <c r="AG97" s="710">
        <f t="shared" ca="1" si="244"/>
        <v>0</v>
      </c>
      <c r="AH97" s="710">
        <f t="shared" ca="1" si="244"/>
        <v>0</v>
      </c>
      <c r="AI97" s="710"/>
      <c r="AJ97" s="710"/>
      <c r="AK97" s="710"/>
      <c r="AM97" s="711"/>
      <c r="AN97" s="711"/>
      <c r="AO97" s="711"/>
      <c r="AP97" s="711"/>
      <c r="AQ97" s="711"/>
      <c r="AR97" s="711"/>
      <c r="AS97" s="711"/>
      <c r="AT97" s="711"/>
      <c r="AU97" s="711"/>
      <c r="AV97" s="711"/>
      <c r="AW97" s="711"/>
      <c r="AX97" s="711"/>
      <c r="AY97" s="711"/>
      <c r="AZ97" s="711"/>
      <c r="BA97" s="711"/>
      <c r="BB97" s="711"/>
      <c r="BC97" s="711"/>
      <c r="BD97" s="711"/>
      <c r="BE97" s="711">
        <f ca="1">BE42+BE49+BE53</f>
        <v>0</v>
      </c>
      <c r="BF97" s="711">
        <f ca="1">SUM(AM97:BE97)</f>
        <v>0</v>
      </c>
      <c r="BH97" s="712"/>
      <c r="BI97" s="712"/>
      <c r="BJ97" s="712"/>
      <c r="BL97" s="965"/>
      <c r="BM97" s="965"/>
      <c r="BN97" s="966"/>
      <c r="BO97" s="967"/>
      <c r="BP97" s="967"/>
      <c r="BQ97" s="967"/>
      <c r="BR97" s="967"/>
      <c r="BS97" s="967"/>
      <c r="BT97" s="967"/>
      <c r="BU97" s="967"/>
      <c r="BV97" s="967"/>
      <c r="BW97" s="967"/>
      <c r="BX97" s="967"/>
      <c r="BY97" s="967"/>
      <c r="BZ97" s="967"/>
      <c r="CA97" s="967"/>
      <c r="CB97" s="967"/>
      <c r="CC97" s="967"/>
      <c r="CD97" s="967"/>
      <c r="CE97" s="967"/>
      <c r="CF97" s="967"/>
      <c r="CG97" s="967"/>
      <c r="CH97" s="967"/>
      <c r="CI97" s="967"/>
      <c r="CJ97" s="967"/>
      <c r="CK97" s="967"/>
      <c r="CL97" s="967"/>
      <c r="CM97" s="967"/>
      <c r="CN97" s="967"/>
      <c r="CO97" s="967"/>
      <c r="CP97" s="967"/>
      <c r="CQ97" s="967"/>
      <c r="CR97" s="967"/>
      <c r="CS97" s="967"/>
      <c r="CT97" s="967"/>
      <c r="CU97" s="967"/>
      <c r="CV97" s="967"/>
      <c r="CW97" s="967"/>
      <c r="CX97" s="967"/>
      <c r="CY97" s="967"/>
      <c r="CZ97" s="967"/>
      <c r="DA97" s="967"/>
      <c r="DB97" s="967"/>
      <c r="DC97" s="967"/>
      <c r="DD97" s="967"/>
      <c r="DE97" s="967"/>
      <c r="DF97" s="967"/>
      <c r="DH97" s="966">
        <f>SUM(BO97:DF97)</f>
        <v>0</v>
      </c>
    </row>
    <row r="98" spans="1:112" s="522" customFormat="1" ht="12.75" customHeight="1" outlineLevel="1">
      <c r="A98" s="947"/>
      <c r="B98" s="947"/>
      <c r="C98" s="524" t="s">
        <v>1016</v>
      </c>
      <c r="D98" s="656" t="str">
        <f>INDEX(Modules[Module], MATCH($C98, Modules[Code], 0))</f>
        <v>Bioenergy imports</v>
      </c>
      <c r="E98" s="656"/>
      <c r="G98" s="668">
        <f t="shared" ref="G98:P98" ca="1" si="245">IFERROR(INDEX(INDIRECT($C98&amp;".Outputs["&amp;this.Year&amp;"]"), MATCH(G$5, INDIRECT($C98&amp;".Outputs[Vector]"), 0)), 0)</f>
        <v>0</v>
      </c>
      <c r="H98" s="668">
        <f t="shared" ca="1" si="245"/>
        <v>0</v>
      </c>
      <c r="I98" s="668">
        <f t="shared" ca="1" si="245"/>
        <v>0</v>
      </c>
      <c r="J98" s="668">
        <f t="shared" ca="1" si="245"/>
        <v>0</v>
      </c>
      <c r="K98" s="668">
        <f t="shared" ca="1" si="245"/>
        <v>0</v>
      </c>
      <c r="L98" s="668">
        <f t="shared" ca="1" si="245"/>
        <v>0</v>
      </c>
      <c r="M98" s="668">
        <f t="shared" ca="1" si="245"/>
        <v>0</v>
      </c>
      <c r="N98" s="668">
        <f t="shared" ca="1" si="245"/>
        <v>0</v>
      </c>
      <c r="O98" s="668">
        <f t="shared" ca="1" si="245"/>
        <v>0</v>
      </c>
      <c r="P98" s="668">
        <f t="shared" ca="1" si="245"/>
        <v>0</v>
      </c>
      <c r="Q98" s="666">
        <f ca="1">SUM(G98:P98)</f>
        <v>0</v>
      </c>
      <c r="S98" s="677">
        <f t="shared" ref="S98:AJ98" ca="1" si="246">IFERROR(INDEX(INDIRECT($C98&amp;".Outputs["&amp;this.Year&amp;"]"), MATCH(S$5, INDIRECT($C98&amp;".Outputs[Vector]"), 0)), 0)</f>
        <v>0</v>
      </c>
      <c r="T98" s="677">
        <f t="shared" ca="1" si="246"/>
        <v>0</v>
      </c>
      <c r="U98" s="677">
        <f t="shared" ca="1" si="246"/>
        <v>0</v>
      </c>
      <c r="V98" s="677">
        <f t="shared" ca="1" si="246"/>
        <v>0</v>
      </c>
      <c r="W98" s="677">
        <f t="shared" ca="1" si="246"/>
        <v>0</v>
      </c>
      <c r="X98" s="677">
        <f t="shared" ca="1" si="246"/>
        <v>0</v>
      </c>
      <c r="Y98" s="677">
        <f t="shared" ca="1" si="246"/>
        <v>0</v>
      </c>
      <c r="Z98" s="677">
        <f t="shared" ca="1" si="246"/>
        <v>0</v>
      </c>
      <c r="AA98" s="677">
        <f t="shared" ca="1" si="246"/>
        <v>0</v>
      </c>
      <c r="AB98" s="677">
        <f t="shared" ca="1" si="246"/>
        <v>0</v>
      </c>
      <c r="AC98" s="677">
        <f t="shared" ca="1" si="246"/>
        <v>0</v>
      </c>
      <c r="AD98" s="677">
        <f t="shared" ca="1" si="246"/>
        <v>0</v>
      </c>
      <c r="AE98" s="677">
        <f t="shared" ca="1" si="246"/>
        <v>0</v>
      </c>
      <c r="AF98" s="677">
        <f t="shared" ca="1" si="246"/>
        <v>0</v>
      </c>
      <c r="AG98" s="677">
        <f t="shared" ca="1" si="246"/>
        <v>0</v>
      </c>
      <c r="AH98" s="677">
        <f t="shared" ca="1" si="246"/>
        <v>0</v>
      </c>
      <c r="AI98" s="677">
        <f t="shared" ca="1" si="246"/>
        <v>0</v>
      </c>
      <c r="AJ98" s="677">
        <f t="shared" ca="1" si="246"/>
        <v>0</v>
      </c>
      <c r="AK98" s="676">
        <f ca="1">SUM(S98:AJ98)</f>
        <v>0</v>
      </c>
      <c r="AM98" s="688">
        <f t="shared" ref="AM98:BE98" ca="1" si="247">IFERROR(INDEX(INDIRECT($C98&amp;".Outputs["&amp;this.Year&amp;"]"), MATCH(AM$5, INDIRECT($C98&amp;".Outputs[Vector]"), 0)), 0)</f>
        <v>0</v>
      </c>
      <c r="AN98" s="688">
        <f t="shared" ca="1" si="247"/>
        <v>0</v>
      </c>
      <c r="AO98" s="688">
        <f t="shared" ca="1" si="247"/>
        <v>0</v>
      </c>
      <c r="AP98" s="688">
        <f t="shared" ca="1" si="247"/>
        <v>0</v>
      </c>
      <c r="AQ98" s="688">
        <f t="shared" ca="1" si="247"/>
        <v>0</v>
      </c>
      <c r="AR98" s="688">
        <f t="shared" ca="1" si="247"/>
        <v>0</v>
      </c>
      <c r="AS98" s="688">
        <f t="shared" ca="1" si="247"/>
        <v>0</v>
      </c>
      <c r="AT98" s="688">
        <f t="shared" ca="1" si="247"/>
        <v>0</v>
      </c>
      <c r="AU98" s="688">
        <f t="shared" ca="1" si="247"/>
        <v>0</v>
      </c>
      <c r="AV98" s="688">
        <f t="shared" ca="1" si="247"/>
        <v>0</v>
      </c>
      <c r="AW98" s="688">
        <f t="shared" ca="1" si="247"/>
        <v>0</v>
      </c>
      <c r="AX98" s="688">
        <f t="shared" ca="1" si="247"/>
        <v>0</v>
      </c>
      <c r="AY98" s="688">
        <f t="shared" ca="1" si="247"/>
        <v>0</v>
      </c>
      <c r="AZ98" s="688">
        <f t="shared" ca="1" si="247"/>
        <v>0</v>
      </c>
      <c r="BA98" s="688">
        <f t="shared" ca="1" si="247"/>
        <v>0</v>
      </c>
      <c r="BB98" s="688">
        <f t="shared" ca="1" si="247"/>
        <v>0</v>
      </c>
      <c r="BC98" s="688">
        <f t="shared" ca="1" si="247"/>
        <v>0</v>
      </c>
      <c r="BD98" s="688">
        <f t="shared" ca="1" si="247"/>
        <v>0</v>
      </c>
      <c r="BE98" s="688">
        <f t="shared" ca="1" si="247"/>
        <v>0</v>
      </c>
      <c r="BF98" s="658">
        <f ca="1">SUM(AM98:BE98)</f>
        <v>0</v>
      </c>
      <c r="BH98" s="682">
        <f ca="1">IFERROR(INDEX(INDIRECT($C98&amp;".Outputs["&amp;this.Year&amp;"]"), MATCH(BH$5, INDIRECT($C98&amp;".Outputs[Vector]"), 0)), 0)</f>
        <v>0</v>
      </c>
      <c r="BI98" s="682">
        <f ca="1">IFERROR(INDEX(INDIRECT($C98&amp;".Outputs["&amp;this.Year&amp;"]"), MATCH(BI$5, INDIRECT($C98&amp;".Outputs[Vector]"), 0)), 0)</f>
        <v>0</v>
      </c>
      <c r="BJ98" s="681">
        <f ca="1">SUM(BH98:BI98)</f>
        <v>0</v>
      </c>
      <c r="BL98" s="547">
        <f ca="1">Q98+AK98+BF98+BJ98</f>
        <v>0</v>
      </c>
      <c r="BM98" s="547"/>
      <c r="BN98" s="555"/>
      <c r="BO98" s="948">
        <f t="shared" ref="BO98:DF98" ca="1" si="248">IFERROR(SUMIFS(INDIRECT($C98&amp;".Emissions["&amp;this.Year&amp;"]"), INDIRECT($C98&amp;".Emissions[GHG]"), BO$6, INDIRECT($C98&amp;".Emissions[IPCC Sector]"), BO$5),0)</f>
        <v>0</v>
      </c>
      <c r="BP98" s="949">
        <f t="shared" ca="1" si="248"/>
        <v>0</v>
      </c>
      <c r="BQ98" s="949">
        <f t="shared" ca="1" si="248"/>
        <v>0</v>
      </c>
      <c r="BR98" s="949">
        <f t="shared" ca="1" si="248"/>
        <v>0</v>
      </c>
      <c r="BS98" s="949">
        <f t="shared" ca="1" si="248"/>
        <v>0</v>
      </c>
      <c r="BT98" s="949">
        <f t="shared" ca="1" si="248"/>
        <v>0</v>
      </c>
      <c r="BU98" s="949">
        <f t="shared" ca="1" si="248"/>
        <v>0</v>
      </c>
      <c r="BV98" s="949">
        <f t="shared" ca="1" si="248"/>
        <v>0</v>
      </c>
      <c r="BW98" s="949">
        <f t="shared" ca="1" si="248"/>
        <v>0</v>
      </c>
      <c r="BX98" s="949">
        <f t="shared" ca="1" si="248"/>
        <v>0</v>
      </c>
      <c r="BY98" s="949">
        <f t="shared" ca="1" si="248"/>
        <v>0</v>
      </c>
      <c r="BZ98" s="949">
        <f t="shared" ca="1" si="248"/>
        <v>0</v>
      </c>
      <c r="CA98" s="949">
        <f t="shared" ca="1" si="248"/>
        <v>0</v>
      </c>
      <c r="CB98" s="949">
        <f t="shared" ca="1" si="248"/>
        <v>0</v>
      </c>
      <c r="CC98" s="949">
        <f t="shared" ca="1" si="248"/>
        <v>0</v>
      </c>
      <c r="CD98" s="949">
        <f t="shared" ca="1" si="248"/>
        <v>0</v>
      </c>
      <c r="CE98" s="949">
        <f t="shared" ca="1" si="248"/>
        <v>0</v>
      </c>
      <c r="CF98" s="949">
        <f t="shared" ca="1" si="248"/>
        <v>0</v>
      </c>
      <c r="CG98" s="949">
        <f t="shared" ca="1" si="248"/>
        <v>0</v>
      </c>
      <c r="CH98" s="949">
        <f t="shared" ca="1" si="248"/>
        <v>0</v>
      </c>
      <c r="CI98" s="949">
        <f t="shared" ca="1" si="248"/>
        <v>0</v>
      </c>
      <c r="CJ98" s="949">
        <f t="shared" ca="1" si="248"/>
        <v>0</v>
      </c>
      <c r="CK98" s="949">
        <f t="shared" ca="1" si="248"/>
        <v>0</v>
      </c>
      <c r="CL98" s="949">
        <f t="shared" ca="1" si="248"/>
        <v>0</v>
      </c>
      <c r="CM98" s="949">
        <f t="shared" ca="1" si="248"/>
        <v>0</v>
      </c>
      <c r="CN98" s="949">
        <f t="shared" ca="1" si="248"/>
        <v>0</v>
      </c>
      <c r="CO98" s="949">
        <f t="shared" ca="1" si="248"/>
        <v>0</v>
      </c>
      <c r="CP98" s="949">
        <f t="shared" ca="1" si="248"/>
        <v>0</v>
      </c>
      <c r="CQ98" s="949">
        <f t="shared" ca="1" si="248"/>
        <v>0</v>
      </c>
      <c r="CR98" s="949">
        <f t="shared" ca="1" si="248"/>
        <v>0</v>
      </c>
      <c r="CS98" s="949">
        <f t="shared" ca="1" si="248"/>
        <v>0</v>
      </c>
      <c r="CT98" s="949">
        <f t="shared" ca="1" si="248"/>
        <v>0</v>
      </c>
      <c r="CU98" s="949">
        <f t="shared" ca="1" si="248"/>
        <v>0</v>
      </c>
      <c r="CV98" s="949">
        <f t="shared" ca="1" si="248"/>
        <v>0</v>
      </c>
      <c r="CW98" s="949">
        <f t="shared" ca="1" si="248"/>
        <v>0</v>
      </c>
      <c r="CX98" s="949">
        <f t="shared" ca="1" si="248"/>
        <v>0</v>
      </c>
      <c r="CY98" s="949">
        <f t="shared" ca="1" si="248"/>
        <v>0</v>
      </c>
      <c r="CZ98" s="949">
        <f t="shared" ca="1" si="248"/>
        <v>0</v>
      </c>
      <c r="DA98" s="949">
        <f t="shared" ca="1" si="248"/>
        <v>0</v>
      </c>
      <c r="DB98" s="949">
        <f t="shared" ca="1" si="248"/>
        <v>0</v>
      </c>
      <c r="DC98" s="949">
        <f t="shared" ca="1" si="248"/>
        <v>0</v>
      </c>
      <c r="DD98" s="949">
        <f t="shared" ca="1" si="248"/>
        <v>0</v>
      </c>
      <c r="DE98" s="949">
        <f t="shared" ca="1" si="248"/>
        <v>0</v>
      </c>
      <c r="DF98" s="949">
        <f t="shared" ca="1" si="248"/>
        <v>0</v>
      </c>
      <c r="DH98" s="553">
        <f ca="1">SUM(BO98:DF98)</f>
        <v>0</v>
      </c>
    </row>
    <row r="99" spans="1:112" s="522" customFormat="1" ht="15">
      <c r="A99" s="16"/>
      <c r="B99" s="527"/>
      <c r="C99" s="523" t="s">
        <v>562</v>
      </c>
      <c r="D99" s="499" t="str">
        <f>INDEX(Workstreams[Workstream], MATCH($C99, Workstreams[Code], 0))</f>
        <v>Bioenergy</v>
      </c>
      <c r="E99" s="495"/>
      <c r="G99" s="667">
        <f ca="1">G$96+G98</f>
        <v>0</v>
      </c>
      <c r="H99" s="667">
        <f t="shared" ref="H99:P99" ca="1" si="249">H$96+H98</f>
        <v>0</v>
      </c>
      <c r="I99" s="667">
        <f t="shared" ca="1" si="249"/>
        <v>0</v>
      </c>
      <c r="J99" s="667">
        <f t="shared" ca="1" si="249"/>
        <v>0</v>
      </c>
      <c r="K99" s="667">
        <f t="shared" ca="1" si="249"/>
        <v>0</v>
      </c>
      <c r="L99" s="667">
        <f t="shared" ca="1" si="249"/>
        <v>0</v>
      </c>
      <c r="M99" s="667">
        <f t="shared" ca="1" si="249"/>
        <v>0</v>
      </c>
      <c r="N99" s="667">
        <f t="shared" ca="1" si="249"/>
        <v>0</v>
      </c>
      <c r="O99" s="667">
        <f t="shared" ca="1" si="249"/>
        <v>0</v>
      </c>
      <c r="P99" s="667">
        <f t="shared" ca="1" si="249"/>
        <v>0</v>
      </c>
      <c r="Q99" s="667">
        <f ca="1">SUM(G99:P99)</f>
        <v>0</v>
      </c>
      <c r="S99" s="617">
        <f t="shared" ref="S99:AJ99" ca="1" si="250">S$96+S98</f>
        <v>0</v>
      </c>
      <c r="T99" s="617">
        <f t="shared" ca="1" si="250"/>
        <v>0</v>
      </c>
      <c r="U99" s="617">
        <f t="shared" ca="1" si="250"/>
        <v>0</v>
      </c>
      <c r="V99" s="617">
        <f t="shared" ca="1" si="250"/>
        <v>0</v>
      </c>
      <c r="W99" s="617">
        <f t="shared" ca="1" si="250"/>
        <v>0</v>
      </c>
      <c r="X99" s="617">
        <f t="shared" ca="1" si="250"/>
        <v>0</v>
      </c>
      <c r="Y99" s="617">
        <f t="shared" ca="1" si="250"/>
        <v>0</v>
      </c>
      <c r="Z99" s="617">
        <f t="shared" ca="1" si="250"/>
        <v>0</v>
      </c>
      <c r="AA99" s="617">
        <f t="shared" ca="1" si="250"/>
        <v>0</v>
      </c>
      <c r="AB99" s="617">
        <f t="shared" ca="1" si="250"/>
        <v>0</v>
      </c>
      <c r="AC99" s="617">
        <f t="shared" ca="1" si="250"/>
        <v>0</v>
      </c>
      <c r="AD99" s="617">
        <f ca="1">AD$96+AD98</f>
        <v>0</v>
      </c>
      <c r="AE99" s="617">
        <f ca="1">AE$96+AE98</f>
        <v>0</v>
      </c>
      <c r="AF99" s="617">
        <f t="shared" ca="1" si="250"/>
        <v>0</v>
      </c>
      <c r="AG99" s="617">
        <f t="shared" ca="1" si="250"/>
        <v>0</v>
      </c>
      <c r="AH99" s="617">
        <f ca="1">AH$96+AH98</f>
        <v>0</v>
      </c>
      <c r="AI99" s="617">
        <f t="shared" ca="1" si="250"/>
        <v>0</v>
      </c>
      <c r="AJ99" s="617">
        <f t="shared" ca="1" si="250"/>
        <v>0</v>
      </c>
      <c r="AK99" s="617">
        <f ca="1">SUM(S99:AJ99)</f>
        <v>0</v>
      </c>
      <c r="AM99" s="623">
        <f t="shared" ref="AM99:BE99" ca="1" si="251">AM$96+AM98</f>
        <v>0</v>
      </c>
      <c r="AN99" s="623">
        <f t="shared" ca="1" si="251"/>
        <v>0</v>
      </c>
      <c r="AO99" s="623">
        <f t="shared" ca="1" si="251"/>
        <v>0</v>
      </c>
      <c r="AP99" s="623">
        <f t="shared" ca="1" si="251"/>
        <v>0</v>
      </c>
      <c r="AQ99" s="623">
        <f t="shared" ca="1" si="251"/>
        <v>0</v>
      </c>
      <c r="AR99" s="623">
        <f t="shared" ca="1" si="251"/>
        <v>0</v>
      </c>
      <c r="AS99" s="623">
        <f t="shared" ca="1" si="251"/>
        <v>0</v>
      </c>
      <c r="AT99" s="623">
        <f t="shared" ca="1" si="251"/>
        <v>0</v>
      </c>
      <c r="AU99" s="623">
        <f t="shared" ca="1" si="251"/>
        <v>0</v>
      </c>
      <c r="AV99" s="623">
        <f t="shared" ca="1" si="251"/>
        <v>0</v>
      </c>
      <c r="AW99" s="623">
        <f t="shared" ca="1" si="251"/>
        <v>0</v>
      </c>
      <c r="AX99" s="623">
        <f t="shared" ca="1" si="251"/>
        <v>0</v>
      </c>
      <c r="AY99" s="623">
        <f t="shared" ca="1" si="251"/>
        <v>0</v>
      </c>
      <c r="AZ99" s="623">
        <f t="shared" ca="1" si="251"/>
        <v>0</v>
      </c>
      <c r="BA99" s="623">
        <f t="shared" ca="1" si="251"/>
        <v>0</v>
      </c>
      <c r="BB99" s="623">
        <f t="shared" ca="1" si="251"/>
        <v>0</v>
      </c>
      <c r="BC99" s="623">
        <f t="shared" ca="1" si="251"/>
        <v>0</v>
      </c>
      <c r="BD99" s="623">
        <f t="shared" ca="1" si="251"/>
        <v>0</v>
      </c>
      <c r="BE99" s="623">
        <f t="shared" ca="1" si="251"/>
        <v>0</v>
      </c>
      <c r="BF99" s="623">
        <f ca="1">SUM(AM99:BE99)</f>
        <v>0</v>
      </c>
      <c r="BH99" s="637">
        <f ca="1">BH$96+BH98</f>
        <v>0</v>
      </c>
      <c r="BI99" s="637">
        <f ca="1">BI$96+BI98</f>
        <v>0</v>
      </c>
      <c r="BJ99" s="637">
        <f ca="1">SUM(BH99:BI99)</f>
        <v>0</v>
      </c>
      <c r="BL99" s="497">
        <f ca="1">Q99+AK99+BF99+BJ99</f>
        <v>0</v>
      </c>
      <c r="BM99" s="497"/>
      <c r="BN99" s="555"/>
      <c r="BO99" s="945">
        <f t="shared" ref="BO99:DF99" ca="1" si="252">BO$96+BO98</f>
        <v>0</v>
      </c>
      <c r="BP99" s="945">
        <f t="shared" ca="1" si="252"/>
        <v>0</v>
      </c>
      <c r="BQ99" s="945">
        <f t="shared" ca="1" si="252"/>
        <v>0</v>
      </c>
      <c r="BR99" s="945">
        <f t="shared" ca="1" si="252"/>
        <v>0</v>
      </c>
      <c r="BS99" s="945">
        <f t="shared" ca="1" si="252"/>
        <v>0</v>
      </c>
      <c r="BT99" s="945">
        <f t="shared" ca="1" si="252"/>
        <v>0</v>
      </c>
      <c r="BU99" s="945">
        <f t="shared" ca="1" si="252"/>
        <v>0</v>
      </c>
      <c r="BV99" s="945">
        <f t="shared" ca="1" si="252"/>
        <v>0</v>
      </c>
      <c r="BW99" s="945">
        <f t="shared" ca="1" si="252"/>
        <v>0</v>
      </c>
      <c r="BX99" s="945">
        <f t="shared" ca="1" si="252"/>
        <v>0</v>
      </c>
      <c r="BY99" s="945">
        <f t="shared" ca="1" si="252"/>
        <v>0</v>
      </c>
      <c r="BZ99" s="945">
        <f t="shared" ca="1" si="252"/>
        <v>0</v>
      </c>
      <c r="CA99" s="945">
        <f t="shared" ca="1" si="252"/>
        <v>0</v>
      </c>
      <c r="CB99" s="945">
        <f t="shared" ca="1" si="252"/>
        <v>0</v>
      </c>
      <c r="CC99" s="945">
        <f t="shared" ca="1" si="252"/>
        <v>0</v>
      </c>
      <c r="CD99" s="945">
        <f t="shared" ca="1" si="252"/>
        <v>0</v>
      </c>
      <c r="CE99" s="945">
        <f t="shared" ca="1" si="252"/>
        <v>0</v>
      </c>
      <c r="CF99" s="945">
        <f t="shared" ca="1" si="252"/>
        <v>0</v>
      </c>
      <c r="CG99" s="945">
        <f t="shared" ca="1" si="252"/>
        <v>0</v>
      </c>
      <c r="CH99" s="945">
        <f t="shared" ca="1" si="252"/>
        <v>0</v>
      </c>
      <c r="CI99" s="945">
        <f t="shared" ca="1" si="252"/>
        <v>0</v>
      </c>
      <c r="CJ99" s="945">
        <f t="shared" ca="1" si="252"/>
        <v>0</v>
      </c>
      <c r="CK99" s="945">
        <f t="shared" ca="1" si="252"/>
        <v>0</v>
      </c>
      <c r="CL99" s="945">
        <f t="shared" ca="1" si="252"/>
        <v>0</v>
      </c>
      <c r="CM99" s="945">
        <f t="shared" ca="1" si="252"/>
        <v>0</v>
      </c>
      <c r="CN99" s="945">
        <f t="shared" ca="1" si="252"/>
        <v>0</v>
      </c>
      <c r="CO99" s="945">
        <f t="shared" ca="1" si="252"/>
        <v>0</v>
      </c>
      <c r="CP99" s="945">
        <f t="shared" ca="1" si="252"/>
        <v>0</v>
      </c>
      <c r="CQ99" s="945">
        <f t="shared" ca="1" si="252"/>
        <v>0</v>
      </c>
      <c r="CR99" s="945">
        <f t="shared" ca="1" si="252"/>
        <v>0</v>
      </c>
      <c r="CS99" s="945">
        <f t="shared" ca="1" si="252"/>
        <v>0</v>
      </c>
      <c r="CT99" s="945">
        <f t="shared" ca="1" si="252"/>
        <v>0</v>
      </c>
      <c r="CU99" s="945">
        <f t="shared" ca="1" si="252"/>
        <v>0</v>
      </c>
      <c r="CV99" s="945">
        <f t="shared" ca="1" si="252"/>
        <v>0</v>
      </c>
      <c r="CW99" s="945">
        <f t="shared" ca="1" si="252"/>
        <v>0</v>
      </c>
      <c r="CX99" s="945">
        <f t="shared" ca="1" si="252"/>
        <v>0</v>
      </c>
      <c r="CY99" s="945">
        <f t="shared" ca="1" si="252"/>
        <v>0</v>
      </c>
      <c r="CZ99" s="945">
        <f t="shared" ca="1" si="252"/>
        <v>0</v>
      </c>
      <c r="DA99" s="945">
        <f t="shared" ca="1" si="252"/>
        <v>0</v>
      </c>
      <c r="DB99" s="945">
        <f t="shared" ca="1" si="252"/>
        <v>0</v>
      </c>
      <c r="DC99" s="945">
        <f t="shared" ca="1" si="252"/>
        <v>0</v>
      </c>
      <c r="DD99" s="945">
        <f t="shared" ca="1" si="252"/>
        <v>0</v>
      </c>
      <c r="DE99" s="945">
        <f t="shared" ca="1" si="252"/>
        <v>0</v>
      </c>
      <c r="DF99" s="945">
        <f t="shared" ca="1" si="252"/>
        <v>0</v>
      </c>
      <c r="DH99" s="553">
        <f t="shared" ca="1" si="238"/>
        <v>0</v>
      </c>
    </row>
    <row r="100" spans="1:112" s="16" customFormat="1" ht="12.75" customHeight="1" outlineLevel="1">
      <c r="B100" s="527"/>
      <c r="C100" s="523"/>
      <c r="D100" s="499"/>
      <c r="E100" s="495"/>
      <c r="F100" s="522"/>
      <c r="G100" s="605"/>
      <c r="H100" s="605"/>
      <c r="I100" s="605"/>
      <c r="J100" s="605"/>
      <c r="K100" s="607"/>
      <c r="L100" s="605"/>
      <c r="M100" s="605"/>
      <c r="N100" s="605"/>
      <c r="O100" s="605"/>
      <c r="P100" s="605"/>
      <c r="Q100" s="667"/>
      <c r="R100" s="522"/>
      <c r="S100" s="617"/>
      <c r="T100" s="617"/>
      <c r="U100" s="617"/>
      <c r="V100" s="617"/>
      <c r="W100" s="617"/>
      <c r="X100" s="617"/>
      <c r="Y100" s="617"/>
      <c r="Z100" s="617"/>
      <c r="AA100" s="617"/>
      <c r="AB100" s="617"/>
      <c r="AC100" s="617"/>
      <c r="AD100" s="617"/>
      <c r="AE100" s="617"/>
      <c r="AF100" s="617"/>
      <c r="AG100" s="617"/>
      <c r="AH100" s="617"/>
      <c r="AI100" s="617"/>
      <c r="AJ100" s="617"/>
      <c r="AK100" s="617"/>
      <c r="AL100" s="522"/>
      <c r="AM100" s="623"/>
      <c r="AN100" s="623"/>
      <c r="AO100" s="623"/>
      <c r="AP100" s="623"/>
      <c r="AQ100" s="623"/>
      <c r="AR100" s="623"/>
      <c r="AS100" s="623"/>
      <c r="AT100" s="623"/>
      <c r="AU100" s="623"/>
      <c r="AV100" s="623"/>
      <c r="AW100" s="623"/>
      <c r="AX100" s="623"/>
      <c r="AY100" s="623"/>
      <c r="AZ100" s="623"/>
      <c r="BA100" s="623"/>
      <c r="BB100" s="623"/>
      <c r="BC100" s="623"/>
      <c r="BD100" s="623"/>
      <c r="BE100" s="623"/>
      <c r="BF100" s="623"/>
      <c r="BG100" s="522"/>
      <c r="BH100" s="637"/>
      <c r="BI100" s="637"/>
      <c r="BJ100" s="637"/>
      <c r="BK100" s="522"/>
      <c r="BL100" s="497"/>
      <c r="BM100" s="497"/>
      <c r="BO100" s="945"/>
      <c r="BP100" s="945"/>
      <c r="BQ100" s="945"/>
      <c r="BR100" s="945"/>
      <c r="BS100" s="945"/>
      <c r="BT100" s="945"/>
      <c r="BU100" s="945"/>
      <c r="BV100" s="945"/>
      <c r="BW100" s="945"/>
      <c r="BX100" s="945"/>
      <c r="BY100" s="945"/>
      <c r="BZ100" s="945"/>
      <c r="CA100" s="945"/>
      <c r="CB100" s="945"/>
      <c r="CC100" s="945"/>
      <c r="CD100" s="945"/>
      <c r="CE100" s="945"/>
      <c r="CF100" s="945"/>
      <c r="CG100" s="945"/>
      <c r="CH100" s="945"/>
      <c r="CI100" s="945"/>
      <c r="CJ100" s="945"/>
      <c r="CK100" s="945"/>
      <c r="CL100" s="945"/>
      <c r="CM100" s="945"/>
      <c r="CN100" s="945"/>
      <c r="CO100" s="945"/>
      <c r="CP100" s="945"/>
      <c r="CQ100" s="945"/>
      <c r="CR100" s="945"/>
      <c r="CS100" s="945"/>
      <c r="CT100" s="945"/>
      <c r="CU100" s="945"/>
      <c r="CV100" s="945"/>
      <c r="CW100" s="945"/>
      <c r="CX100" s="945"/>
      <c r="CY100" s="945"/>
      <c r="CZ100" s="945"/>
      <c r="DA100" s="945"/>
      <c r="DB100" s="945"/>
      <c r="DC100" s="945"/>
      <c r="DD100" s="945"/>
      <c r="DE100" s="945"/>
      <c r="DF100" s="945"/>
      <c r="DH100" s="553">
        <f t="shared" si="238"/>
        <v>0</v>
      </c>
    </row>
    <row r="101" spans="1:112" s="951" customFormat="1" ht="12.75" customHeight="1" outlineLevel="1">
      <c r="C101" s="692" t="s">
        <v>1026</v>
      </c>
      <c r="D101" s="964" t="s">
        <v>1010</v>
      </c>
      <c r="E101" s="560"/>
      <c r="G101" s="708"/>
      <c r="H101" s="708"/>
      <c r="I101" s="708"/>
      <c r="J101" s="708"/>
      <c r="K101" s="709"/>
      <c r="L101" s="708"/>
      <c r="M101" s="708"/>
      <c r="N101" s="708"/>
      <c r="O101" s="708"/>
      <c r="P101" s="708"/>
      <c r="Q101" s="941"/>
      <c r="R101" s="954"/>
      <c r="S101" s="710">
        <f ca="1">(S$40+S$84+S$93+S$99)</f>
        <v>-31.008546529888466</v>
      </c>
      <c r="T101" s="710">
        <f ca="1">(T$40+T$84+T$93+T$99)</f>
        <v>0</v>
      </c>
      <c r="U101" s="710">
        <f ca="1">(U$40+U$84+U$93+U$99)</f>
        <v>-14.256803002247571</v>
      </c>
      <c r="V101" s="710">
        <f ca="1">(V$40+V$84+V$93+V$99)</f>
        <v>-12.787029496861225</v>
      </c>
      <c r="W101" s="710">
        <f ca="1">(W$40+W$84+W$93+W$99)</f>
        <v>-324.47780687796825</v>
      </c>
      <c r="X101" s="710"/>
      <c r="Y101" s="710"/>
      <c r="Z101" s="710"/>
      <c r="AA101" s="710"/>
      <c r="AB101" s="710"/>
      <c r="AC101" s="710"/>
      <c r="AD101" s="710"/>
      <c r="AE101" s="710"/>
      <c r="AF101" s="710"/>
      <c r="AG101" s="710"/>
      <c r="AH101" s="710"/>
      <c r="AI101" s="710"/>
      <c r="AJ101" s="710"/>
      <c r="AK101" s="710"/>
      <c r="AL101" s="954"/>
      <c r="AM101" s="711"/>
      <c r="AN101" s="711"/>
      <c r="AO101" s="711"/>
      <c r="AP101" s="711"/>
      <c r="AQ101" s="711"/>
      <c r="AR101" s="711"/>
      <c r="AS101" s="711"/>
      <c r="AT101" s="711"/>
      <c r="AU101" s="711"/>
      <c r="AV101" s="711"/>
      <c r="AW101" s="711"/>
      <c r="AX101" s="711"/>
      <c r="AY101" s="711"/>
      <c r="AZ101" s="711"/>
      <c r="BA101" s="711"/>
      <c r="BB101" s="711"/>
      <c r="BC101" s="711"/>
      <c r="BD101" s="711"/>
      <c r="BE101" s="711"/>
      <c r="BF101" s="711"/>
      <c r="BG101" s="954"/>
      <c r="BH101" s="712"/>
      <c r="BI101" s="712"/>
      <c r="BJ101" s="712"/>
      <c r="BL101" s="561"/>
      <c r="BM101" s="561"/>
      <c r="BO101" s="953"/>
      <c r="BP101" s="953"/>
      <c r="BQ101" s="953"/>
      <c r="BR101" s="953"/>
      <c r="BS101" s="953"/>
      <c r="BT101" s="953"/>
      <c r="BU101" s="953"/>
      <c r="BV101" s="953"/>
      <c r="BW101" s="953"/>
      <c r="BX101" s="953"/>
      <c r="BY101" s="953"/>
      <c r="BZ101" s="953"/>
      <c r="CA101" s="953"/>
      <c r="CB101" s="953"/>
      <c r="CC101" s="953"/>
      <c r="CD101" s="953"/>
      <c r="CE101" s="953"/>
      <c r="CF101" s="953"/>
      <c r="CG101" s="953"/>
      <c r="CH101" s="953"/>
      <c r="CI101" s="953"/>
      <c r="CJ101" s="953"/>
      <c r="CK101" s="953"/>
      <c r="CL101" s="953"/>
      <c r="CM101" s="953"/>
      <c r="CN101" s="953"/>
      <c r="CO101" s="953"/>
      <c r="CP101" s="953"/>
      <c r="CQ101" s="953"/>
      <c r="CR101" s="953"/>
      <c r="CS101" s="953"/>
      <c r="CT101" s="953"/>
      <c r="CU101" s="953"/>
      <c r="CV101" s="953"/>
      <c r="CW101" s="953"/>
      <c r="CX101" s="953"/>
      <c r="CY101" s="953"/>
      <c r="CZ101" s="953"/>
      <c r="DA101" s="953"/>
      <c r="DB101" s="953"/>
      <c r="DC101" s="953"/>
      <c r="DD101" s="953"/>
      <c r="DE101" s="953"/>
      <c r="DF101" s="953"/>
      <c r="DH101" s="553">
        <f t="shared" si="238"/>
        <v>0</v>
      </c>
    </row>
    <row r="102" spans="1:112" s="947" customFormat="1" ht="12.75" customHeight="1" outlineLevel="1">
      <c r="B102" s="955"/>
      <c r="C102" s="504" t="s">
        <v>767</v>
      </c>
      <c r="D102" s="503" t="str">
        <f>INDEX(Modules[Module], MATCH($C102, Modules[Code], 0))</f>
        <v>Fossil fuel transfers</v>
      </c>
      <c r="E102" s="503"/>
      <c r="F102" s="522"/>
      <c r="G102" s="610">
        <f t="shared" ref="G102:P102" ca="1" si="253">IFERROR(INDEX(INDIRECT($C102&amp;".Outputs["&amp;this.Year&amp;"]"), MATCH(G$5, INDIRECT($C102&amp;".Outputs[Vector]"), 0)), 0)</f>
        <v>0</v>
      </c>
      <c r="H102" s="610">
        <f t="shared" ca="1" si="253"/>
        <v>0</v>
      </c>
      <c r="I102" s="610">
        <f t="shared" ca="1" si="253"/>
        <v>0</v>
      </c>
      <c r="J102" s="610">
        <f t="shared" ca="1" si="253"/>
        <v>0</v>
      </c>
      <c r="K102" s="611">
        <f t="shared" ca="1" si="253"/>
        <v>0</v>
      </c>
      <c r="L102" s="610">
        <f t="shared" ca="1" si="253"/>
        <v>0</v>
      </c>
      <c r="M102" s="610">
        <f t="shared" ca="1" si="253"/>
        <v>0</v>
      </c>
      <c r="N102" s="610">
        <f t="shared" ca="1" si="253"/>
        <v>0</v>
      </c>
      <c r="O102" s="610">
        <f t="shared" ca="1" si="253"/>
        <v>0</v>
      </c>
      <c r="P102" s="610">
        <f t="shared" ca="1" si="253"/>
        <v>0</v>
      </c>
      <c r="Q102" s="723">
        <f ca="1">SUM(G102:P102)</f>
        <v>0</v>
      </c>
      <c r="R102" s="522"/>
      <c r="S102" s="619">
        <f t="shared" ref="S102:AJ102" ca="1" si="254">IFERROR(INDEX(INDIRECT($C102&amp;".Outputs["&amp;this.Year&amp;"]"), MATCH(S$5, INDIRECT($C102&amp;".Outputs[Vector]"), 0)), 0)</f>
        <v>0</v>
      </c>
      <c r="T102" s="619">
        <f t="shared" ca="1" si="254"/>
        <v>0</v>
      </c>
      <c r="U102" s="619">
        <f t="shared" ca="1" si="254"/>
        <v>0</v>
      </c>
      <c r="V102" s="619">
        <f t="shared" ca="1" si="254"/>
        <v>0</v>
      </c>
      <c r="W102" s="619">
        <f t="shared" ca="1" si="254"/>
        <v>0</v>
      </c>
      <c r="X102" s="619">
        <f t="shared" ca="1" si="254"/>
        <v>0</v>
      </c>
      <c r="Y102" s="619">
        <f t="shared" ca="1" si="254"/>
        <v>0</v>
      </c>
      <c r="Z102" s="619">
        <f t="shared" ca="1" si="254"/>
        <v>0</v>
      </c>
      <c r="AA102" s="619">
        <f t="shared" ca="1" si="254"/>
        <v>0</v>
      </c>
      <c r="AB102" s="619">
        <f t="shared" ca="1" si="254"/>
        <v>0</v>
      </c>
      <c r="AC102" s="619">
        <f t="shared" ca="1" si="254"/>
        <v>0</v>
      </c>
      <c r="AD102" s="619">
        <f t="shared" ca="1" si="254"/>
        <v>0</v>
      </c>
      <c r="AE102" s="619">
        <f t="shared" ca="1" si="254"/>
        <v>0</v>
      </c>
      <c r="AF102" s="619">
        <f t="shared" ca="1" si="254"/>
        <v>0</v>
      </c>
      <c r="AG102" s="619">
        <f t="shared" ca="1" si="254"/>
        <v>0</v>
      </c>
      <c r="AH102" s="619">
        <f t="shared" ca="1" si="254"/>
        <v>0</v>
      </c>
      <c r="AI102" s="619">
        <f t="shared" ca="1" si="254"/>
        <v>0</v>
      </c>
      <c r="AJ102" s="619">
        <f t="shared" ca="1" si="254"/>
        <v>0</v>
      </c>
      <c r="AK102" s="619">
        <f ca="1">SUM(S102:AJ102)</f>
        <v>0</v>
      </c>
      <c r="AL102" s="522"/>
      <c r="AM102" s="626">
        <f t="shared" ref="AM102:BE102" ca="1" si="255">IFERROR(INDEX(INDIRECT($C102&amp;".Outputs["&amp;this.Year&amp;"]"), MATCH(AM$5, INDIRECT($C102&amp;".Outputs[Vector]"), 0)), 0)</f>
        <v>0</v>
      </c>
      <c r="AN102" s="626">
        <f t="shared" ca="1" si="255"/>
        <v>0</v>
      </c>
      <c r="AO102" s="626">
        <f t="shared" ca="1" si="255"/>
        <v>0</v>
      </c>
      <c r="AP102" s="626">
        <f t="shared" ca="1" si="255"/>
        <v>0</v>
      </c>
      <c r="AQ102" s="626">
        <f t="shared" ca="1" si="255"/>
        <v>0</v>
      </c>
      <c r="AR102" s="626">
        <f t="shared" ca="1" si="255"/>
        <v>0</v>
      </c>
      <c r="AS102" s="626">
        <f t="shared" ca="1" si="255"/>
        <v>0</v>
      </c>
      <c r="AT102" s="626">
        <f t="shared" ca="1" si="255"/>
        <v>0</v>
      </c>
      <c r="AU102" s="626">
        <f t="shared" ca="1" si="255"/>
        <v>0</v>
      </c>
      <c r="AV102" s="626">
        <f t="shared" ca="1" si="255"/>
        <v>0</v>
      </c>
      <c r="AW102" s="626">
        <f t="shared" ca="1" si="255"/>
        <v>0</v>
      </c>
      <c r="AX102" s="626">
        <f t="shared" ca="1" si="255"/>
        <v>0</v>
      </c>
      <c r="AY102" s="626">
        <f t="shared" ca="1" si="255"/>
        <v>0</v>
      </c>
      <c r="AZ102" s="626">
        <f t="shared" ca="1" si="255"/>
        <v>0</v>
      </c>
      <c r="BA102" s="626">
        <f t="shared" ca="1" si="255"/>
        <v>0</v>
      </c>
      <c r="BB102" s="626">
        <f t="shared" ca="1" si="255"/>
        <v>0</v>
      </c>
      <c r="BC102" s="626">
        <f t="shared" ca="1" si="255"/>
        <v>0</v>
      </c>
      <c r="BD102" s="626">
        <f t="shared" ca="1" si="255"/>
        <v>0</v>
      </c>
      <c r="BE102" s="626">
        <f t="shared" ca="1" si="255"/>
        <v>0</v>
      </c>
      <c r="BF102" s="626">
        <f ca="1">SUM(AM102:BE102)</f>
        <v>0</v>
      </c>
      <c r="BG102" s="522"/>
      <c r="BH102" s="639">
        <f ca="1">IFERROR(INDEX(INDIRECT($C102&amp;".Outputs["&amp;this.Year&amp;"]"), MATCH(BH$5, INDIRECT($C102&amp;".Outputs[Vector]"), 0)), 0)</f>
        <v>0</v>
      </c>
      <c r="BI102" s="639">
        <f ca="1">IFERROR(INDEX(INDIRECT($C102&amp;".Outputs["&amp;this.Year&amp;"]"), MATCH(BI$5, INDIRECT($C102&amp;".Outputs[Vector]"), 0)), 0)</f>
        <v>0</v>
      </c>
      <c r="BJ102" s="639">
        <f ca="1">SUM(BH102:BI102)</f>
        <v>0</v>
      </c>
      <c r="BK102" s="522"/>
      <c r="BL102" s="497">
        <f t="shared" ref="BL102:BL109" ca="1" si="256">Q102+AK102+BF102+BJ102</f>
        <v>0</v>
      </c>
      <c r="BM102" s="547"/>
      <c r="BO102" s="944">
        <f t="shared" ref="BO102:BX103" ca="1" si="257">IFERROR(SUMIFS(INDIRECT($C102&amp;".Emissions["&amp;this.Year&amp;"]"), INDIRECT($C102&amp;".Emissions[GHG]"), BO$6, INDIRECT($C102&amp;".Emissions[IPCC Sector]"), BO$5),0)</f>
        <v>0</v>
      </c>
      <c r="BP102" s="945">
        <f t="shared" ca="1" si="257"/>
        <v>0</v>
      </c>
      <c r="BQ102" s="945">
        <f t="shared" ca="1" si="257"/>
        <v>0</v>
      </c>
      <c r="BR102" s="945">
        <f t="shared" ca="1" si="257"/>
        <v>0</v>
      </c>
      <c r="BS102" s="945">
        <f t="shared" ca="1" si="257"/>
        <v>0</v>
      </c>
      <c r="BT102" s="945">
        <f t="shared" ca="1" si="257"/>
        <v>0</v>
      </c>
      <c r="BU102" s="945">
        <f t="shared" ca="1" si="257"/>
        <v>0</v>
      </c>
      <c r="BV102" s="945">
        <f t="shared" ca="1" si="257"/>
        <v>0</v>
      </c>
      <c r="BW102" s="945">
        <f t="shared" ca="1" si="257"/>
        <v>0</v>
      </c>
      <c r="BX102" s="945">
        <f t="shared" ca="1" si="257"/>
        <v>0</v>
      </c>
      <c r="BY102" s="945">
        <f t="shared" ref="BY102:CH103" ca="1" si="258">IFERROR(SUMIFS(INDIRECT($C102&amp;".Emissions["&amp;this.Year&amp;"]"), INDIRECT($C102&amp;".Emissions[GHG]"), BY$6, INDIRECT($C102&amp;".Emissions[IPCC Sector]"), BY$5),0)</f>
        <v>0</v>
      </c>
      <c r="BZ102" s="945">
        <f t="shared" ca="1" si="258"/>
        <v>0</v>
      </c>
      <c r="CA102" s="945">
        <f t="shared" ca="1" si="258"/>
        <v>0</v>
      </c>
      <c r="CB102" s="945">
        <f t="shared" ca="1" si="258"/>
        <v>0</v>
      </c>
      <c r="CC102" s="945">
        <f t="shared" ca="1" si="258"/>
        <v>0</v>
      </c>
      <c r="CD102" s="945">
        <f t="shared" ca="1" si="258"/>
        <v>0</v>
      </c>
      <c r="CE102" s="945">
        <f t="shared" ca="1" si="258"/>
        <v>0</v>
      </c>
      <c r="CF102" s="945">
        <f t="shared" ca="1" si="258"/>
        <v>0</v>
      </c>
      <c r="CG102" s="945">
        <f t="shared" ca="1" si="258"/>
        <v>0</v>
      </c>
      <c r="CH102" s="945">
        <f t="shared" ca="1" si="258"/>
        <v>0</v>
      </c>
      <c r="CI102" s="945">
        <f t="shared" ref="CI102:CR103" ca="1" si="259">IFERROR(SUMIFS(INDIRECT($C102&amp;".Emissions["&amp;this.Year&amp;"]"), INDIRECT($C102&amp;".Emissions[GHG]"), CI$6, INDIRECT($C102&amp;".Emissions[IPCC Sector]"), CI$5),0)</f>
        <v>0</v>
      </c>
      <c r="CJ102" s="945">
        <f t="shared" ca="1" si="259"/>
        <v>0</v>
      </c>
      <c r="CK102" s="945">
        <f t="shared" ca="1" si="259"/>
        <v>0</v>
      </c>
      <c r="CL102" s="945">
        <f t="shared" ca="1" si="259"/>
        <v>0</v>
      </c>
      <c r="CM102" s="945">
        <f t="shared" ca="1" si="259"/>
        <v>0</v>
      </c>
      <c r="CN102" s="945">
        <f t="shared" ca="1" si="259"/>
        <v>0</v>
      </c>
      <c r="CO102" s="945">
        <f t="shared" ca="1" si="259"/>
        <v>0</v>
      </c>
      <c r="CP102" s="945">
        <f t="shared" ca="1" si="259"/>
        <v>0</v>
      </c>
      <c r="CQ102" s="945">
        <f t="shared" ca="1" si="259"/>
        <v>0</v>
      </c>
      <c r="CR102" s="945">
        <f t="shared" ca="1" si="259"/>
        <v>0</v>
      </c>
      <c r="CS102" s="945">
        <f t="shared" ref="CS102:DF103" ca="1" si="260">IFERROR(SUMIFS(INDIRECT($C102&amp;".Emissions["&amp;this.Year&amp;"]"), INDIRECT($C102&amp;".Emissions[GHG]"), CS$6, INDIRECT($C102&amp;".Emissions[IPCC Sector]"), CS$5),0)</f>
        <v>0</v>
      </c>
      <c r="CT102" s="945">
        <f t="shared" ca="1" si="260"/>
        <v>0</v>
      </c>
      <c r="CU102" s="945">
        <f t="shared" ca="1" si="260"/>
        <v>0</v>
      </c>
      <c r="CV102" s="945">
        <f t="shared" ca="1" si="260"/>
        <v>0</v>
      </c>
      <c r="CW102" s="945">
        <f t="shared" ca="1" si="260"/>
        <v>0</v>
      </c>
      <c r="CX102" s="945">
        <f t="shared" ca="1" si="260"/>
        <v>0</v>
      </c>
      <c r="CY102" s="945">
        <f t="shared" ca="1" si="260"/>
        <v>0</v>
      </c>
      <c r="CZ102" s="945">
        <f t="shared" ca="1" si="260"/>
        <v>0</v>
      </c>
      <c r="DA102" s="945">
        <f t="shared" ca="1" si="260"/>
        <v>0</v>
      </c>
      <c r="DB102" s="945">
        <f t="shared" ca="1" si="260"/>
        <v>0</v>
      </c>
      <c r="DC102" s="945">
        <f t="shared" ca="1" si="260"/>
        <v>0</v>
      </c>
      <c r="DD102" s="945">
        <f t="shared" ca="1" si="260"/>
        <v>0</v>
      </c>
      <c r="DE102" s="945">
        <f t="shared" ca="1" si="260"/>
        <v>0</v>
      </c>
      <c r="DF102" s="945">
        <f t="shared" ca="1" si="260"/>
        <v>0</v>
      </c>
      <c r="DH102" s="553">
        <f t="shared" ca="1" si="238"/>
        <v>0</v>
      </c>
    </row>
    <row r="103" spans="1:112" s="947" customFormat="1" ht="12.75" customHeight="1" outlineLevel="1">
      <c r="B103" s="955" t="s">
        <v>635</v>
      </c>
      <c r="C103" s="504" t="s">
        <v>768</v>
      </c>
      <c r="D103" s="656" t="str">
        <f>INDEX(Modules[Module], MATCH($C103, Modules[Code], 0))</f>
        <v>Balancing imports</v>
      </c>
      <c r="E103" s="656"/>
      <c r="F103" s="522"/>
      <c r="G103" s="728"/>
      <c r="H103" s="728"/>
      <c r="I103" s="728"/>
      <c r="J103" s="728"/>
      <c r="K103" s="729"/>
      <c r="L103" s="728"/>
      <c r="M103" s="728"/>
      <c r="N103" s="728"/>
      <c r="O103" s="728"/>
      <c r="P103" s="728"/>
      <c r="Q103" s="730">
        <f>SUM(G103:P103)</f>
        <v>0</v>
      </c>
      <c r="R103" s="522"/>
      <c r="S103" s="731"/>
      <c r="T103" s="731">
        <f ca="1">-(T$101+S$101)</f>
        <v>31.008546529888466</v>
      </c>
      <c r="U103" s="731"/>
      <c r="V103" s="731"/>
      <c r="W103" s="731"/>
      <c r="X103" s="731">
        <f ca="1">-(X$40+X$84+X$93+X$99+X$102)</f>
        <v>0</v>
      </c>
      <c r="Y103" s="731">
        <f ca="1">-(Y$40+Y$84+Y$93+Y$99+Y$102)</f>
        <v>0</v>
      </c>
      <c r="Z103" s="731">
        <f ca="1">-(Z$40+Z$84+Z$93+Z$99+Z$102)</f>
        <v>0</v>
      </c>
      <c r="AA103" s="731"/>
      <c r="AB103" s="731"/>
      <c r="AC103" s="731"/>
      <c r="AD103" s="731"/>
      <c r="AE103" s="731"/>
      <c r="AF103" s="731"/>
      <c r="AG103" s="731"/>
      <c r="AH103" s="731"/>
      <c r="AI103" s="731"/>
      <c r="AJ103" s="731"/>
      <c r="AK103" s="731">
        <f ca="1">SUM(S103:AJ103)</f>
        <v>31.008546529888466</v>
      </c>
      <c r="AL103" s="522"/>
      <c r="AM103" s="658"/>
      <c r="AN103" s="658"/>
      <c r="AO103" s="658"/>
      <c r="AP103" s="658"/>
      <c r="AQ103" s="658">
        <f ca="1">-T103</f>
        <v>-31.008546529888466</v>
      </c>
      <c r="AR103" s="658">
        <f>-V103</f>
        <v>0</v>
      </c>
      <c r="AS103" s="658">
        <f ca="1">-X103</f>
        <v>0</v>
      </c>
      <c r="AT103" s="658">
        <f ca="1">-Y103</f>
        <v>0</v>
      </c>
      <c r="AU103" s="658">
        <f ca="1">-Z103</f>
        <v>0</v>
      </c>
      <c r="AV103" s="658"/>
      <c r="AW103" s="658"/>
      <c r="AX103" s="658"/>
      <c r="AY103" s="658"/>
      <c r="AZ103" s="658"/>
      <c r="BA103" s="658"/>
      <c r="BB103" s="658"/>
      <c r="BC103" s="658"/>
      <c r="BD103" s="658"/>
      <c r="BE103" s="658"/>
      <c r="BF103" s="658">
        <f ca="1">SUM(AM103:BE103)</f>
        <v>-31.008546529888466</v>
      </c>
      <c r="BG103" s="522"/>
      <c r="BH103" s="732"/>
      <c r="BI103" s="732"/>
      <c r="BJ103" s="732">
        <f>SUM(BH103:BI103)</f>
        <v>0</v>
      </c>
      <c r="BK103" s="522"/>
      <c r="BL103" s="497">
        <f t="shared" ca="1" si="256"/>
        <v>0</v>
      </c>
      <c r="BM103" s="547"/>
      <c r="BO103" s="948">
        <f t="shared" ca="1" si="257"/>
        <v>0</v>
      </c>
      <c r="BP103" s="949">
        <f t="shared" ca="1" si="257"/>
        <v>0</v>
      </c>
      <c r="BQ103" s="949">
        <f t="shared" ca="1" si="257"/>
        <v>0</v>
      </c>
      <c r="BR103" s="949">
        <f t="shared" ca="1" si="257"/>
        <v>0</v>
      </c>
      <c r="BS103" s="949">
        <f t="shared" ca="1" si="257"/>
        <v>0</v>
      </c>
      <c r="BT103" s="949">
        <f t="shared" ca="1" si="257"/>
        <v>0</v>
      </c>
      <c r="BU103" s="949">
        <f t="shared" ca="1" si="257"/>
        <v>0</v>
      </c>
      <c r="BV103" s="949">
        <f t="shared" ca="1" si="257"/>
        <v>0</v>
      </c>
      <c r="BW103" s="949">
        <f t="shared" ca="1" si="257"/>
        <v>0</v>
      </c>
      <c r="BX103" s="949">
        <f t="shared" ca="1" si="257"/>
        <v>0</v>
      </c>
      <c r="BY103" s="949">
        <f t="shared" ca="1" si="258"/>
        <v>0</v>
      </c>
      <c r="BZ103" s="949">
        <f t="shared" ca="1" si="258"/>
        <v>0</v>
      </c>
      <c r="CA103" s="949">
        <f t="shared" ca="1" si="258"/>
        <v>0</v>
      </c>
      <c r="CB103" s="949">
        <f t="shared" ca="1" si="258"/>
        <v>0</v>
      </c>
      <c r="CC103" s="949">
        <f t="shared" ca="1" si="258"/>
        <v>0</v>
      </c>
      <c r="CD103" s="949">
        <f t="shared" ca="1" si="258"/>
        <v>0</v>
      </c>
      <c r="CE103" s="949">
        <f t="shared" ca="1" si="258"/>
        <v>0</v>
      </c>
      <c r="CF103" s="949">
        <f t="shared" ca="1" si="258"/>
        <v>0</v>
      </c>
      <c r="CG103" s="949">
        <f t="shared" ca="1" si="258"/>
        <v>0</v>
      </c>
      <c r="CH103" s="949">
        <f t="shared" ca="1" si="258"/>
        <v>0</v>
      </c>
      <c r="CI103" s="949">
        <f t="shared" ca="1" si="259"/>
        <v>0</v>
      </c>
      <c r="CJ103" s="949">
        <f t="shared" ca="1" si="259"/>
        <v>0</v>
      </c>
      <c r="CK103" s="949">
        <f t="shared" ca="1" si="259"/>
        <v>0</v>
      </c>
      <c r="CL103" s="949">
        <f t="shared" ca="1" si="259"/>
        <v>0</v>
      </c>
      <c r="CM103" s="949">
        <f t="shared" ca="1" si="259"/>
        <v>0</v>
      </c>
      <c r="CN103" s="949">
        <f t="shared" ca="1" si="259"/>
        <v>0</v>
      </c>
      <c r="CO103" s="949">
        <f t="shared" ca="1" si="259"/>
        <v>0</v>
      </c>
      <c r="CP103" s="949">
        <f t="shared" ca="1" si="259"/>
        <v>0</v>
      </c>
      <c r="CQ103" s="949">
        <f t="shared" ca="1" si="259"/>
        <v>0</v>
      </c>
      <c r="CR103" s="949">
        <f t="shared" ca="1" si="259"/>
        <v>0</v>
      </c>
      <c r="CS103" s="949">
        <f t="shared" ca="1" si="260"/>
        <v>0</v>
      </c>
      <c r="CT103" s="949">
        <f t="shared" ca="1" si="260"/>
        <v>0</v>
      </c>
      <c r="CU103" s="949">
        <f t="shared" ca="1" si="260"/>
        <v>0</v>
      </c>
      <c r="CV103" s="949">
        <f t="shared" ca="1" si="260"/>
        <v>0</v>
      </c>
      <c r="CW103" s="949">
        <f t="shared" ca="1" si="260"/>
        <v>0</v>
      </c>
      <c r="CX103" s="949">
        <f t="shared" ca="1" si="260"/>
        <v>0</v>
      </c>
      <c r="CY103" s="949">
        <f t="shared" ca="1" si="260"/>
        <v>0</v>
      </c>
      <c r="CZ103" s="949">
        <f t="shared" ca="1" si="260"/>
        <v>0</v>
      </c>
      <c r="DA103" s="949">
        <f t="shared" ca="1" si="260"/>
        <v>0</v>
      </c>
      <c r="DB103" s="949">
        <f t="shared" ca="1" si="260"/>
        <v>0</v>
      </c>
      <c r="DC103" s="949">
        <f t="shared" ca="1" si="260"/>
        <v>0</v>
      </c>
      <c r="DD103" s="949">
        <f t="shared" ca="1" si="260"/>
        <v>0</v>
      </c>
      <c r="DE103" s="949">
        <f t="shared" ca="1" si="260"/>
        <v>0</v>
      </c>
      <c r="DF103" s="949">
        <f t="shared" ca="1" si="260"/>
        <v>0</v>
      </c>
      <c r="DH103" s="553">
        <f t="shared" ca="1" si="238"/>
        <v>0</v>
      </c>
    </row>
    <row r="104" spans="1:112" s="522" customFormat="1" ht="15">
      <c r="B104" s="527" t="s">
        <v>635</v>
      </c>
      <c r="C104" s="498" t="s">
        <v>766</v>
      </c>
      <c r="D104" s="499" t="str">
        <f>INDEX(Workstreams[Workstream], MATCH($C104, Workstreams[Code], 0))</f>
        <v>Transfers</v>
      </c>
      <c r="E104" s="493"/>
      <c r="G104" s="667">
        <f t="shared" ref="G104:P104" ca="1" si="261">SUM(G102:G103)</f>
        <v>0</v>
      </c>
      <c r="H104" s="667">
        <f t="shared" ca="1" si="261"/>
        <v>0</v>
      </c>
      <c r="I104" s="667">
        <f t="shared" ca="1" si="261"/>
        <v>0</v>
      </c>
      <c r="J104" s="667">
        <f t="shared" ca="1" si="261"/>
        <v>0</v>
      </c>
      <c r="K104" s="667">
        <f t="shared" ca="1" si="261"/>
        <v>0</v>
      </c>
      <c r="L104" s="667">
        <f t="shared" ca="1" si="261"/>
        <v>0</v>
      </c>
      <c r="M104" s="667">
        <f t="shared" ca="1" si="261"/>
        <v>0</v>
      </c>
      <c r="N104" s="667">
        <f t="shared" ca="1" si="261"/>
        <v>0</v>
      </c>
      <c r="O104" s="667">
        <f t="shared" ca="1" si="261"/>
        <v>0</v>
      </c>
      <c r="P104" s="667">
        <f t="shared" ca="1" si="261"/>
        <v>0</v>
      </c>
      <c r="Q104" s="667">
        <f ca="1">SUM(G104:P104)</f>
        <v>0</v>
      </c>
      <c r="S104" s="617">
        <f t="shared" ref="S104:AJ104" ca="1" si="262">SUM(S102:S103)</f>
        <v>0</v>
      </c>
      <c r="T104" s="617">
        <f t="shared" ca="1" si="262"/>
        <v>31.008546529888466</v>
      </c>
      <c r="U104" s="617">
        <f t="shared" ca="1" si="262"/>
        <v>0</v>
      </c>
      <c r="V104" s="617">
        <f t="shared" ca="1" si="262"/>
        <v>0</v>
      </c>
      <c r="W104" s="617">
        <f t="shared" ca="1" si="262"/>
        <v>0</v>
      </c>
      <c r="X104" s="617">
        <f t="shared" ca="1" si="262"/>
        <v>0</v>
      </c>
      <c r="Y104" s="617">
        <f t="shared" ca="1" si="262"/>
        <v>0</v>
      </c>
      <c r="Z104" s="617">
        <f t="shared" ca="1" si="262"/>
        <v>0</v>
      </c>
      <c r="AA104" s="617">
        <f t="shared" ca="1" si="262"/>
        <v>0</v>
      </c>
      <c r="AB104" s="617">
        <f t="shared" ca="1" si="262"/>
        <v>0</v>
      </c>
      <c r="AC104" s="617">
        <f t="shared" ca="1" si="262"/>
        <v>0</v>
      </c>
      <c r="AD104" s="617">
        <f t="shared" ca="1" si="262"/>
        <v>0</v>
      </c>
      <c r="AE104" s="617">
        <f ca="1">SUM(AE102:AE103)</f>
        <v>0</v>
      </c>
      <c r="AF104" s="617">
        <f t="shared" ca="1" si="262"/>
        <v>0</v>
      </c>
      <c r="AG104" s="617">
        <f t="shared" ca="1" si="262"/>
        <v>0</v>
      </c>
      <c r="AH104" s="617">
        <f ca="1">SUM(AH102:AH103)</f>
        <v>0</v>
      </c>
      <c r="AI104" s="617">
        <f t="shared" ca="1" si="262"/>
        <v>0</v>
      </c>
      <c r="AJ104" s="617">
        <f t="shared" ca="1" si="262"/>
        <v>0</v>
      </c>
      <c r="AK104" s="617">
        <f ca="1">SUM(S104:AJ104)</f>
        <v>31.008546529888466</v>
      </c>
      <c r="AM104" s="623">
        <f t="shared" ref="AM104:BE104" ca="1" si="263">SUM(AM102:AM103)</f>
        <v>0</v>
      </c>
      <c r="AN104" s="623">
        <f t="shared" ca="1" si="263"/>
        <v>0</v>
      </c>
      <c r="AO104" s="623">
        <f t="shared" ca="1" si="263"/>
        <v>0</v>
      </c>
      <c r="AP104" s="623">
        <f t="shared" ca="1" si="263"/>
        <v>0</v>
      </c>
      <c r="AQ104" s="623">
        <f t="shared" ca="1" si="263"/>
        <v>-31.008546529888466</v>
      </c>
      <c r="AR104" s="623">
        <f t="shared" ca="1" si="263"/>
        <v>0</v>
      </c>
      <c r="AS104" s="623">
        <f t="shared" ca="1" si="263"/>
        <v>0</v>
      </c>
      <c r="AT104" s="623">
        <f t="shared" ca="1" si="263"/>
        <v>0</v>
      </c>
      <c r="AU104" s="623">
        <f t="shared" ca="1" si="263"/>
        <v>0</v>
      </c>
      <c r="AV104" s="623">
        <f t="shared" ca="1" si="263"/>
        <v>0</v>
      </c>
      <c r="AW104" s="623">
        <f t="shared" ca="1" si="263"/>
        <v>0</v>
      </c>
      <c r="AX104" s="623">
        <f t="shared" ca="1" si="263"/>
        <v>0</v>
      </c>
      <c r="AY104" s="623">
        <f t="shared" ca="1" si="263"/>
        <v>0</v>
      </c>
      <c r="AZ104" s="623">
        <f t="shared" ca="1" si="263"/>
        <v>0</v>
      </c>
      <c r="BA104" s="623">
        <f t="shared" ca="1" si="263"/>
        <v>0</v>
      </c>
      <c r="BB104" s="623">
        <f t="shared" ca="1" si="263"/>
        <v>0</v>
      </c>
      <c r="BC104" s="623">
        <f t="shared" ca="1" si="263"/>
        <v>0</v>
      </c>
      <c r="BD104" s="623">
        <f t="shared" ca="1" si="263"/>
        <v>0</v>
      </c>
      <c r="BE104" s="623">
        <f t="shared" ca="1" si="263"/>
        <v>0</v>
      </c>
      <c r="BF104" s="623">
        <f ca="1">SUM(AM104:BE104)</f>
        <v>-31.008546529888466</v>
      </c>
      <c r="BH104" s="637">
        <f ca="1">SUM(BH102:BH103)</f>
        <v>0</v>
      </c>
      <c r="BI104" s="637">
        <f ca="1">SUM(BI102:BI103)</f>
        <v>0</v>
      </c>
      <c r="BJ104" s="637">
        <f ca="1">SUM(BH104:BI104)</f>
        <v>0</v>
      </c>
      <c r="BL104" s="497">
        <f t="shared" ca="1" si="256"/>
        <v>0</v>
      </c>
      <c r="BM104" s="497"/>
      <c r="BN104" s="555"/>
      <c r="BO104" s="945">
        <f t="shared" ref="BO104:DF104" ca="1" si="264">SUM(BO102:BO103)</f>
        <v>0</v>
      </c>
      <c r="BP104" s="945">
        <f t="shared" ca="1" si="264"/>
        <v>0</v>
      </c>
      <c r="BQ104" s="945">
        <f t="shared" ca="1" si="264"/>
        <v>0</v>
      </c>
      <c r="BR104" s="945">
        <f t="shared" ca="1" si="264"/>
        <v>0</v>
      </c>
      <c r="BS104" s="945">
        <f t="shared" ca="1" si="264"/>
        <v>0</v>
      </c>
      <c r="BT104" s="945">
        <f t="shared" ca="1" si="264"/>
        <v>0</v>
      </c>
      <c r="BU104" s="945">
        <f t="shared" ca="1" si="264"/>
        <v>0</v>
      </c>
      <c r="BV104" s="945">
        <f t="shared" ca="1" si="264"/>
        <v>0</v>
      </c>
      <c r="BW104" s="945">
        <f t="shared" ca="1" si="264"/>
        <v>0</v>
      </c>
      <c r="BX104" s="945">
        <f t="shared" ca="1" si="264"/>
        <v>0</v>
      </c>
      <c r="BY104" s="945">
        <f t="shared" ca="1" si="264"/>
        <v>0</v>
      </c>
      <c r="BZ104" s="945">
        <f t="shared" ca="1" si="264"/>
        <v>0</v>
      </c>
      <c r="CA104" s="945">
        <f t="shared" ca="1" si="264"/>
        <v>0</v>
      </c>
      <c r="CB104" s="945">
        <f t="shared" ca="1" si="264"/>
        <v>0</v>
      </c>
      <c r="CC104" s="945">
        <f t="shared" ca="1" si="264"/>
        <v>0</v>
      </c>
      <c r="CD104" s="945">
        <f t="shared" ca="1" si="264"/>
        <v>0</v>
      </c>
      <c r="CE104" s="945">
        <f t="shared" ca="1" si="264"/>
        <v>0</v>
      </c>
      <c r="CF104" s="945">
        <f t="shared" ca="1" si="264"/>
        <v>0</v>
      </c>
      <c r="CG104" s="945">
        <f t="shared" ca="1" si="264"/>
        <v>0</v>
      </c>
      <c r="CH104" s="945">
        <f t="shared" ca="1" si="264"/>
        <v>0</v>
      </c>
      <c r="CI104" s="945">
        <f t="shared" ca="1" si="264"/>
        <v>0</v>
      </c>
      <c r="CJ104" s="945">
        <f t="shared" ca="1" si="264"/>
        <v>0</v>
      </c>
      <c r="CK104" s="945">
        <f t="shared" ca="1" si="264"/>
        <v>0</v>
      </c>
      <c r="CL104" s="945">
        <f t="shared" ca="1" si="264"/>
        <v>0</v>
      </c>
      <c r="CM104" s="945">
        <f t="shared" ca="1" si="264"/>
        <v>0</v>
      </c>
      <c r="CN104" s="945">
        <f t="shared" ca="1" si="264"/>
        <v>0</v>
      </c>
      <c r="CO104" s="945">
        <f t="shared" ca="1" si="264"/>
        <v>0</v>
      </c>
      <c r="CP104" s="945">
        <f t="shared" ca="1" si="264"/>
        <v>0</v>
      </c>
      <c r="CQ104" s="945">
        <f t="shared" ca="1" si="264"/>
        <v>0</v>
      </c>
      <c r="CR104" s="945">
        <f t="shared" ca="1" si="264"/>
        <v>0</v>
      </c>
      <c r="CS104" s="945">
        <f t="shared" ca="1" si="264"/>
        <v>0</v>
      </c>
      <c r="CT104" s="945">
        <f t="shared" ca="1" si="264"/>
        <v>0</v>
      </c>
      <c r="CU104" s="945">
        <f t="shared" ca="1" si="264"/>
        <v>0</v>
      </c>
      <c r="CV104" s="945">
        <f t="shared" ca="1" si="264"/>
        <v>0</v>
      </c>
      <c r="CW104" s="945">
        <f t="shared" ca="1" si="264"/>
        <v>0</v>
      </c>
      <c r="CX104" s="945">
        <f t="shared" ca="1" si="264"/>
        <v>0</v>
      </c>
      <c r="CY104" s="945">
        <f t="shared" ca="1" si="264"/>
        <v>0</v>
      </c>
      <c r="CZ104" s="945">
        <f t="shared" ca="1" si="264"/>
        <v>0</v>
      </c>
      <c r="DA104" s="945">
        <f t="shared" ca="1" si="264"/>
        <v>0</v>
      </c>
      <c r="DB104" s="945">
        <f t="shared" ca="1" si="264"/>
        <v>0</v>
      </c>
      <c r="DC104" s="945">
        <f t="shared" ca="1" si="264"/>
        <v>0</v>
      </c>
      <c r="DD104" s="945">
        <f t="shared" ca="1" si="264"/>
        <v>0</v>
      </c>
      <c r="DE104" s="945">
        <f t="shared" ca="1" si="264"/>
        <v>0</v>
      </c>
      <c r="DF104" s="945">
        <f t="shared" ca="1" si="264"/>
        <v>0</v>
      </c>
      <c r="DH104" s="553">
        <f t="shared" ca="1" si="238"/>
        <v>0</v>
      </c>
    </row>
    <row r="105" spans="1:112" s="522" customFormat="1" ht="6" customHeight="1">
      <c r="C105" s="492"/>
      <c r="D105" s="493"/>
      <c r="E105" s="493"/>
      <c r="G105" s="605"/>
      <c r="H105" s="605"/>
      <c r="I105" s="605"/>
      <c r="J105" s="605"/>
      <c r="K105" s="607"/>
      <c r="L105" s="605"/>
      <c r="M105" s="605"/>
      <c r="N105" s="605"/>
      <c r="O105" s="605"/>
      <c r="P105" s="605"/>
      <c r="Q105" s="605"/>
      <c r="S105" s="617"/>
      <c r="T105" s="617"/>
      <c r="U105" s="617"/>
      <c r="V105" s="617"/>
      <c r="W105" s="617"/>
      <c r="X105" s="617"/>
      <c r="Y105" s="617"/>
      <c r="Z105" s="617"/>
      <c r="AA105" s="617"/>
      <c r="AB105" s="617"/>
      <c r="AC105" s="617"/>
      <c r="AD105" s="617"/>
      <c r="AE105" s="617"/>
      <c r="AF105" s="617"/>
      <c r="AG105" s="617"/>
      <c r="AH105" s="617"/>
      <c r="AI105" s="617"/>
      <c r="AJ105" s="617"/>
      <c r="AK105" s="617"/>
      <c r="AM105" s="623"/>
      <c r="AN105" s="623"/>
      <c r="AO105" s="623"/>
      <c r="AP105" s="623"/>
      <c r="AQ105" s="623"/>
      <c r="AR105" s="623"/>
      <c r="AS105" s="623"/>
      <c r="AT105" s="623"/>
      <c r="AU105" s="623"/>
      <c r="AV105" s="623"/>
      <c r="AW105" s="623"/>
      <c r="AX105" s="623"/>
      <c r="AY105" s="623"/>
      <c r="AZ105" s="623"/>
      <c r="BA105" s="623"/>
      <c r="BB105" s="623"/>
      <c r="BC105" s="623"/>
      <c r="BD105" s="623"/>
      <c r="BE105" s="623"/>
      <c r="BF105" s="623"/>
      <c r="BH105" s="637"/>
      <c r="BI105" s="637"/>
      <c r="BJ105" s="637"/>
      <c r="BL105" s="497">
        <f t="shared" si="256"/>
        <v>0</v>
      </c>
      <c r="BM105" s="497"/>
      <c r="BO105" s="945"/>
      <c r="BP105" s="945"/>
      <c r="BQ105" s="945"/>
      <c r="BR105" s="945"/>
      <c r="BS105" s="945"/>
      <c r="BT105" s="945"/>
      <c r="BU105" s="945"/>
      <c r="BV105" s="945"/>
      <c r="BW105" s="945"/>
      <c r="BX105" s="945"/>
      <c r="BY105" s="945"/>
      <c r="BZ105" s="945"/>
      <c r="CA105" s="945"/>
      <c r="CB105" s="945"/>
      <c r="CC105" s="945"/>
      <c r="CD105" s="945"/>
      <c r="CE105" s="945"/>
      <c r="CF105" s="945"/>
      <c r="CG105" s="945"/>
      <c r="CH105" s="945"/>
      <c r="CI105" s="945"/>
      <c r="CJ105" s="945"/>
      <c r="CK105" s="945"/>
      <c r="CL105" s="945"/>
      <c r="CM105" s="945"/>
      <c r="CN105" s="945"/>
      <c r="CO105" s="945"/>
      <c r="CP105" s="945"/>
      <c r="CQ105" s="945"/>
      <c r="CR105" s="945"/>
      <c r="CS105" s="945"/>
      <c r="CT105" s="945"/>
      <c r="CU105" s="945"/>
      <c r="CV105" s="945"/>
      <c r="CW105" s="945"/>
      <c r="CX105" s="945"/>
      <c r="CY105" s="945"/>
      <c r="CZ105" s="945"/>
      <c r="DA105" s="945"/>
      <c r="DB105" s="945"/>
      <c r="DC105" s="945"/>
      <c r="DD105" s="945"/>
      <c r="DE105" s="945"/>
      <c r="DF105" s="945"/>
      <c r="DH105" s="553"/>
    </row>
    <row r="106" spans="1:112" s="522" customFormat="1" ht="15">
      <c r="B106" s="527"/>
      <c r="C106" s="1108" t="s">
        <v>1094</v>
      </c>
      <c r="D106" s="510" t="s">
        <v>770</v>
      </c>
      <c r="E106" s="511"/>
      <c r="G106" s="713">
        <f t="shared" ref="G106:P106" ca="1" si="265">G$93+G$99+G$104</f>
        <v>0</v>
      </c>
      <c r="H106" s="713">
        <f t="shared" ca="1" si="265"/>
        <v>0</v>
      </c>
      <c r="I106" s="713">
        <f t="shared" ca="1" si="265"/>
        <v>0</v>
      </c>
      <c r="J106" s="713">
        <f t="shared" ca="1" si="265"/>
        <v>0</v>
      </c>
      <c r="K106" s="714">
        <f t="shared" ca="1" si="265"/>
        <v>0</v>
      </c>
      <c r="L106" s="713">
        <f t="shared" ca="1" si="265"/>
        <v>0</v>
      </c>
      <c r="M106" s="713">
        <f t="shared" ca="1" si="265"/>
        <v>0</v>
      </c>
      <c r="N106" s="713">
        <f t="shared" ca="1" si="265"/>
        <v>0</v>
      </c>
      <c r="O106" s="713">
        <f t="shared" ca="1" si="265"/>
        <v>0</v>
      </c>
      <c r="P106" s="713">
        <f t="shared" ca="1" si="265"/>
        <v>0</v>
      </c>
      <c r="Q106" s="669">
        <f ca="1">SUM(G106:P106)</f>
        <v>0</v>
      </c>
      <c r="S106" s="660">
        <f t="shared" ref="S106:AJ106" ca="1" si="266">S$93+S$99+S$104</f>
        <v>0</v>
      </c>
      <c r="T106" s="660">
        <f t="shared" ca="1" si="266"/>
        <v>31.008546529888466</v>
      </c>
      <c r="U106" s="660">
        <f t="shared" ca="1" si="266"/>
        <v>0</v>
      </c>
      <c r="V106" s="660">
        <f t="shared" ca="1" si="266"/>
        <v>0</v>
      </c>
      <c r="W106" s="660">
        <f t="shared" ca="1" si="266"/>
        <v>0</v>
      </c>
      <c r="X106" s="660">
        <f t="shared" ca="1" si="266"/>
        <v>0</v>
      </c>
      <c r="Y106" s="660">
        <f t="shared" ca="1" si="266"/>
        <v>0</v>
      </c>
      <c r="Z106" s="660">
        <f t="shared" ca="1" si="266"/>
        <v>0</v>
      </c>
      <c r="AA106" s="660">
        <f t="shared" ca="1" si="266"/>
        <v>0</v>
      </c>
      <c r="AB106" s="660">
        <f t="shared" ca="1" si="266"/>
        <v>0</v>
      </c>
      <c r="AC106" s="660">
        <f t="shared" ca="1" si="266"/>
        <v>0</v>
      </c>
      <c r="AD106" s="660">
        <f t="shared" ca="1" si="266"/>
        <v>0</v>
      </c>
      <c r="AE106" s="660">
        <f t="shared" ca="1" si="266"/>
        <v>0</v>
      </c>
      <c r="AF106" s="660">
        <f t="shared" ca="1" si="266"/>
        <v>0</v>
      </c>
      <c r="AG106" s="660">
        <f t="shared" ca="1" si="266"/>
        <v>0</v>
      </c>
      <c r="AH106" s="660">
        <f t="shared" ca="1" si="266"/>
        <v>0</v>
      </c>
      <c r="AI106" s="660">
        <f t="shared" ca="1" si="266"/>
        <v>0</v>
      </c>
      <c r="AJ106" s="660">
        <f t="shared" ca="1" si="266"/>
        <v>0</v>
      </c>
      <c r="AK106" s="660">
        <f ca="1">SUM(S106:AJ106)</f>
        <v>31.008546529888466</v>
      </c>
      <c r="AM106" s="661">
        <f t="shared" ref="AM106:BE106" ca="1" si="267">AM$93+AM$99+AM$104</f>
        <v>0</v>
      </c>
      <c r="AN106" s="661">
        <f t="shared" ca="1" si="267"/>
        <v>0</v>
      </c>
      <c r="AO106" s="661">
        <f t="shared" ca="1" si="267"/>
        <v>0</v>
      </c>
      <c r="AP106" s="661">
        <f t="shared" ca="1" si="267"/>
        <v>0</v>
      </c>
      <c r="AQ106" s="661">
        <f t="shared" ca="1" si="267"/>
        <v>-31.008546529888466</v>
      </c>
      <c r="AR106" s="661">
        <f t="shared" ca="1" si="267"/>
        <v>0</v>
      </c>
      <c r="AS106" s="661">
        <f t="shared" ca="1" si="267"/>
        <v>0</v>
      </c>
      <c r="AT106" s="661">
        <f t="shared" ca="1" si="267"/>
        <v>0</v>
      </c>
      <c r="AU106" s="661">
        <f t="shared" ca="1" si="267"/>
        <v>0</v>
      </c>
      <c r="AV106" s="661">
        <f t="shared" ca="1" si="267"/>
        <v>0</v>
      </c>
      <c r="AW106" s="661">
        <f t="shared" ca="1" si="267"/>
        <v>0</v>
      </c>
      <c r="AX106" s="661">
        <f t="shared" ca="1" si="267"/>
        <v>0</v>
      </c>
      <c r="AY106" s="661">
        <f t="shared" ca="1" si="267"/>
        <v>0</v>
      </c>
      <c r="AZ106" s="661">
        <f t="shared" ca="1" si="267"/>
        <v>0</v>
      </c>
      <c r="BA106" s="661">
        <f t="shared" ca="1" si="267"/>
        <v>0</v>
      </c>
      <c r="BB106" s="661">
        <f t="shared" ca="1" si="267"/>
        <v>0</v>
      </c>
      <c r="BC106" s="661">
        <f t="shared" ca="1" si="267"/>
        <v>0</v>
      </c>
      <c r="BD106" s="661">
        <f t="shared" ca="1" si="267"/>
        <v>0</v>
      </c>
      <c r="BE106" s="661">
        <f t="shared" ca="1" si="267"/>
        <v>0</v>
      </c>
      <c r="BF106" s="661">
        <f ca="1">SUM(AM106:BE106)</f>
        <v>-31.008546529888466</v>
      </c>
      <c r="BH106" s="662">
        <f ca="1">BH$93+BH$99+BH$104</f>
        <v>0</v>
      </c>
      <c r="BI106" s="662">
        <f ca="1">BI$93+BI$99+BI$104</f>
        <v>0</v>
      </c>
      <c r="BJ106" s="662">
        <f ca="1">SUM(BH106:BI106)</f>
        <v>0</v>
      </c>
      <c r="BL106" s="500">
        <f t="shared" ca="1" si="256"/>
        <v>0</v>
      </c>
      <c r="BM106" s="500"/>
      <c r="BO106" s="950">
        <f t="shared" ref="BO106:DE106" ca="1" si="268">BO$93+BO$99+BO$104</f>
        <v>0</v>
      </c>
      <c r="BP106" s="950">
        <f t="shared" ca="1" si="268"/>
        <v>0</v>
      </c>
      <c r="BQ106" s="950">
        <f t="shared" ca="1" si="268"/>
        <v>0</v>
      </c>
      <c r="BR106" s="950">
        <f t="shared" ca="1" si="268"/>
        <v>0</v>
      </c>
      <c r="BS106" s="950">
        <f t="shared" ca="1" si="268"/>
        <v>0</v>
      </c>
      <c r="BT106" s="950">
        <f t="shared" ca="1" si="268"/>
        <v>0</v>
      </c>
      <c r="BU106" s="950">
        <f t="shared" ca="1" si="268"/>
        <v>0</v>
      </c>
      <c r="BV106" s="950">
        <f t="shared" ca="1" si="268"/>
        <v>0</v>
      </c>
      <c r="BW106" s="950">
        <f t="shared" ca="1" si="268"/>
        <v>0</v>
      </c>
      <c r="BX106" s="950">
        <f t="shared" ca="1" si="268"/>
        <v>0</v>
      </c>
      <c r="BY106" s="950">
        <f t="shared" ca="1" si="268"/>
        <v>0</v>
      </c>
      <c r="BZ106" s="950">
        <f t="shared" ca="1" si="268"/>
        <v>0</v>
      </c>
      <c r="CA106" s="950">
        <f t="shared" ca="1" si="268"/>
        <v>0</v>
      </c>
      <c r="CB106" s="950">
        <f t="shared" ca="1" si="268"/>
        <v>0</v>
      </c>
      <c r="CC106" s="950">
        <f t="shared" ca="1" si="268"/>
        <v>0</v>
      </c>
      <c r="CD106" s="950">
        <f t="shared" ca="1" si="268"/>
        <v>0</v>
      </c>
      <c r="CE106" s="950">
        <f t="shared" ca="1" si="268"/>
        <v>0</v>
      </c>
      <c r="CF106" s="950">
        <f t="shared" ca="1" si="268"/>
        <v>0</v>
      </c>
      <c r="CG106" s="950">
        <f t="shared" ca="1" si="268"/>
        <v>0</v>
      </c>
      <c r="CH106" s="950">
        <f t="shared" ca="1" si="268"/>
        <v>0</v>
      </c>
      <c r="CI106" s="950">
        <f t="shared" ca="1" si="268"/>
        <v>0</v>
      </c>
      <c r="CJ106" s="950">
        <f t="shared" ca="1" si="268"/>
        <v>0</v>
      </c>
      <c r="CK106" s="950">
        <f t="shared" ca="1" si="268"/>
        <v>0</v>
      </c>
      <c r="CL106" s="950">
        <f t="shared" ca="1" si="268"/>
        <v>0</v>
      </c>
      <c r="CM106" s="950">
        <f t="shared" ca="1" si="268"/>
        <v>0</v>
      </c>
      <c r="CN106" s="950">
        <f t="shared" ca="1" si="268"/>
        <v>0</v>
      </c>
      <c r="CO106" s="950">
        <f t="shared" ca="1" si="268"/>
        <v>0</v>
      </c>
      <c r="CP106" s="950">
        <f t="shared" ca="1" si="268"/>
        <v>0</v>
      </c>
      <c r="CQ106" s="950">
        <f t="shared" ca="1" si="268"/>
        <v>0</v>
      </c>
      <c r="CR106" s="950">
        <f t="shared" ca="1" si="268"/>
        <v>0</v>
      </c>
      <c r="CS106" s="950">
        <f t="shared" ca="1" si="268"/>
        <v>0</v>
      </c>
      <c r="CT106" s="950">
        <f t="shared" ca="1" si="268"/>
        <v>0</v>
      </c>
      <c r="CU106" s="950">
        <f t="shared" ca="1" si="268"/>
        <v>0</v>
      </c>
      <c r="CV106" s="950">
        <f t="shared" ca="1" si="268"/>
        <v>0</v>
      </c>
      <c r="CW106" s="950">
        <f t="shared" ca="1" si="268"/>
        <v>0</v>
      </c>
      <c r="CX106" s="950">
        <f t="shared" ca="1" si="268"/>
        <v>0</v>
      </c>
      <c r="CY106" s="950">
        <f t="shared" ca="1" si="268"/>
        <v>0</v>
      </c>
      <c r="CZ106" s="950">
        <f t="shared" ca="1" si="268"/>
        <v>0</v>
      </c>
      <c r="DA106" s="950">
        <f t="shared" ca="1" si="268"/>
        <v>0</v>
      </c>
      <c r="DB106" s="950">
        <f t="shared" ca="1" si="268"/>
        <v>0</v>
      </c>
      <c r="DC106" s="950">
        <f t="shared" ca="1" si="268"/>
        <v>0</v>
      </c>
      <c r="DD106" s="950">
        <f t="shared" ca="1" si="268"/>
        <v>0</v>
      </c>
      <c r="DE106" s="950">
        <f t="shared" ca="1" si="268"/>
        <v>0</v>
      </c>
      <c r="DF106" s="950">
        <f ca="1">DF$93+DF$104</f>
        <v>0</v>
      </c>
      <c r="DH106" s="551">
        <f ca="1">SUM(BO106:DF106)</f>
        <v>0</v>
      </c>
    </row>
    <row r="107" spans="1:112" s="522" customFormat="1">
      <c r="C107" s="492"/>
      <c r="D107" s="493"/>
      <c r="E107" s="493"/>
      <c r="G107" s="605"/>
      <c r="H107" s="605"/>
      <c r="I107" s="605"/>
      <c r="J107" s="605"/>
      <c r="K107" s="607"/>
      <c r="L107" s="605"/>
      <c r="M107" s="605"/>
      <c r="N107" s="605"/>
      <c r="O107" s="605"/>
      <c r="P107" s="605"/>
      <c r="Q107" s="605"/>
      <c r="S107" s="617"/>
      <c r="T107" s="617"/>
      <c r="U107" s="617"/>
      <c r="V107" s="617"/>
      <c r="W107" s="617"/>
      <c r="X107" s="617"/>
      <c r="Y107" s="617"/>
      <c r="Z107" s="617"/>
      <c r="AA107" s="617"/>
      <c r="AB107" s="617"/>
      <c r="AC107" s="617"/>
      <c r="AD107" s="617"/>
      <c r="AE107" s="617"/>
      <c r="AF107" s="617"/>
      <c r="AG107" s="617"/>
      <c r="AH107" s="617"/>
      <c r="AI107" s="617"/>
      <c r="AJ107" s="617"/>
      <c r="AK107" s="617"/>
      <c r="AM107" s="623"/>
      <c r="AN107" s="623"/>
      <c r="AO107" s="623"/>
      <c r="AP107" s="623"/>
      <c r="AQ107" s="623"/>
      <c r="AR107" s="623"/>
      <c r="AS107" s="623"/>
      <c r="AT107" s="623"/>
      <c r="AU107" s="623"/>
      <c r="AV107" s="623"/>
      <c r="AW107" s="623"/>
      <c r="AX107" s="623"/>
      <c r="AY107" s="623"/>
      <c r="AZ107" s="623"/>
      <c r="BA107" s="623"/>
      <c r="BB107" s="623"/>
      <c r="BC107" s="623"/>
      <c r="BD107" s="623"/>
      <c r="BE107" s="623"/>
      <c r="BF107" s="623"/>
      <c r="BH107" s="637"/>
      <c r="BI107" s="637"/>
      <c r="BJ107" s="637"/>
      <c r="BL107" s="497">
        <f t="shared" si="256"/>
        <v>0</v>
      </c>
      <c r="BM107" s="497"/>
      <c r="BO107" s="945"/>
      <c r="BP107" s="945"/>
      <c r="BQ107" s="945"/>
      <c r="BR107" s="945"/>
      <c r="BS107" s="945"/>
      <c r="BT107" s="945"/>
      <c r="BU107" s="945"/>
      <c r="BV107" s="945"/>
      <c r="BW107" s="945"/>
      <c r="BX107" s="945"/>
      <c r="BY107" s="945"/>
      <c r="BZ107" s="945"/>
      <c r="CA107" s="945"/>
      <c r="CB107" s="945"/>
      <c r="CC107" s="945"/>
      <c r="CD107" s="945"/>
      <c r="CE107" s="945"/>
      <c r="CF107" s="945"/>
      <c r="CG107" s="945"/>
      <c r="CH107" s="945"/>
      <c r="CI107" s="945"/>
      <c r="CJ107" s="945"/>
      <c r="CK107" s="945"/>
      <c r="CL107" s="945"/>
      <c r="CM107" s="945"/>
      <c r="CN107" s="945"/>
      <c r="CO107" s="945"/>
      <c r="CP107" s="945"/>
      <c r="CQ107" s="945"/>
      <c r="CR107" s="945"/>
      <c r="CS107" s="945"/>
      <c r="CT107" s="945"/>
      <c r="CU107" s="945"/>
      <c r="CV107" s="945"/>
      <c r="CW107" s="945"/>
      <c r="CX107" s="945"/>
      <c r="CY107" s="945"/>
      <c r="CZ107" s="945"/>
      <c r="DA107" s="945"/>
      <c r="DB107" s="945"/>
      <c r="DC107" s="945"/>
      <c r="DD107" s="945"/>
      <c r="DE107" s="945"/>
      <c r="DF107" s="945"/>
      <c r="DH107" s="553"/>
    </row>
    <row r="108" spans="1:112" s="522" customFormat="1" ht="14" thickBot="1">
      <c r="C108" s="492"/>
      <c r="D108" s="493"/>
      <c r="E108" s="493"/>
      <c r="G108" s="605"/>
      <c r="H108" s="605"/>
      <c r="I108" s="605"/>
      <c r="J108" s="605"/>
      <c r="K108" s="607"/>
      <c r="L108" s="605"/>
      <c r="M108" s="605"/>
      <c r="N108" s="605"/>
      <c r="O108" s="605"/>
      <c r="P108" s="605"/>
      <c r="Q108" s="605"/>
      <c r="S108" s="617"/>
      <c r="T108" s="617"/>
      <c r="U108" s="617"/>
      <c r="V108" s="617"/>
      <c r="W108" s="617"/>
      <c r="X108" s="617"/>
      <c r="Y108" s="617"/>
      <c r="Z108" s="617"/>
      <c r="AA108" s="617"/>
      <c r="AB108" s="617"/>
      <c r="AC108" s="617"/>
      <c r="AD108" s="617"/>
      <c r="AE108" s="617"/>
      <c r="AF108" s="617"/>
      <c r="AG108" s="617"/>
      <c r="AH108" s="617"/>
      <c r="AI108" s="617"/>
      <c r="AJ108" s="617"/>
      <c r="AK108" s="617"/>
      <c r="AM108" s="623"/>
      <c r="AN108" s="623"/>
      <c r="AO108" s="623"/>
      <c r="AP108" s="623"/>
      <c r="AQ108" s="623"/>
      <c r="AR108" s="623"/>
      <c r="AS108" s="623"/>
      <c r="AT108" s="623"/>
      <c r="AU108" s="623"/>
      <c r="AV108" s="623"/>
      <c r="AW108" s="623"/>
      <c r="AX108" s="623"/>
      <c r="AY108" s="623"/>
      <c r="AZ108" s="623"/>
      <c r="BA108" s="623"/>
      <c r="BB108" s="623"/>
      <c r="BC108" s="623"/>
      <c r="BD108" s="623"/>
      <c r="BE108" s="623"/>
      <c r="BF108" s="623"/>
      <c r="BH108" s="637"/>
      <c r="BI108" s="637"/>
      <c r="BJ108" s="637"/>
      <c r="BL108" s="497">
        <f t="shared" si="256"/>
        <v>0</v>
      </c>
      <c r="BM108" s="497"/>
      <c r="BO108" s="945"/>
      <c r="BP108" s="945"/>
      <c r="BQ108" s="945"/>
      <c r="BR108" s="945"/>
      <c r="BS108" s="945"/>
      <c r="BT108" s="945"/>
      <c r="BU108" s="945"/>
      <c r="BV108" s="945"/>
      <c r="BW108" s="945"/>
      <c r="BX108" s="945"/>
      <c r="BY108" s="945"/>
      <c r="BZ108" s="945"/>
      <c r="CA108" s="945"/>
      <c r="CB108" s="945"/>
      <c r="CC108" s="945"/>
      <c r="CD108" s="945"/>
      <c r="CE108" s="945"/>
      <c r="CF108" s="945"/>
      <c r="CG108" s="945"/>
      <c r="CH108" s="945"/>
      <c r="CI108" s="945"/>
      <c r="CJ108" s="945"/>
      <c r="CK108" s="945"/>
      <c r="CL108" s="945"/>
      <c r="CM108" s="945"/>
      <c r="CN108" s="945"/>
      <c r="CO108" s="945"/>
      <c r="CP108" s="945"/>
      <c r="CQ108" s="945"/>
      <c r="CR108" s="945"/>
      <c r="CS108" s="945"/>
      <c r="CT108" s="945"/>
      <c r="CU108" s="945"/>
      <c r="CV108" s="945"/>
      <c r="CW108" s="945"/>
      <c r="CX108" s="945"/>
      <c r="CY108" s="945"/>
      <c r="CZ108" s="945"/>
      <c r="DA108" s="945"/>
      <c r="DB108" s="945"/>
      <c r="DC108" s="945"/>
      <c r="DD108" s="945"/>
      <c r="DE108" s="945"/>
      <c r="DF108" s="945"/>
      <c r="DH108" s="553"/>
    </row>
    <row r="109" spans="1:112" s="522" customFormat="1" ht="24" customHeight="1" thickBot="1">
      <c r="C109" s="508" t="s">
        <v>527</v>
      </c>
      <c r="D109" s="508"/>
      <c r="E109" s="508"/>
      <c r="G109" s="724">
        <f t="shared" ref="G109:P109" ca="1" si="269">G$40+G$84+G$106</f>
        <v>382.53018590696547</v>
      </c>
      <c r="H109" s="724">
        <f t="shared" ca="1" si="269"/>
        <v>0</v>
      </c>
      <c r="I109" s="724">
        <f t="shared" ca="1" si="269"/>
        <v>0</v>
      </c>
      <c r="J109" s="724">
        <f t="shared" ca="1" si="269"/>
        <v>0</v>
      </c>
      <c r="K109" s="724">
        <f t="shared" ca="1" si="269"/>
        <v>0</v>
      </c>
      <c r="L109" s="724">
        <f t="shared" ca="1" si="269"/>
        <v>0</v>
      </c>
      <c r="M109" s="724">
        <f t="shared" ca="1" si="269"/>
        <v>0</v>
      </c>
      <c r="N109" s="724">
        <f t="shared" ca="1" si="269"/>
        <v>0</v>
      </c>
      <c r="O109" s="724">
        <f t="shared" ca="1" si="269"/>
        <v>0</v>
      </c>
      <c r="P109" s="724">
        <f t="shared" ca="1" si="269"/>
        <v>0</v>
      </c>
      <c r="Q109" s="724">
        <f ca="1">SUM(G109:P109)</f>
        <v>382.53018590696547</v>
      </c>
      <c r="S109" s="725">
        <f t="shared" ref="S109:AJ109" ca="1" si="270">S$40+S$84+S$106</f>
        <v>-31.008546529888466</v>
      </c>
      <c r="T109" s="725">
        <f t="shared" ca="1" si="270"/>
        <v>31.008546529888466</v>
      </c>
      <c r="U109" s="725">
        <f t="shared" ca="1" si="270"/>
        <v>-14.256803002247571</v>
      </c>
      <c r="V109" s="725">
        <f t="shared" ca="1" si="270"/>
        <v>-12.787029496861225</v>
      </c>
      <c r="W109" s="725">
        <f t="shared" ca="1" si="270"/>
        <v>-324.47780687796825</v>
      </c>
      <c r="X109" s="725">
        <f t="shared" ca="1" si="270"/>
        <v>0</v>
      </c>
      <c r="Y109" s="725">
        <f t="shared" ca="1" si="270"/>
        <v>0</v>
      </c>
      <c r="Z109" s="725">
        <f t="shared" ca="1" si="270"/>
        <v>0</v>
      </c>
      <c r="AA109" s="725">
        <f t="shared" ca="1" si="270"/>
        <v>0</v>
      </c>
      <c r="AB109" s="725">
        <f t="shared" ca="1" si="270"/>
        <v>0</v>
      </c>
      <c r="AC109" s="725">
        <f t="shared" ca="1" si="270"/>
        <v>0</v>
      </c>
      <c r="AD109" s="725">
        <f t="shared" ca="1" si="270"/>
        <v>0</v>
      </c>
      <c r="AE109" s="725">
        <f t="shared" ca="1" si="270"/>
        <v>0</v>
      </c>
      <c r="AF109" s="725">
        <f t="shared" ca="1" si="270"/>
        <v>0</v>
      </c>
      <c r="AG109" s="725">
        <f t="shared" ca="1" si="270"/>
        <v>0</v>
      </c>
      <c r="AH109" s="725">
        <f t="shared" ca="1" si="270"/>
        <v>0</v>
      </c>
      <c r="AI109" s="725">
        <f t="shared" ca="1" si="270"/>
        <v>0</v>
      </c>
      <c r="AJ109" s="725">
        <f t="shared" ca="1" si="270"/>
        <v>0</v>
      </c>
      <c r="AK109" s="725">
        <f ca="1">SUM(S109:AJ109)</f>
        <v>-351.52163937707707</v>
      </c>
      <c r="AM109" s="726">
        <f t="shared" ref="AM109:BE109" ca="1" si="271">AM$40+AM$84+AM$106</f>
        <v>0</v>
      </c>
      <c r="AN109" s="726">
        <f t="shared" ca="1" si="271"/>
        <v>0</v>
      </c>
      <c r="AO109" s="726">
        <f t="shared" ca="1" si="271"/>
        <v>0</v>
      </c>
      <c r="AP109" s="726">
        <f t="shared" ca="1" si="271"/>
        <v>0</v>
      </c>
      <c r="AQ109" s="726">
        <f t="shared" ca="1" si="271"/>
        <v>-31.008546529888466</v>
      </c>
      <c r="AR109" s="726">
        <f t="shared" ca="1" si="271"/>
        <v>0</v>
      </c>
      <c r="AS109" s="726">
        <f t="shared" ca="1" si="271"/>
        <v>0</v>
      </c>
      <c r="AT109" s="726">
        <f t="shared" ca="1" si="271"/>
        <v>0</v>
      </c>
      <c r="AU109" s="726">
        <f t="shared" ca="1" si="271"/>
        <v>0</v>
      </c>
      <c r="AV109" s="726">
        <f t="shared" ca="1" si="271"/>
        <v>0</v>
      </c>
      <c r="AW109" s="726">
        <f t="shared" ca="1" si="271"/>
        <v>0</v>
      </c>
      <c r="AX109" s="726">
        <f t="shared" ca="1" si="271"/>
        <v>0</v>
      </c>
      <c r="AY109" s="726">
        <f t="shared" ca="1" si="271"/>
        <v>0</v>
      </c>
      <c r="AZ109" s="726">
        <f t="shared" ca="1" si="271"/>
        <v>0</v>
      </c>
      <c r="BA109" s="726">
        <f t="shared" ca="1" si="271"/>
        <v>0</v>
      </c>
      <c r="BB109" s="726">
        <f t="shared" ca="1" si="271"/>
        <v>0</v>
      </c>
      <c r="BC109" s="726">
        <f t="shared" ca="1" si="271"/>
        <v>0</v>
      </c>
      <c r="BD109" s="726">
        <f t="shared" ca="1" si="271"/>
        <v>0</v>
      </c>
      <c r="BE109" s="726">
        <f t="shared" ca="1" si="271"/>
        <v>0</v>
      </c>
      <c r="BF109" s="726">
        <f ca="1">SUM(AM109:BE109)</f>
        <v>-31.008546529888466</v>
      </c>
      <c r="BH109" s="727">
        <f ca="1">BH$40+BH$84+BH$106</f>
        <v>0</v>
      </c>
      <c r="BI109" s="727">
        <f ca="1">BI$40+BI$84+BI$106</f>
        <v>0</v>
      </c>
      <c r="BJ109" s="727">
        <f ca="1">SUM(BH109:BI109)</f>
        <v>0</v>
      </c>
      <c r="BL109" s="496">
        <f t="shared" ca="1" si="256"/>
        <v>-6.0396132539608516E-14</v>
      </c>
      <c r="BM109" s="496"/>
      <c r="BO109" s="956">
        <f t="shared" ref="BO109:DF109" ca="1" si="272">BO$40+BO$84+BO$106</f>
        <v>67.291769164453711</v>
      </c>
      <c r="BP109" s="956">
        <f t="shared" ca="1" si="272"/>
        <v>0.13655504882378258</v>
      </c>
      <c r="BQ109" s="956">
        <f t="shared" ca="1" si="272"/>
        <v>0.22513176941521534</v>
      </c>
      <c r="BR109" s="956">
        <f t="shared" ca="1" si="272"/>
        <v>0</v>
      </c>
      <c r="BS109" s="956">
        <f t="shared" ca="1" si="272"/>
        <v>0</v>
      </c>
      <c r="BT109" s="956">
        <f t="shared" ca="1" si="272"/>
        <v>0</v>
      </c>
      <c r="BU109" s="956">
        <f t="shared" ca="1" si="272"/>
        <v>0</v>
      </c>
      <c r="BV109" s="956">
        <f t="shared" ca="1" si="272"/>
        <v>0</v>
      </c>
      <c r="BW109" s="956">
        <f t="shared" ca="1" si="272"/>
        <v>0</v>
      </c>
      <c r="BX109" s="956">
        <f t="shared" ca="1" si="272"/>
        <v>0</v>
      </c>
      <c r="BY109" s="956">
        <f t="shared" ca="1" si="272"/>
        <v>0</v>
      </c>
      <c r="BZ109" s="956">
        <f t="shared" ca="1" si="272"/>
        <v>0</v>
      </c>
      <c r="CA109" s="956">
        <f t="shared" ca="1" si="272"/>
        <v>0</v>
      </c>
      <c r="CB109" s="956">
        <f t="shared" ca="1" si="272"/>
        <v>0</v>
      </c>
      <c r="CC109" s="956">
        <f t="shared" ca="1" si="272"/>
        <v>0</v>
      </c>
      <c r="CD109" s="956">
        <f t="shared" ca="1" si="272"/>
        <v>0</v>
      </c>
      <c r="CE109" s="956">
        <f t="shared" ca="1" si="272"/>
        <v>0</v>
      </c>
      <c r="CF109" s="956">
        <f t="shared" ca="1" si="272"/>
        <v>0</v>
      </c>
      <c r="CG109" s="956">
        <f t="shared" ca="1" si="272"/>
        <v>0</v>
      </c>
      <c r="CH109" s="956">
        <f t="shared" ca="1" si="272"/>
        <v>0</v>
      </c>
      <c r="CI109" s="956">
        <f t="shared" ca="1" si="272"/>
        <v>0</v>
      </c>
      <c r="CJ109" s="956">
        <f t="shared" ca="1" si="272"/>
        <v>0</v>
      </c>
      <c r="CK109" s="956">
        <f t="shared" ca="1" si="272"/>
        <v>0</v>
      </c>
      <c r="CL109" s="956">
        <f t="shared" ca="1" si="272"/>
        <v>0</v>
      </c>
      <c r="CM109" s="956">
        <f t="shared" ca="1" si="272"/>
        <v>0</v>
      </c>
      <c r="CN109" s="956">
        <f t="shared" ca="1" si="272"/>
        <v>0</v>
      </c>
      <c r="CO109" s="956">
        <f t="shared" ca="1" si="272"/>
        <v>0</v>
      </c>
      <c r="CP109" s="956">
        <f t="shared" ca="1" si="272"/>
        <v>0</v>
      </c>
      <c r="CQ109" s="956">
        <f t="shared" ca="1" si="272"/>
        <v>0</v>
      </c>
      <c r="CR109" s="956">
        <f t="shared" ca="1" si="272"/>
        <v>0</v>
      </c>
      <c r="CS109" s="956">
        <f t="shared" ca="1" si="272"/>
        <v>0</v>
      </c>
      <c r="CT109" s="956">
        <f t="shared" ca="1" si="272"/>
        <v>0</v>
      </c>
      <c r="CU109" s="956">
        <f t="shared" ca="1" si="272"/>
        <v>0</v>
      </c>
      <c r="CV109" s="956">
        <f t="shared" ca="1" si="272"/>
        <v>0</v>
      </c>
      <c r="CW109" s="956">
        <f t="shared" ca="1" si="272"/>
        <v>0</v>
      </c>
      <c r="CX109" s="956">
        <f t="shared" ca="1" si="272"/>
        <v>0</v>
      </c>
      <c r="CY109" s="956">
        <f t="shared" ca="1" si="272"/>
        <v>0</v>
      </c>
      <c r="CZ109" s="956">
        <f t="shared" ca="1" si="272"/>
        <v>0</v>
      </c>
      <c r="DA109" s="956">
        <f t="shared" ca="1" si="272"/>
        <v>0</v>
      </c>
      <c r="DB109" s="956">
        <f t="shared" ca="1" si="272"/>
        <v>0</v>
      </c>
      <c r="DC109" s="956">
        <f t="shared" ca="1" si="272"/>
        <v>0</v>
      </c>
      <c r="DD109" s="956">
        <f t="shared" ca="1" si="272"/>
        <v>0</v>
      </c>
      <c r="DE109" s="956">
        <f t="shared" ca="1" si="272"/>
        <v>0</v>
      </c>
      <c r="DF109" s="956">
        <f t="shared" ca="1" si="272"/>
        <v>0</v>
      </c>
      <c r="DH109" s="551">
        <f ca="1">SUM(BO109:DF109)</f>
        <v>67.653455982692705</v>
      </c>
    </row>
    <row r="110" spans="1:112" s="522" customFormat="1">
      <c r="C110" s="492"/>
      <c r="D110" s="493"/>
      <c r="E110" s="493"/>
      <c r="G110" s="642"/>
      <c r="H110" s="642"/>
      <c r="I110" s="642"/>
      <c r="J110" s="642"/>
      <c r="K110" s="643"/>
      <c r="L110" s="642"/>
      <c r="M110" s="642"/>
      <c r="N110" s="642"/>
      <c r="O110" s="642"/>
      <c r="P110" s="642"/>
      <c r="Q110" s="642"/>
      <c r="S110" s="645"/>
      <c r="T110" s="645"/>
      <c r="U110" s="645"/>
      <c r="V110" s="645"/>
      <c r="W110" s="645"/>
      <c r="X110" s="645"/>
      <c r="Y110" s="645"/>
      <c r="Z110" s="645"/>
      <c r="AA110" s="645"/>
      <c r="AB110" s="645"/>
      <c r="AC110" s="645"/>
      <c r="AD110" s="645"/>
      <c r="AE110" s="645"/>
      <c r="AF110" s="645"/>
      <c r="AG110" s="645"/>
      <c r="AH110" s="645"/>
      <c r="AI110" s="645"/>
      <c r="AJ110" s="645"/>
      <c r="AK110" s="645"/>
      <c r="AM110" s="647"/>
      <c r="AN110" s="647"/>
      <c r="AO110" s="647"/>
      <c r="AP110" s="647"/>
      <c r="AQ110" s="647"/>
      <c r="AR110" s="647"/>
      <c r="AS110" s="647"/>
      <c r="AT110" s="647"/>
      <c r="AU110" s="647"/>
      <c r="AV110" s="647"/>
      <c r="AW110" s="647"/>
      <c r="AX110" s="647"/>
      <c r="AY110" s="647"/>
      <c r="AZ110" s="647"/>
      <c r="BA110" s="647"/>
      <c r="BB110" s="647"/>
      <c r="BC110" s="647"/>
      <c r="BD110" s="647"/>
      <c r="BE110" s="647"/>
      <c r="BF110" s="647"/>
      <c r="BH110" s="649"/>
      <c r="BI110" s="649"/>
      <c r="BJ110" s="649"/>
      <c r="BL110" s="497"/>
      <c r="BM110" s="49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</row>
    <row r="111" spans="1:112">
      <c r="G111" s="497"/>
      <c r="H111" s="497"/>
      <c r="I111" s="497"/>
      <c r="J111" s="497"/>
      <c r="K111" s="501"/>
      <c r="L111" s="497"/>
      <c r="M111" s="497"/>
      <c r="N111" s="497"/>
      <c r="O111" s="497"/>
      <c r="P111" s="497"/>
      <c r="Q111" s="497"/>
      <c r="S111" s="497"/>
      <c r="T111" s="497"/>
      <c r="U111" s="497"/>
      <c r="V111" s="497"/>
      <c r="W111" s="497"/>
      <c r="X111" s="497"/>
      <c r="Y111" s="497"/>
      <c r="Z111" s="497"/>
      <c r="AA111" s="497"/>
      <c r="AB111" s="497"/>
      <c r="AC111" s="497"/>
      <c r="AD111" s="497"/>
      <c r="AE111" s="497"/>
      <c r="AF111" s="497"/>
      <c r="AG111" s="497"/>
      <c r="AH111" s="497"/>
      <c r="AI111" s="497"/>
      <c r="AJ111" s="497"/>
      <c r="AK111" s="497"/>
      <c r="AM111" s="497"/>
      <c r="AN111" s="497"/>
      <c r="AO111" s="497"/>
      <c r="AP111" s="497"/>
      <c r="AQ111" s="497"/>
      <c r="AR111" s="497"/>
      <c r="AS111" s="497"/>
      <c r="AT111" s="497"/>
      <c r="AU111" s="497"/>
      <c r="AV111" s="497"/>
      <c r="AW111" s="497"/>
      <c r="AX111" s="497"/>
      <c r="AY111" s="497"/>
      <c r="AZ111" s="497"/>
      <c r="BA111" s="497"/>
      <c r="BB111" s="497"/>
      <c r="BC111" s="497"/>
      <c r="BD111" s="497"/>
      <c r="BE111" s="497"/>
      <c r="BF111" s="497"/>
      <c r="BH111" s="497"/>
      <c r="BI111" s="497"/>
      <c r="BJ111" s="497"/>
      <c r="BL111" s="497"/>
      <c r="BM111" s="497"/>
    </row>
    <row r="112" spans="1:112">
      <c r="G112" s="497"/>
      <c r="H112" s="497"/>
      <c r="I112" s="497"/>
      <c r="J112" s="497"/>
      <c r="K112" s="501"/>
      <c r="L112" s="497"/>
      <c r="M112" s="497"/>
      <c r="N112" s="497"/>
      <c r="O112" s="497"/>
      <c r="P112" s="497"/>
      <c r="Q112" s="497"/>
      <c r="S112" s="497"/>
      <c r="T112" s="497"/>
      <c r="U112" s="497"/>
      <c r="V112" s="497"/>
      <c r="W112" s="497"/>
      <c r="X112" s="497"/>
      <c r="Y112" s="497"/>
      <c r="Z112" s="497"/>
      <c r="AA112" s="497"/>
      <c r="AB112" s="497"/>
      <c r="AC112" s="497"/>
      <c r="AD112" s="497"/>
      <c r="AE112" s="497"/>
      <c r="AF112" s="497"/>
      <c r="AG112" s="497"/>
      <c r="AH112" s="497"/>
      <c r="AI112" s="497"/>
      <c r="AJ112" s="497"/>
      <c r="AK112" s="497"/>
      <c r="AM112" s="497"/>
      <c r="AN112" s="497"/>
      <c r="AO112" s="497"/>
      <c r="AP112" s="497"/>
      <c r="AQ112" s="497"/>
      <c r="AR112" s="497"/>
      <c r="AS112" s="497"/>
      <c r="AT112" s="497"/>
      <c r="AU112" s="497"/>
      <c r="AV112" s="497"/>
      <c r="AW112" s="497"/>
      <c r="AX112" s="497"/>
      <c r="AY112" s="497"/>
      <c r="AZ112" s="497"/>
      <c r="BA112" s="497"/>
      <c r="BB112" s="497"/>
      <c r="BC112" s="497"/>
      <c r="BD112" s="497"/>
      <c r="BE112" s="497"/>
      <c r="BF112" s="497"/>
      <c r="BH112" s="497"/>
      <c r="BI112" s="497"/>
      <c r="BJ112" s="497"/>
      <c r="BL112" s="497"/>
      <c r="BM112" s="497"/>
      <c r="DF112" s="15" t="s">
        <v>1208</v>
      </c>
      <c r="DG112" s="115"/>
      <c r="DH112" s="1165">
        <f ca="1">SUM(DH63,DH68,DH76,DH82)</f>
        <v>0</v>
      </c>
    </row>
    <row r="113" spans="1:112">
      <c r="B113" s="115" t="s">
        <v>635</v>
      </c>
      <c r="C113" s="722" t="s">
        <v>771</v>
      </c>
      <c r="G113" s="497"/>
      <c r="H113" s="497"/>
      <c r="I113" s="497"/>
      <c r="J113" s="497"/>
      <c r="K113" s="501"/>
      <c r="L113" s="497"/>
      <c r="M113" s="497"/>
      <c r="N113" s="497"/>
      <c r="O113" s="497"/>
      <c r="P113" s="497"/>
      <c r="Q113" s="497"/>
      <c r="S113" s="497"/>
      <c r="T113" s="497"/>
      <c r="U113" s="497"/>
      <c r="V113" s="497"/>
      <c r="W113" s="497"/>
      <c r="X113" s="497"/>
      <c r="Y113" s="497"/>
      <c r="Z113" s="497"/>
      <c r="AA113" s="497"/>
      <c r="AB113" s="497"/>
      <c r="AC113" s="497"/>
      <c r="AD113" s="497"/>
      <c r="AE113" s="497"/>
      <c r="AF113" s="497"/>
      <c r="AG113" s="497"/>
      <c r="AH113" s="497"/>
      <c r="AI113" s="497"/>
      <c r="AJ113" s="497"/>
      <c r="AK113" s="497"/>
      <c r="AM113" s="497"/>
      <c r="AN113" s="497"/>
      <c r="AO113" s="497"/>
      <c r="AP113" s="497"/>
      <c r="AQ113" s="497"/>
      <c r="AR113" s="497"/>
      <c r="AS113" s="497"/>
      <c r="AT113" s="497"/>
      <c r="AU113" s="497"/>
      <c r="AV113" s="497"/>
      <c r="AW113" s="497"/>
      <c r="AX113" s="497"/>
      <c r="AY113" s="497"/>
      <c r="AZ113" s="497"/>
      <c r="BA113" s="497"/>
      <c r="BB113" s="497"/>
      <c r="BC113" s="497"/>
      <c r="BD113" s="497"/>
      <c r="BE113" s="497"/>
      <c r="BF113" s="497"/>
      <c r="BH113" s="497"/>
      <c r="BI113" s="497"/>
      <c r="BJ113" s="497"/>
      <c r="BL113" s="497"/>
      <c r="BM113" s="497"/>
      <c r="DF113" s="15" t="s">
        <v>1209</v>
      </c>
      <c r="DG113" s="115"/>
      <c r="DH113" s="1165">
        <f ca="1">T109-MIN(T103,0)-T72</f>
        <v>31.008546529888466</v>
      </c>
    </row>
    <row r="114" spans="1:112" ht="15">
      <c r="B114" s="3"/>
      <c r="G114" s="497"/>
      <c r="H114" s="497"/>
      <c r="I114" s="497"/>
      <c r="J114" s="497"/>
      <c r="K114" s="501"/>
      <c r="L114" s="497"/>
      <c r="M114" s="497"/>
      <c r="N114" s="497"/>
      <c r="O114" s="497"/>
      <c r="P114" s="497"/>
      <c r="Q114" s="497"/>
      <c r="S114" s="497"/>
      <c r="T114" s="497"/>
      <c r="U114" s="497"/>
      <c r="V114" s="497"/>
      <c r="W114" s="497"/>
      <c r="X114" s="497"/>
      <c r="Y114" s="497"/>
      <c r="Z114" s="497"/>
      <c r="AA114" s="497"/>
      <c r="AB114" s="497"/>
      <c r="AC114" s="497"/>
      <c r="AD114" s="497"/>
      <c r="AE114" s="497"/>
      <c r="AF114" s="497"/>
      <c r="AG114" s="497"/>
      <c r="AH114" s="497"/>
      <c r="AI114" s="497"/>
      <c r="AJ114" s="497"/>
      <c r="AK114" s="497"/>
      <c r="AM114" s="497"/>
      <c r="AN114" s="497"/>
      <c r="AO114" s="497"/>
      <c r="AP114" s="497"/>
      <c r="AQ114" s="497"/>
      <c r="AR114" s="497"/>
      <c r="AS114" s="497"/>
      <c r="AT114" s="497"/>
      <c r="AU114" s="497"/>
      <c r="AV114" s="497"/>
      <c r="AW114" s="497"/>
      <c r="AX114" s="497"/>
      <c r="AY114" s="497"/>
      <c r="AZ114" s="497"/>
      <c r="BA114" s="497"/>
      <c r="BB114" s="497"/>
      <c r="BC114" s="497"/>
      <c r="BD114" s="497"/>
      <c r="BE114" s="497"/>
      <c r="BF114" s="497"/>
      <c r="BH114" s="497"/>
      <c r="BI114" s="497"/>
      <c r="BJ114" s="497"/>
      <c r="BL114" s="497"/>
      <c r="BM114" s="497"/>
      <c r="DF114" s="15" t="s">
        <v>1210</v>
      </c>
      <c r="DG114" s="115"/>
      <c r="DH114" s="115">
        <f ca="1">DH112/DH113</f>
        <v>0</v>
      </c>
    </row>
    <row r="115" spans="1:112">
      <c r="G115" s="497"/>
      <c r="H115" s="497"/>
      <c r="I115" s="497"/>
      <c r="J115" s="497"/>
      <c r="K115" s="501"/>
      <c r="L115" s="497"/>
      <c r="M115" s="497"/>
      <c r="N115" s="497"/>
      <c r="O115" s="497"/>
      <c r="P115" s="497"/>
      <c r="Q115" s="497"/>
      <c r="S115" s="497"/>
      <c r="T115" s="497"/>
      <c r="U115" s="497"/>
      <c r="V115" s="497"/>
      <c r="W115" s="497"/>
      <c r="X115" s="497"/>
      <c r="Y115" s="497"/>
      <c r="Z115" s="497"/>
      <c r="AA115" s="497"/>
      <c r="AB115" s="497"/>
      <c r="AC115" s="497"/>
      <c r="AD115" s="497"/>
      <c r="AE115" s="497"/>
      <c r="AF115" s="497"/>
      <c r="AG115" s="497"/>
      <c r="AH115" s="497"/>
      <c r="AI115" s="497"/>
      <c r="AJ115" s="497"/>
      <c r="AK115" s="497"/>
      <c r="AM115" s="497"/>
      <c r="AN115" s="497"/>
      <c r="AO115" s="497"/>
      <c r="AP115" s="497"/>
      <c r="AQ115" s="497"/>
      <c r="AR115" s="497"/>
      <c r="AS115" s="497"/>
      <c r="AT115" s="497"/>
      <c r="AU115" s="497"/>
      <c r="AV115" s="497"/>
      <c r="AW115" s="497"/>
      <c r="AX115" s="497"/>
      <c r="AY115" s="497"/>
      <c r="AZ115" s="497"/>
      <c r="BA115" s="497"/>
      <c r="BB115" s="497"/>
      <c r="BC115" s="497"/>
      <c r="BD115" s="497"/>
      <c r="BE115" s="497"/>
      <c r="BF115" s="497"/>
      <c r="BH115" s="497"/>
      <c r="BI115" s="497"/>
      <c r="BJ115" s="497"/>
      <c r="BL115" s="497"/>
      <c r="BM115" s="497"/>
    </row>
    <row r="116" spans="1:112" ht="15">
      <c r="B116" s="3"/>
      <c r="G116" s="497"/>
      <c r="H116" s="497"/>
      <c r="I116" s="497"/>
      <c r="J116" s="497"/>
      <c r="K116" s="501"/>
      <c r="L116" s="497"/>
      <c r="M116" s="497"/>
      <c r="N116" s="497"/>
      <c r="O116" s="497"/>
      <c r="P116" s="497"/>
      <c r="Q116" s="497"/>
      <c r="S116" s="497"/>
      <c r="T116" s="497"/>
      <c r="U116" s="497"/>
      <c r="V116" s="497"/>
      <c r="W116" s="497"/>
      <c r="X116" s="497"/>
      <c r="Y116" s="497"/>
      <c r="Z116" s="497"/>
      <c r="AA116" s="497"/>
      <c r="AB116" s="497"/>
      <c r="AC116" s="497"/>
      <c r="AD116" s="497"/>
      <c r="AE116" s="497"/>
      <c r="AF116" s="497"/>
      <c r="AG116" s="497"/>
      <c r="AH116" s="497"/>
      <c r="AI116" s="497"/>
      <c r="AJ116" s="497"/>
      <c r="AK116" s="497"/>
      <c r="AM116" s="497"/>
      <c r="AN116" s="497"/>
      <c r="AO116" s="497"/>
      <c r="AP116" s="497"/>
      <c r="AQ116" s="497"/>
      <c r="AR116" s="497"/>
      <c r="AS116" s="497"/>
      <c r="AT116" s="497"/>
      <c r="AU116" s="497"/>
      <c r="AV116" s="497"/>
      <c r="AW116" s="497"/>
      <c r="AX116" s="497"/>
      <c r="AY116" s="497"/>
      <c r="AZ116" s="497"/>
      <c r="BA116" s="497"/>
      <c r="BB116" s="497"/>
      <c r="BC116" s="497"/>
      <c r="BD116" s="497"/>
      <c r="BE116" s="497"/>
      <c r="BF116" s="497"/>
      <c r="BH116" s="497"/>
      <c r="BI116" s="497"/>
      <c r="BJ116" s="497"/>
      <c r="BL116" s="497"/>
      <c r="BM116" s="497"/>
    </row>
    <row r="117" spans="1:112" ht="15">
      <c r="B117" s="3"/>
      <c r="G117" s="497"/>
      <c r="H117" s="497"/>
      <c r="I117" s="497"/>
      <c r="J117" s="497"/>
      <c r="K117" s="501"/>
      <c r="L117" s="497"/>
      <c r="M117" s="497"/>
      <c r="N117" s="497"/>
      <c r="O117" s="497"/>
      <c r="P117" s="497"/>
      <c r="Q117" s="497"/>
      <c r="S117" s="497"/>
      <c r="T117" s="497"/>
      <c r="U117" s="497"/>
      <c r="V117" s="497"/>
      <c r="W117" s="497"/>
      <c r="X117" s="497"/>
      <c r="Y117" s="497"/>
      <c r="Z117" s="497"/>
      <c r="AA117" s="497"/>
      <c r="AB117" s="497"/>
      <c r="AC117" s="497"/>
      <c r="AD117" s="497"/>
      <c r="AE117" s="497"/>
      <c r="AF117" s="497"/>
      <c r="AG117" s="497"/>
      <c r="AH117" s="497"/>
      <c r="AI117" s="497"/>
      <c r="AJ117" s="497"/>
      <c r="AK117" s="497"/>
      <c r="AM117" s="497"/>
      <c r="AN117" s="497"/>
      <c r="AO117" s="497"/>
      <c r="AP117" s="497"/>
      <c r="AQ117" s="497"/>
      <c r="AR117" s="497"/>
      <c r="AS117" s="497"/>
      <c r="AT117" s="497"/>
      <c r="AU117" s="497"/>
      <c r="AV117" s="497"/>
      <c r="AW117" s="497"/>
      <c r="AX117" s="497"/>
      <c r="AY117" s="497"/>
      <c r="AZ117" s="497"/>
      <c r="BA117" s="497"/>
      <c r="BB117" s="497"/>
      <c r="BC117" s="497"/>
      <c r="BD117" s="497"/>
      <c r="BE117" s="497"/>
      <c r="BF117" s="497"/>
      <c r="BH117" s="497"/>
      <c r="BI117" s="497"/>
      <c r="BJ117" s="497"/>
      <c r="BL117" s="497"/>
      <c r="BM117" s="497"/>
    </row>
    <row r="118" spans="1:112" ht="15">
      <c r="A118" s="115"/>
      <c r="B118" s="3"/>
      <c r="G118" s="497"/>
      <c r="H118" s="497"/>
      <c r="I118" s="497"/>
      <c r="J118" s="497"/>
      <c r="K118" s="501"/>
      <c r="L118" s="497"/>
      <c r="M118" s="497"/>
      <c r="N118" s="497"/>
      <c r="O118" s="497"/>
      <c r="P118" s="497"/>
      <c r="Q118" s="497"/>
      <c r="S118" s="497"/>
      <c r="T118" s="497"/>
      <c r="U118" s="497"/>
      <c r="V118" s="497"/>
      <c r="W118" s="497"/>
      <c r="X118" s="497"/>
      <c r="Y118" s="497"/>
      <c r="Z118" s="497"/>
      <c r="AA118" s="497"/>
      <c r="AB118" s="497"/>
      <c r="AC118" s="497"/>
      <c r="AD118" s="497"/>
      <c r="AE118" s="497"/>
      <c r="AF118" s="497"/>
      <c r="AG118" s="497"/>
      <c r="AH118" s="497"/>
      <c r="AI118" s="497"/>
      <c r="AJ118" s="497"/>
      <c r="AK118" s="497"/>
      <c r="AM118" s="497"/>
      <c r="AN118" s="497"/>
      <c r="AO118" s="497"/>
      <c r="AP118" s="497"/>
      <c r="AQ118" s="497"/>
      <c r="AR118" s="497"/>
      <c r="AS118" s="497"/>
      <c r="AT118" s="497"/>
      <c r="AU118" s="497"/>
      <c r="AV118" s="497"/>
      <c r="AW118" s="497"/>
      <c r="AX118" s="497"/>
      <c r="AY118" s="497"/>
      <c r="AZ118" s="497"/>
      <c r="BA118" s="497"/>
      <c r="BB118" s="497"/>
      <c r="BC118" s="497"/>
      <c r="BD118" s="497"/>
      <c r="BE118" s="497"/>
      <c r="BF118" s="497"/>
      <c r="BH118" s="497"/>
      <c r="BI118" s="497"/>
      <c r="BJ118" s="497"/>
      <c r="BL118" s="497"/>
      <c r="BM118" s="497"/>
    </row>
    <row r="119" spans="1:112" ht="15">
      <c r="B119" s="3"/>
      <c r="G119" s="497"/>
      <c r="H119" s="497"/>
      <c r="I119" s="497"/>
      <c r="J119" s="497"/>
      <c r="K119" s="501"/>
      <c r="L119" s="497"/>
      <c r="M119" s="497"/>
      <c r="N119" s="497"/>
      <c r="O119" s="497"/>
      <c r="P119" s="497"/>
      <c r="Q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  <c r="AC119" s="497"/>
      <c r="AD119" s="497"/>
      <c r="AE119" s="497"/>
      <c r="AF119" s="497"/>
      <c r="AG119" s="497"/>
      <c r="AH119" s="497"/>
      <c r="AI119" s="497"/>
      <c r="AJ119" s="497"/>
      <c r="AK119" s="497"/>
      <c r="AM119" s="497"/>
      <c r="AN119" s="497"/>
      <c r="AO119" s="497"/>
      <c r="AP119" s="497"/>
      <c r="AQ119" s="497"/>
      <c r="AR119" s="497"/>
      <c r="AS119" s="497"/>
      <c r="AT119" s="497"/>
      <c r="AU119" s="497"/>
      <c r="AV119" s="497"/>
      <c r="AW119" s="497"/>
      <c r="AX119" s="497"/>
      <c r="AY119" s="497"/>
      <c r="AZ119" s="497"/>
      <c r="BA119" s="497"/>
      <c r="BB119" s="497"/>
      <c r="BC119" s="497"/>
      <c r="BD119" s="497"/>
      <c r="BE119" s="497"/>
      <c r="BF119" s="497"/>
      <c r="BH119" s="497"/>
      <c r="BI119" s="497"/>
      <c r="BJ119" s="497"/>
      <c r="BL119" s="497"/>
      <c r="BM119" s="497"/>
    </row>
    <row r="120" spans="1:112" ht="15">
      <c r="B120" s="3"/>
      <c r="G120" s="497"/>
      <c r="H120" s="497"/>
      <c r="I120" s="497"/>
      <c r="J120" s="497"/>
      <c r="K120" s="501"/>
      <c r="L120" s="497"/>
      <c r="M120" s="497"/>
      <c r="N120" s="497"/>
      <c r="O120" s="497"/>
      <c r="P120" s="497"/>
      <c r="Q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  <c r="AC120" s="497"/>
      <c r="AD120" s="497"/>
      <c r="AE120" s="497"/>
      <c r="AF120" s="497"/>
      <c r="AG120" s="497"/>
      <c r="AH120" s="497"/>
      <c r="AI120" s="497"/>
      <c r="AJ120" s="497"/>
      <c r="AK120" s="497"/>
      <c r="AM120" s="497"/>
      <c r="AN120" s="497"/>
      <c r="AO120" s="497"/>
      <c r="AP120" s="497"/>
      <c r="AQ120" s="497"/>
      <c r="AR120" s="497"/>
      <c r="AS120" s="497"/>
      <c r="AT120" s="497"/>
      <c r="AU120" s="497"/>
      <c r="AV120" s="497"/>
      <c r="AW120" s="497"/>
      <c r="AX120" s="497"/>
      <c r="AY120" s="497"/>
      <c r="AZ120" s="497"/>
      <c r="BA120" s="497"/>
      <c r="BB120" s="497"/>
      <c r="BC120" s="497"/>
      <c r="BD120" s="497"/>
      <c r="BE120" s="497"/>
      <c r="BF120" s="497"/>
      <c r="BH120" s="497"/>
      <c r="BI120" s="497"/>
      <c r="BJ120" s="497"/>
      <c r="BL120" s="497"/>
      <c r="BM120" s="497"/>
    </row>
    <row r="121" spans="1:112" ht="15">
      <c r="B121" s="3"/>
      <c r="G121" s="497"/>
      <c r="H121" s="497"/>
      <c r="I121" s="497"/>
      <c r="J121" s="497"/>
      <c r="K121" s="501"/>
      <c r="L121" s="497"/>
      <c r="M121" s="497"/>
      <c r="N121" s="497"/>
      <c r="O121" s="497"/>
      <c r="P121" s="497"/>
      <c r="Q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  <c r="AC121" s="497"/>
      <c r="AD121" s="497"/>
      <c r="AE121" s="497"/>
      <c r="AF121" s="497"/>
      <c r="AG121" s="497"/>
      <c r="AH121" s="497"/>
      <c r="AI121" s="497"/>
      <c r="AJ121" s="497"/>
      <c r="AK121" s="497"/>
      <c r="AM121" s="497"/>
      <c r="AN121" s="497"/>
      <c r="AO121" s="497"/>
      <c r="AP121" s="497"/>
      <c r="AQ121" s="497"/>
      <c r="AR121" s="497"/>
      <c r="AS121" s="497"/>
      <c r="AT121" s="497"/>
      <c r="AU121" s="497"/>
      <c r="AV121" s="497"/>
      <c r="AW121" s="497"/>
      <c r="AX121" s="497"/>
      <c r="AY121" s="497"/>
      <c r="AZ121" s="497"/>
      <c r="BA121" s="497"/>
      <c r="BB121" s="497"/>
      <c r="BC121" s="497"/>
      <c r="BD121" s="497"/>
      <c r="BE121" s="497"/>
      <c r="BF121" s="497"/>
      <c r="BH121" s="497"/>
      <c r="BI121" s="497"/>
      <c r="BJ121" s="497"/>
      <c r="BL121" s="497"/>
      <c r="BM121" s="497"/>
    </row>
    <row r="122" spans="1:112">
      <c r="G122" s="497"/>
      <c r="H122" s="497"/>
      <c r="I122" s="497"/>
      <c r="J122" s="497"/>
      <c r="K122" s="501"/>
      <c r="L122" s="497"/>
      <c r="M122" s="497"/>
      <c r="N122" s="497"/>
      <c r="O122" s="497"/>
      <c r="P122" s="497"/>
      <c r="Q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  <c r="AC122" s="497"/>
      <c r="AD122" s="497"/>
      <c r="AE122" s="497"/>
      <c r="AF122" s="497"/>
      <c r="AG122" s="497"/>
      <c r="AH122" s="497"/>
      <c r="AI122" s="497"/>
      <c r="AJ122" s="497"/>
      <c r="AK122" s="497"/>
      <c r="AM122" s="497"/>
      <c r="AN122" s="497"/>
      <c r="AO122" s="497"/>
      <c r="AP122" s="497"/>
      <c r="AQ122" s="497"/>
      <c r="AR122" s="497"/>
      <c r="AS122" s="497"/>
      <c r="AT122" s="497"/>
      <c r="AU122" s="497"/>
      <c r="AV122" s="497"/>
      <c r="AW122" s="497"/>
      <c r="AX122" s="497"/>
      <c r="AY122" s="497"/>
      <c r="AZ122" s="497"/>
      <c r="BA122" s="497"/>
      <c r="BB122" s="497"/>
      <c r="BC122" s="497"/>
      <c r="BD122" s="497"/>
      <c r="BE122" s="497"/>
      <c r="BF122" s="497"/>
      <c r="BH122" s="497"/>
      <c r="BI122" s="497"/>
      <c r="BJ122" s="497"/>
      <c r="BL122" s="497"/>
      <c r="BM122" s="497"/>
    </row>
    <row r="123" spans="1:112" ht="24" customHeight="1">
      <c r="G123" s="497"/>
      <c r="H123" s="497"/>
      <c r="I123" s="497"/>
      <c r="J123" s="497"/>
      <c r="K123" s="501"/>
      <c r="L123" s="497"/>
      <c r="M123" s="497"/>
      <c r="N123" s="497"/>
      <c r="O123" s="497"/>
      <c r="P123" s="497"/>
      <c r="Q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  <c r="AC123" s="497"/>
      <c r="AD123" s="497"/>
      <c r="AE123" s="497"/>
      <c r="AF123" s="497"/>
      <c r="AG123" s="497"/>
      <c r="AH123" s="497"/>
      <c r="AI123" s="497"/>
      <c r="AJ123" s="497"/>
      <c r="AK123" s="497"/>
      <c r="AM123" s="497"/>
      <c r="AN123" s="497"/>
      <c r="AO123" s="497"/>
      <c r="AP123" s="497"/>
      <c r="AQ123" s="497"/>
      <c r="AR123" s="497"/>
      <c r="AS123" s="497"/>
      <c r="AT123" s="497"/>
      <c r="AU123" s="497"/>
      <c r="AV123" s="497"/>
      <c r="AW123" s="497"/>
      <c r="AX123" s="497"/>
      <c r="AY123" s="497"/>
      <c r="AZ123" s="497"/>
      <c r="BA123" s="497"/>
      <c r="BB123" s="497"/>
      <c r="BC123" s="497"/>
      <c r="BD123" s="497"/>
      <c r="BE123" s="497"/>
      <c r="BF123" s="497"/>
      <c r="BH123" s="497"/>
      <c r="BI123" s="497"/>
      <c r="BJ123" s="497"/>
      <c r="BL123" s="497"/>
      <c r="BM123" s="497"/>
    </row>
    <row r="124" spans="1:112">
      <c r="G124" s="497"/>
      <c r="H124" s="497"/>
      <c r="I124" s="497"/>
      <c r="J124" s="497"/>
      <c r="K124" s="501"/>
      <c r="L124" s="497"/>
      <c r="M124" s="497"/>
      <c r="N124" s="497"/>
      <c r="O124" s="497"/>
      <c r="P124" s="497"/>
      <c r="Q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  <c r="AC124" s="497"/>
      <c r="AD124" s="497"/>
      <c r="AE124" s="497"/>
      <c r="AF124" s="497"/>
      <c r="AG124" s="497"/>
      <c r="AH124" s="497"/>
      <c r="AI124" s="497"/>
      <c r="AJ124" s="497"/>
      <c r="AK124" s="497"/>
      <c r="AM124" s="497"/>
      <c r="AN124" s="497"/>
      <c r="AO124" s="497"/>
      <c r="AP124" s="497"/>
      <c r="AQ124" s="497"/>
      <c r="AR124" s="497"/>
      <c r="AS124" s="497"/>
      <c r="AT124" s="497"/>
      <c r="AU124" s="497"/>
      <c r="AV124" s="497"/>
      <c r="AW124" s="497"/>
      <c r="AX124" s="497"/>
      <c r="AY124" s="497"/>
      <c r="AZ124" s="497"/>
      <c r="BA124" s="497"/>
      <c r="BB124" s="497"/>
      <c r="BC124" s="497"/>
      <c r="BD124" s="497"/>
      <c r="BE124" s="497"/>
      <c r="BF124" s="497"/>
      <c r="BH124" s="497"/>
      <c r="BI124" s="497"/>
      <c r="BJ124" s="497"/>
      <c r="BL124" s="497"/>
      <c r="BM124" s="497"/>
    </row>
    <row r="125" spans="1:112">
      <c r="C125" s="502"/>
      <c r="D125" s="32"/>
      <c r="G125" s="497"/>
      <c r="H125" s="497"/>
      <c r="I125" s="497"/>
      <c r="J125" s="497"/>
      <c r="K125" s="501"/>
      <c r="L125" s="497"/>
      <c r="M125" s="497"/>
      <c r="N125" s="497"/>
      <c r="O125" s="497"/>
      <c r="P125" s="497"/>
      <c r="Q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  <c r="AC125" s="497"/>
      <c r="AD125" s="497"/>
      <c r="AE125" s="497"/>
      <c r="AF125" s="497"/>
      <c r="AG125" s="497"/>
      <c r="AH125" s="497"/>
      <c r="AI125" s="497"/>
      <c r="AJ125" s="497"/>
      <c r="AK125" s="497"/>
      <c r="AM125" s="497"/>
      <c r="AN125" s="497"/>
      <c r="AO125" s="497"/>
      <c r="AP125" s="497"/>
      <c r="AQ125" s="497"/>
      <c r="AR125" s="497"/>
      <c r="AS125" s="497"/>
      <c r="AT125" s="497"/>
      <c r="AU125" s="497"/>
      <c r="AV125" s="497"/>
      <c r="AW125" s="497"/>
      <c r="AX125" s="497"/>
      <c r="AY125" s="497"/>
      <c r="AZ125" s="497"/>
      <c r="BA125" s="497"/>
      <c r="BB125" s="497"/>
      <c r="BC125" s="497"/>
      <c r="BD125" s="497"/>
      <c r="BE125" s="497"/>
      <c r="BF125" s="497"/>
      <c r="BH125" s="497"/>
      <c r="BI125" s="497"/>
      <c r="BJ125" s="497"/>
      <c r="BL125" s="497"/>
      <c r="BM125" s="497"/>
    </row>
    <row r="126" spans="1:112">
      <c r="G126" s="497"/>
      <c r="H126" s="497"/>
      <c r="I126" s="497"/>
      <c r="J126" s="497"/>
      <c r="K126" s="501"/>
      <c r="L126" s="497"/>
      <c r="M126" s="497"/>
      <c r="N126" s="497"/>
      <c r="O126" s="497"/>
      <c r="P126" s="497"/>
      <c r="Q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  <c r="AC126" s="497"/>
      <c r="AD126" s="497"/>
      <c r="AE126" s="497"/>
      <c r="AF126" s="497"/>
      <c r="AG126" s="497"/>
      <c r="AH126" s="497"/>
      <c r="AI126" s="497"/>
      <c r="AJ126" s="497"/>
      <c r="AK126" s="497"/>
      <c r="AM126" s="497"/>
      <c r="AN126" s="497"/>
      <c r="AO126" s="497"/>
      <c r="AP126" s="497"/>
      <c r="AQ126" s="497"/>
      <c r="AR126" s="497"/>
      <c r="AS126" s="497"/>
      <c r="AT126" s="497"/>
      <c r="AU126" s="497"/>
      <c r="AV126" s="497"/>
      <c r="AW126" s="497"/>
      <c r="AX126" s="497"/>
      <c r="AY126" s="497"/>
      <c r="AZ126" s="497"/>
      <c r="BA126" s="497"/>
      <c r="BB126" s="497"/>
      <c r="BC126" s="497"/>
      <c r="BD126" s="497"/>
      <c r="BE126" s="497"/>
      <c r="BF126" s="497"/>
      <c r="BH126" s="497"/>
      <c r="BI126" s="497"/>
      <c r="BJ126" s="497"/>
      <c r="BL126" s="497"/>
      <c r="BM126" s="497"/>
    </row>
    <row r="127" spans="1:112">
      <c r="G127" s="497"/>
      <c r="H127" s="497"/>
      <c r="I127" s="497"/>
      <c r="J127" s="497"/>
      <c r="K127" s="501"/>
      <c r="L127" s="497"/>
      <c r="M127" s="497"/>
      <c r="N127" s="497"/>
      <c r="O127" s="497"/>
      <c r="P127" s="497"/>
      <c r="Q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  <c r="AC127" s="497"/>
      <c r="AD127" s="497"/>
      <c r="AE127" s="497"/>
      <c r="AF127" s="497"/>
      <c r="AG127" s="497"/>
      <c r="AH127" s="497"/>
      <c r="AI127" s="497"/>
      <c r="AJ127" s="497"/>
      <c r="AK127" s="497"/>
      <c r="AM127" s="497"/>
      <c r="AN127" s="497"/>
      <c r="AO127" s="497"/>
      <c r="AP127" s="497"/>
      <c r="AQ127" s="497"/>
      <c r="AR127" s="497"/>
      <c r="AS127" s="497"/>
      <c r="AT127" s="497"/>
      <c r="AU127" s="497"/>
      <c r="AV127" s="497"/>
      <c r="AW127" s="497"/>
      <c r="AX127" s="497"/>
      <c r="AY127" s="497"/>
      <c r="AZ127" s="497"/>
      <c r="BA127" s="497"/>
      <c r="BB127" s="497"/>
      <c r="BC127" s="497"/>
      <c r="BD127" s="497"/>
      <c r="BE127" s="497"/>
      <c r="BF127" s="497"/>
      <c r="BH127" s="497"/>
      <c r="BI127" s="497"/>
      <c r="BJ127" s="497"/>
      <c r="BL127" s="497"/>
      <c r="BM127" s="497"/>
    </row>
    <row r="128" spans="1:112">
      <c r="G128" s="497"/>
      <c r="H128" s="497"/>
      <c r="I128" s="497"/>
      <c r="J128" s="497"/>
      <c r="K128" s="501"/>
      <c r="L128" s="497"/>
      <c r="M128" s="497"/>
      <c r="N128" s="497"/>
      <c r="O128" s="497"/>
      <c r="P128" s="497"/>
      <c r="Q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  <c r="AC128" s="497"/>
      <c r="AD128" s="497"/>
      <c r="AE128" s="497"/>
      <c r="AF128" s="497"/>
      <c r="AG128" s="497"/>
      <c r="AH128" s="497"/>
      <c r="AI128" s="497"/>
      <c r="AJ128" s="497"/>
      <c r="AK128" s="497"/>
      <c r="AM128" s="497"/>
      <c r="AN128" s="497"/>
      <c r="AO128" s="497"/>
      <c r="AP128" s="497"/>
      <c r="AQ128" s="497"/>
      <c r="AR128" s="497"/>
      <c r="AS128" s="497"/>
      <c r="AT128" s="497"/>
      <c r="AU128" s="497"/>
      <c r="AV128" s="497"/>
      <c r="AW128" s="497"/>
      <c r="AX128" s="497"/>
      <c r="AY128" s="497"/>
      <c r="AZ128" s="497"/>
      <c r="BA128" s="497"/>
      <c r="BB128" s="497"/>
      <c r="BC128" s="497"/>
      <c r="BD128" s="497"/>
      <c r="BE128" s="497"/>
      <c r="BF128" s="497"/>
      <c r="BH128" s="497"/>
      <c r="BI128" s="497"/>
      <c r="BJ128" s="497"/>
      <c r="BL128" s="497"/>
      <c r="BM128" s="497"/>
    </row>
    <row r="129" spans="7:65">
      <c r="G129" s="497"/>
      <c r="H129" s="497"/>
      <c r="I129" s="497"/>
      <c r="J129" s="497"/>
      <c r="K129" s="501"/>
      <c r="L129" s="497"/>
      <c r="M129" s="497"/>
      <c r="N129" s="497"/>
      <c r="O129" s="497"/>
      <c r="P129" s="497"/>
      <c r="Q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  <c r="AC129" s="497"/>
      <c r="AD129" s="497"/>
      <c r="AE129" s="497"/>
      <c r="AF129" s="497"/>
      <c r="AG129" s="497"/>
      <c r="AH129" s="497"/>
      <c r="AI129" s="497"/>
      <c r="AJ129" s="497"/>
      <c r="AK129" s="497"/>
      <c r="AM129" s="497"/>
      <c r="AN129" s="497"/>
      <c r="AO129" s="497"/>
      <c r="AP129" s="497"/>
      <c r="AQ129" s="497"/>
      <c r="AR129" s="497"/>
      <c r="AS129" s="497"/>
      <c r="AT129" s="497"/>
      <c r="AU129" s="497"/>
      <c r="AV129" s="497"/>
      <c r="AW129" s="497"/>
      <c r="AX129" s="497"/>
      <c r="AY129" s="497"/>
      <c r="AZ129" s="497"/>
      <c r="BA129" s="497"/>
      <c r="BB129" s="497"/>
      <c r="BC129" s="497"/>
      <c r="BD129" s="497"/>
      <c r="BE129" s="497"/>
      <c r="BF129" s="497"/>
      <c r="BH129" s="497"/>
      <c r="BI129" s="497"/>
      <c r="BJ129" s="497"/>
      <c r="BL129" s="497"/>
      <c r="BM129" s="497"/>
    </row>
    <row r="130" spans="7:65">
      <c r="G130" s="497"/>
      <c r="H130" s="497"/>
      <c r="I130" s="497"/>
      <c r="J130" s="497"/>
      <c r="K130" s="501"/>
      <c r="L130" s="497"/>
      <c r="M130" s="497"/>
      <c r="N130" s="497"/>
      <c r="O130" s="497"/>
      <c r="P130" s="497"/>
      <c r="Q130" s="497"/>
      <c r="S130" s="497"/>
      <c r="T130" s="497"/>
      <c r="U130" s="497"/>
      <c r="V130" s="497"/>
      <c r="W130" s="497"/>
      <c r="X130" s="497"/>
      <c r="Y130" s="497"/>
      <c r="Z130" s="497"/>
      <c r="AA130" s="497"/>
      <c r="AB130" s="497"/>
      <c r="AC130" s="497"/>
      <c r="AD130" s="497"/>
      <c r="AE130" s="497"/>
      <c r="AF130" s="497"/>
      <c r="AG130" s="497"/>
      <c r="AH130" s="497"/>
      <c r="AI130" s="497"/>
      <c r="AJ130" s="497"/>
      <c r="AK130" s="497"/>
      <c r="AM130" s="497"/>
      <c r="AN130" s="497"/>
      <c r="AO130" s="497"/>
      <c r="AP130" s="497"/>
      <c r="AQ130" s="497"/>
      <c r="AR130" s="497"/>
      <c r="AS130" s="497"/>
      <c r="AT130" s="497"/>
      <c r="AU130" s="497"/>
      <c r="AV130" s="497"/>
      <c r="AW130" s="497"/>
      <c r="AX130" s="497"/>
      <c r="AY130" s="497"/>
      <c r="AZ130" s="497"/>
      <c r="BA130" s="497"/>
      <c r="BB130" s="497"/>
      <c r="BC130" s="497"/>
      <c r="BD130" s="497"/>
      <c r="BE130" s="497"/>
      <c r="BF130" s="497"/>
      <c r="BH130" s="497"/>
      <c r="BI130" s="497"/>
      <c r="BJ130" s="497"/>
      <c r="BL130" s="497"/>
      <c r="BM130" s="497"/>
    </row>
    <row r="131" spans="7:65">
      <c r="G131" s="497"/>
      <c r="H131" s="497"/>
      <c r="I131" s="497"/>
      <c r="J131" s="497"/>
      <c r="K131" s="501"/>
      <c r="L131" s="497"/>
      <c r="M131" s="497"/>
      <c r="N131" s="497"/>
      <c r="O131" s="497"/>
      <c r="P131" s="497"/>
      <c r="Q131" s="497"/>
      <c r="S131" s="497"/>
      <c r="T131" s="497"/>
      <c r="U131" s="497"/>
      <c r="V131" s="497"/>
      <c r="W131" s="497"/>
      <c r="X131" s="497"/>
      <c r="Y131" s="497"/>
      <c r="Z131" s="497"/>
      <c r="AA131" s="497"/>
      <c r="AB131" s="497"/>
      <c r="AC131" s="497"/>
      <c r="AD131" s="497"/>
      <c r="AE131" s="497"/>
      <c r="AF131" s="497"/>
      <c r="AG131" s="497"/>
      <c r="AH131" s="497"/>
      <c r="AI131" s="497"/>
      <c r="AJ131" s="497"/>
      <c r="AK131" s="497"/>
      <c r="AM131" s="497"/>
      <c r="AN131" s="497"/>
      <c r="AO131" s="497"/>
      <c r="AP131" s="497"/>
      <c r="AQ131" s="497"/>
      <c r="AR131" s="497"/>
      <c r="AS131" s="497"/>
      <c r="AT131" s="497"/>
      <c r="AU131" s="497"/>
      <c r="AV131" s="497"/>
      <c r="AW131" s="497"/>
      <c r="AX131" s="497"/>
      <c r="AY131" s="497"/>
      <c r="AZ131" s="497"/>
      <c r="BA131" s="497"/>
      <c r="BB131" s="497"/>
      <c r="BC131" s="497"/>
      <c r="BD131" s="497"/>
      <c r="BE131" s="497"/>
      <c r="BF131" s="497"/>
      <c r="BH131" s="497"/>
      <c r="BI131" s="497"/>
      <c r="BJ131" s="497"/>
      <c r="BL131" s="497"/>
      <c r="BM131" s="497"/>
    </row>
    <row r="132" spans="7:65">
      <c r="G132" s="497"/>
      <c r="H132" s="497"/>
      <c r="I132" s="497"/>
      <c r="J132" s="497"/>
      <c r="K132" s="501"/>
      <c r="L132" s="497"/>
      <c r="M132" s="497"/>
      <c r="N132" s="497"/>
      <c r="O132" s="497"/>
      <c r="P132" s="497"/>
      <c r="Q132" s="497"/>
      <c r="S132" s="497"/>
      <c r="T132" s="497"/>
      <c r="U132" s="497"/>
      <c r="V132" s="497"/>
      <c r="W132" s="497"/>
      <c r="X132" s="497"/>
      <c r="Y132" s="497"/>
      <c r="Z132" s="497"/>
      <c r="AA132" s="497"/>
      <c r="AB132" s="497"/>
      <c r="AC132" s="497"/>
      <c r="AD132" s="497"/>
      <c r="AE132" s="497"/>
      <c r="AF132" s="497"/>
      <c r="AG132" s="497"/>
      <c r="AH132" s="497"/>
      <c r="AI132" s="497"/>
      <c r="AJ132" s="497"/>
      <c r="AK132" s="497"/>
      <c r="AM132" s="497"/>
      <c r="AN132" s="497"/>
      <c r="AO132" s="497"/>
      <c r="AP132" s="497"/>
      <c r="AQ132" s="497"/>
      <c r="AR132" s="497"/>
      <c r="AS132" s="497"/>
      <c r="AT132" s="497"/>
      <c r="AU132" s="497"/>
      <c r="AV132" s="497"/>
      <c r="AW132" s="497"/>
      <c r="AX132" s="497"/>
      <c r="AY132" s="497"/>
      <c r="AZ132" s="497"/>
      <c r="BA132" s="497"/>
      <c r="BB132" s="497"/>
      <c r="BC132" s="497"/>
      <c r="BD132" s="497"/>
      <c r="BE132" s="497"/>
      <c r="BF132" s="497"/>
      <c r="BH132" s="497"/>
      <c r="BI132" s="497"/>
      <c r="BJ132" s="497"/>
      <c r="BL132" s="497"/>
      <c r="BM132" s="497"/>
    </row>
    <row r="133" spans="7:65">
      <c r="G133" s="497"/>
      <c r="H133" s="497"/>
      <c r="I133" s="497"/>
      <c r="J133" s="497"/>
      <c r="K133" s="501"/>
      <c r="L133" s="497"/>
      <c r="M133" s="497"/>
      <c r="N133" s="497"/>
      <c r="O133" s="497"/>
      <c r="P133" s="497"/>
      <c r="Q133" s="497"/>
      <c r="S133" s="497"/>
      <c r="T133" s="497"/>
      <c r="U133" s="497"/>
      <c r="V133" s="497"/>
      <c r="W133" s="497"/>
      <c r="X133" s="497"/>
      <c r="Y133" s="497"/>
      <c r="Z133" s="497"/>
      <c r="AA133" s="497"/>
      <c r="AB133" s="497"/>
      <c r="AC133" s="497"/>
      <c r="AD133" s="497"/>
      <c r="AE133" s="497"/>
      <c r="AF133" s="497"/>
      <c r="AG133" s="497"/>
      <c r="AH133" s="497"/>
      <c r="AI133" s="497"/>
      <c r="AJ133" s="497"/>
      <c r="AK133" s="497"/>
      <c r="AM133" s="497"/>
      <c r="AN133" s="497"/>
      <c r="AO133" s="497"/>
      <c r="AP133" s="497"/>
      <c r="AQ133" s="497"/>
      <c r="AR133" s="497"/>
      <c r="AS133" s="497"/>
      <c r="AT133" s="497"/>
      <c r="AU133" s="497"/>
      <c r="AV133" s="497"/>
      <c r="AW133" s="497"/>
      <c r="AX133" s="497"/>
      <c r="AY133" s="497"/>
      <c r="AZ133" s="497"/>
      <c r="BA133" s="497"/>
      <c r="BB133" s="497"/>
      <c r="BC133" s="497"/>
      <c r="BD133" s="497"/>
      <c r="BE133" s="497"/>
      <c r="BF133" s="497"/>
      <c r="BH133" s="497"/>
      <c r="BI133" s="497"/>
      <c r="BJ133" s="497"/>
      <c r="BL133" s="497"/>
      <c r="BM133" s="497"/>
    </row>
    <row r="134" spans="7:65">
      <c r="G134" s="497"/>
      <c r="H134" s="497"/>
      <c r="I134" s="497"/>
      <c r="J134" s="497"/>
      <c r="K134" s="501"/>
      <c r="L134" s="497"/>
      <c r="M134" s="497"/>
      <c r="N134" s="497"/>
      <c r="O134" s="497"/>
      <c r="P134" s="497"/>
      <c r="Q134" s="497"/>
      <c r="S134" s="497"/>
      <c r="T134" s="497"/>
      <c r="U134" s="497"/>
      <c r="V134" s="497"/>
      <c r="W134" s="497"/>
      <c r="X134" s="497"/>
      <c r="Y134" s="497"/>
      <c r="Z134" s="497"/>
      <c r="AA134" s="497"/>
      <c r="AB134" s="497"/>
      <c r="AC134" s="497"/>
      <c r="AD134" s="497"/>
      <c r="AE134" s="497"/>
      <c r="AF134" s="497"/>
      <c r="AG134" s="497"/>
      <c r="AH134" s="497"/>
      <c r="AI134" s="497"/>
      <c r="AJ134" s="497"/>
      <c r="AK134" s="497"/>
      <c r="AM134" s="497"/>
      <c r="AN134" s="497"/>
      <c r="AO134" s="497"/>
      <c r="AP134" s="497"/>
      <c r="AQ134" s="497"/>
      <c r="AR134" s="497"/>
      <c r="AS134" s="497"/>
      <c r="AT134" s="497"/>
      <c r="AU134" s="497"/>
      <c r="AV134" s="497"/>
      <c r="AW134" s="497"/>
      <c r="AX134" s="497"/>
      <c r="AY134" s="497"/>
      <c r="AZ134" s="497"/>
      <c r="BA134" s="497"/>
      <c r="BB134" s="497"/>
      <c r="BC134" s="497"/>
      <c r="BD134" s="497"/>
      <c r="BE134" s="497"/>
      <c r="BF134" s="497"/>
      <c r="BH134" s="497"/>
      <c r="BI134" s="497"/>
      <c r="BJ134" s="497"/>
      <c r="BL134" s="497"/>
      <c r="BM134" s="497"/>
    </row>
    <row r="135" spans="7:65">
      <c r="G135" s="497"/>
      <c r="H135" s="497"/>
      <c r="I135" s="497"/>
      <c r="J135" s="497"/>
      <c r="K135" s="501"/>
      <c r="L135" s="497"/>
      <c r="M135" s="497"/>
      <c r="N135" s="497"/>
      <c r="O135" s="497"/>
      <c r="P135" s="497"/>
      <c r="Q135" s="497"/>
      <c r="S135" s="497"/>
      <c r="T135" s="497"/>
      <c r="U135" s="497"/>
      <c r="V135" s="497"/>
      <c r="W135" s="497"/>
      <c r="X135" s="497"/>
      <c r="Y135" s="497"/>
      <c r="Z135" s="497"/>
      <c r="AA135" s="497"/>
      <c r="AB135" s="497"/>
      <c r="AC135" s="497"/>
      <c r="AD135" s="497"/>
      <c r="AE135" s="497"/>
      <c r="AF135" s="497"/>
      <c r="AG135" s="497"/>
      <c r="AH135" s="497"/>
      <c r="AI135" s="497"/>
      <c r="AJ135" s="497"/>
      <c r="AK135" s="497"/>
      <c r="AM135" s="497"/>
      <c r="AN135" s="497"/>
      <c r="AO135" s="497"/>
      <c r="AP135" s="497"/>
      <c r="AQ135" s="497"/>
      <c r="AR135" s="497"/>
      <c r="AS135" s="497"/>
      <c r="AT135" s="497"/>
      <c r="AU135" s="497"/>
      <c r="AV135" s="497"/>
      <c r="AW135" s="497"/>
      <c r="AX135" s="497"/>
      <c r="AY135" s="497"/>
      <c r="AZ135" s="497"/>
      <c r="BA135" s="497"/>
      <c r="BB135" s="497"/>
      <c r="BC135" s="497"/>
      <c r="BD135" s="497"/>
      <c r="BE135" s="497"/>
      <c r="BF135" s="497"/>
      <c r="BH135" s="497"/>
      <c r="BI135" s="497"/>
      <c r="BJ135" s="497"/>
      <c r="BL135" s="497"/>
      <c r="BM135" s="497"/>
    </row>
    <row r="136" spans="7:65">
      <c r="G136" s="497"/>
      <c r="H136" s="497"/>
      <c r="I136" s="497"/>
      <c r="J136" s="497"/>
      <c r="K136" s="501"/>
      <c r="L136" s="497"/>
      <c r="M136" s="497"/>
      <c r="N136" s="497"/>
      <c r="O136" s="497"/>
      <c r="P136" s="497"/>
      <c r="Q136" s="497"/>
      <c r="S136" s="497"/>
      <c r="T136" s="497"/>
      <c r="U136" s="497"/>
      <c r="V136" s="497"/>
      <c r="W136" s="497"/>
      <c r="X136" s="497"/>
      <c r="Y136" s="497"/>
      <c r="Z136" s="497"/>
      <c r="AA136" s="497"/>
      <c r="AB136" s="497"/>
      <c r="AC136" s="497"/>
      <c r="AD136" s="497"/>
      <c r="AE136" s="497"/>
      <c r="AF136" s="497"/>
      <c r="AG136" s="497"/>
      <c r="AH136" s="497"/>
      <c r="AI136" s="497"/>
      <c r="AJ136" s="497"/>
      <c r="AK136" s="497"/>
      <c r="AM136" s="497"/>
      <c r="AN136" s="497"/>
      <c r="AO136" s="497"/>
      <c r="AP136" s="497"/>
      <c r="AQ136" s="497"/>
      <c r="AR136" s="497"/>
      <c r="AS136" s="497"/>
      <c r="AT136" s="497"/>
      <c r="AU136" s="497"/>
      <c r="AV136" s="497"/>
      <c r="AW136" s="497"/>
      <c r="AX136" s="497"/>
      <c r="AY136" s="497"/>
      <c r="AZ136" s="497"/>
      <c r="BA136" s="497"/>
      <c r="BB136" s="497"/>
      <c r="BC136" s="497"/>
      <c r="BD136" s="497"/>
      <c r="BE136" s="497"/>
      <c r="BF136" s="497"/>
      <c r="BH136" s="497"/>
      <c r="BI136" s="497"/>
      <c r="BJ136" s="497"/>
      <c r="BL136" s="497"/>
      <c r="BM136" s="497"/>
    </row>
    <row r="137" spans="7:65">
      <c r="G137" s="497"/>
      <c r="H137" s="497"/>
      <c r="I137" s="497"/>
      <c r="J137" s="497"/>
      <c r="K137" s="501"/>
      <c r="L137" s="497"/>
      <c r="M137" s="497"/>
      <c r="N137" s="497"/>
      <c r="O137" s="497"/>
      <c r="P137" s="497"/>
      <c r="Q137" s="497"/>
      <c r="S137" s="497"/>
      <c r="T137" s="497"/>
      <c r="U137" s="497"/>
      <c r="V137" s="497"/>
      <c r="W137" s="497"/>
      <c r="X137" s="497"/>
      <c r="Y137" s="497"/>
      <c r="Z137" s="497"/>
      <c r="AA137" s="497"/>
      <c r="AB137" s="497"/>
      <c r="AC137" s="497"/>
      <c r="AD137" s="497"/>
      <c r="AE137" s="497"/>
      <c r="AF137" s="497"/>
      <c r="AG137" s="497"/>
      <c r="AH137" s="497"/>
      <c r="AI137" s="497"/>
      <c r="AJ137" s="497"/>
      <c r="AK137" s="497"/>
      <c r="AM137" s="497"/>
      <c r="AN137" s="497"/>
      <c r="AO137" s="497"/>
      <c r="AP137" s="497"/>
      <c r="AQ137" s="497"/>
      <c r="AR137" s="497"/>
      <c r="AS137" s="497"/>
      <c r="AT137" s="497"/>
      <c r="AU137" s="497"/>
      <c r="AV137" s="497"/>
      <c r="AW137" s="497"/>
      <c r="AX137" s="497"/>
      <c r="AY137" s="497"/>
      <c r="AZ137" s="497"/>
      <c r="BA137" s="497"/>
      <c r="BB137" s="497"/>
      <c r="BC137" s="497"/>
      <c r="BD137" s="497"/>
      <c r="BE137" s="497"/>
      <c r="BF137" s="497"/>
      <c r="BH137" s="497"/>
      <c r="BI137" s="497"/>
      <c r="BJ137" s="497"/>
      <c r="BL137" s="497"/>
      <c r="BM137" s="497"/>
    </row>
    <row r="138" spans="7:65">
      <c r="G138" s="497"/>
      <c r="H138" s="497"/>
      <c r="I138" s="497"/>
      <c r="J138" s="497"/>
      <c r="K138" s="501"/>
      <c r="L138" s="497"/>
      <c r="M138" s="497"/>
      <c r="N138" s="497"/>
      <c r="O138" s="497"/>
      <c r="P138" s="497"/>
      <c r="Q138" s="497"/>
      <c r="S138" s="497"/>
      <c r="T138" s="497"/>
      <c r="U138" s="497"/>
      <c r="V138" s="497"/>
      <c r="W138" s="497"/>
      <c r="X138" s="497"/>
      <c r="Y138" s="497"/>
      <c r="Z138" s="497"/>
      <c r="AA138" s="497"/>
      <c r="AB138" s="497"/>
      <c r="AC138" s="497"/>
      <c r="AD138" s="497"/>
      <c r="AE138" s="497"/>
      <c r="AF138" s="497"/>
      <c r="AG138" s="497"/>
      <c r="AH138" s="497"/>
      <c r="AI138" s="497"/>
      <c r="AJ138" s="497"/>
      <c r="AK138" s="497"/>
      <c r="AM138" s="497"/>
      <c r="AN138" s="497"/>
      <c r="AO138" s="497"/>
      <c r="AP138" s="497"/>
      <c r="AQ138" s="497"/>
      <c r="AR138" s="497"/>
      <c r="AS138" s="497"/>
      <c r="AT138" s="497"/>
      <c r="AU138" s="497"/>
      <c r="AV138" s="497"/>
      <c r="AW138" s="497"/>
      <c r="AX138" s="497"/>
      <c r="AY138" s="497"/>
      <c r="AZ138" s="497"/>
      <c r="BA138" s="497"/>
      <c r="BB138" s="497"/>
      <c r="BC138" s="497"/>
      <c r="BD138" s="497"/>
      <c r="BE138" s="497"/>
      <c r="BF138" s="497"/>
      <c r="BH138" s="497"/>
      <c r="BI138" s="497"/>
      <c r="BJ138" s="497"/>
      <c r="BL138" s="497"/>
      <c r="BM138" s="497"/>
    </row>
    <row r="139" spans="7:65">
      <c r="G139" s="497"/>
      <c r="H139" s="497"/>
      <c r="I139" s="497"/>
      <c r="J139" s="497"/>
      <c r="K139" s="501"/>
      <c r="L139" s="497"/>
      <c r="M139" s="497"/>
      <c r="N139" s="497"/>
      <c r="O139" s="497"/>
      <c r="P139" s="497"/>
      <c r="Q139" s="497"/>
      <c r="S139" s="497"/>
      <c r="T139" s="497"/>
      <c r="U139" s="497"/>
      <c r="V139" s="497"/>
      <c r="W139" s="497"/>
      <c r="X139" s="497"/>
      <c r="Y139" s="497"/>
      <c r="Z139" s="497"/>
      <c r="AA139" s="497"/>
      <c r="AB139" s="497"/>
      <c r="AC139" s="497"/>
      <c r="AD139" s="497"/>
      <c r="AE139" s="497"/>
      <c r="AF139" s="497"/>
      <c r="AG139" s="497"/>
      <c r="AH139" s="497"/>
      <c r="AI139" s="497"/>
      <c r="AJ139" s="497"/>
      <c r="AK139" s="497"/>
      <c r="AM139" s="497"/>
      <c r="AN139" s="497"/>
      <c r="AO139" s="497"/>
      <c r="AP139" s="497"/>
      <c r="AQ139" s="497"/>
      <c r="AR139" s="497"/>
      <c r="AS139" s="497"/>
      <c r="AT139" s="497"/>
      <c r="AU139" s="497"/>
      <c r="AV139" s="497"/>
      <c r="AW139" s="497"/>
      <c r="AX139" s="497"/>
      <c r="AY139" s="497"/>
      <c r="AZ139" s="497"/>
      <c r="BA139" s="497"/>
      <c r="BB139" s="497"/>
      <c r="BC139" s="497"/>
      <c r="BD139" s="497"/>
      <c r="BE139" s="497"/>
      <c r="BF139" s="497"/>
      <c r="BH139" s="497"/>
      <c r="BI139" s="497"/>
      <c r="BJ139" s="497"/>
      <c r="BL139" s="497"/>
      <c r="BM139" s="497"/>
    </row>
    <row r="140" spans="7:65">
      <c r="G140" s="497"/>
      <c r="H140" s="497"/>
      <c r="I140" s="497"/>
      <c r="J140" s="497"/>
      <c r="K140" s="501"/>
      <c r="L140" s="497"/>
      <c r="M140" s="497"/>
      <c r="N140" s="497"/>
      <c r="O140" s="497"/>
      <c r="P140" s="497"/>
      <c r="Q140" s="497"/>
      <c r="S140" s="497"/>
      <c r="T140" s="497"/>
      <c r="U140" s="497"/>
      <c r="V140" s="497"/>
      <c r="W140" s="497"/>
      <c r="X140" s="497"/>
      <c r="Y140" s="497"/>
      <c r="Z140" s="497"/>
      <c r="AA140" s="497"/>
      <c r="AB140" s="497"/>
      <c r="AC140" s="497"/>
      <c r="AD140" s="497"/>
      <c r="AE140" s="497"/>
      <c r="AF140" s="497"/>
      <c r="AG140" s="497"/>
      <c r="AH140" s="497"/>
      <c r="AI140" s="497"/>
      <c r="AJ140" s="497"/>
      <c r="AK140" s="497"/>
      <c r="AM140" s="497"/>
      <c r="AN140" s="497"/>
      <c r="AO140" s="497"/>
      <c r="AP140" s="497"/>
      <c r="AQ140" s="497"/>
      <c r="AR140" s="497"/>
      <c r="AS140" s="497"/>
      <c r="AT140" s="497"/>
      <c r="AU140" s="497"/>
      <c r="AV140" s="497"/>
      <c r="AW140" s="497"/>
      <c r="AX140" s="497"/>
      <c r="AY140" s="497"/>
      <c r="AZ140" s="497"/>
      <c r="BA140" s="497"/>
      <c r="BB140" s="497"/>
      <c r="BC140" s="497"/>
      <c r="BD140" s="497"/>
      <c r="BE140" s="497"/>
      <c r="BF140" s="497"/>
      <c r="BH140" s="497"/>
      <c r="BI140" s="497"/>
      <c r="BJ140" s="497"/>
      <c r="BL140" s="497"/>
      <c r="BM140" s="497"/>
    </row>
    <row r="141" spans="7:65">
      <c r="G141" s="497"/>
      <c r="H141" s="497"/>
      <c r="I141" s="497"/>
      <c r="J141" s="497"/>
      <c r="K141" s="501"/>
      <c r="L141" s="497"/>
      <c r="M141" s="497"/>
      <c r="N141" s="497"/>
      <c r="O141" s="497"/>
      <c r="P141" s="497"/>
      <c r="Q141" s="497"/>
      <c r="S141" s="497"/>
      <c r="T141" s="497"/>
      <c r="U141" s="497"/>
      <c r="V141" s="497"/>
      <c r="W141" s="497"/>
      <c r="X141" s="497"/>
      <c r="Y141" s="497"/>
      <c r="Z141" s="497"/>
      <c r="AA141" s="497"/>
      <c r="AB141" s="497"/>
      <c r="AC141" s="497"/>
      <c r="AD141" s="497"/>
      <c r="AE141" s="497"/>
      <c r="AF141" s="497"/>
      <c r="AG141" s="497"/>
      <c r="AH141" s="497"/>
      <c r="AI141" s="497"/>
      <c r="AJ141" s="497"/>
      <c r="AK141" s="497"/>
      <c r="AM141" s="497"/>
      <c r="AN141" s="497"/>
      <c r="AO141" s="497"/>
      <c r="AP141" s="497"/>
      <c r="AQ141" s="497"/>
      <c r="AR141" s="497"/>
      <c r="AS141" s="497"/>
      <c r="AT141" s="497"/>
      <c r="AU141" s="497"/>
      <c r="AV141" s="497"/>
      <c r="AW141" s="497"/>
      <c r="AX141" s="497"/>
      <c r="AY141" s="497"/>
      <c r="AZ141" s="497"/>
      <c r="BA141" s="497"/>
      <c r="BB141" s="497"/>
      <c r="BC141" s="497"/>
      <c r="BD141" s="497"/>
      <c r="BE141" s="497"/>
      <c r="BF141" s="497"/>
      <c r="BH141" s="497"/>
      <c r="BI141" s="497"/>
      <c r="BJ141" s="497"/>
      <c r="BL141" s="497"/>
      <c r="BM141" s="497"/>
    </row>
    <row r="142" spans="7:65">
      <c r="G142" s="497"/>
      <c r="H142" s="497"/>
      <c r="I142" s="497"/>
      <c r="J142" s="497"/>
      <c r="K142" s="501"/>
      <c r="L142" s="497"/>
      <c r="M142" s="497"/>
      <c r="N142" s="497"/>
      <c r="O142" s="497"/>
      <c r="P142" s="497"/>
      <c r="Q142" s="497"/>
      <c r="S142" s="497"/>
      <c r="T142" s="497"/>
      <c r="U142" s="497"/>
      <c r="V142" s="497"/>
      <c r="W142" s="497"/>
      <c r="X142" s="497"/>
      <c r="Y142" s="497"/>
      <c r="Z142" s="497"/>
      <c r="AA142" s="497"/>
      <c r="AB142" s="497"/>
      <c r="AC142" s="497"/>
      <c r="AD142" s="497"/>
      <c r="AE142" s="497"/>
      <c r="AF142" s="497"/>
      <c r="AG142" s="497"/>
      <c r="AH142" s="497"/>
      <c r="AI142" s="497"/>
      <c r="AJ142" s="497"/>
      <c r="AK142" s="497"/>
      <c r="AM142" s="497"/>
      <c r="AN142" s="497"/>
      <c r="AO142" s="497"/>
      <c r="AP142" s="497"/>
      <c r="AQ142" s="497"/>
      <c r="AR142" s="497"/>
      <c r="AS142" s="497"/>
      <c r="AT142" s="497"/>
      <c r="AU142" s="497"/>
      <c r="AV142" s="497"/>
      <c r="AW142" s="497"/>
      <c r="AX142" s="497"/>
      <c r="AY142" s="497"/>
      <c r="AZ142" s="497"/>
      <c r="BA142" s="497"/>
      <c r="BB142" s="497"/>
      <c r="BC142" s="497"/>
      <c r="BD142" s="497"/>
      <c r="BE142" s="497"/>
      <c r="BF142" s="497"/>
      <c r="BH142" s="497"/>
      <c r="BI142" s="497"/>
      <c r="BJ142" s="497"/>
      <c r="BL142" s="497"/>
      <c r="BM142" s="497"/>
    </row>
    <row r="143" spans="7:65">
      <c r="G143" s="497"/>
      <c r="H143" s="497"/>
      <c r="I143" s="497"/>
      <c r="J143" s="497"/>
      <c r="K143" s="501"/>
      <c r="L143" s="497"/>
      <c r="M143" s="497"/>
      <c r="N143" s="497"/>
      <c r="O143" s="497"/>
      <c r="P143" s="497"/>
      <c r="Q143" s="497"/>
      <c r="S143" s="497"/>
      <c r="T143" s="497"/>
      <c r="U143" s="497"/>
      <c r="V143" s="497"/>
      <c r="W143" s="497"/>
      <c r="X143" s="497"/>
      <c r="Y143" s="497"/>
      <c r="Z143" s="497"/>
      <c r="AA143" s="497"/>
      <c r="AB143" s="497"/>
      <c r="AC143" s="497"/>
      <c r="AD143" s="497"/>
      <c r="AE143" s="497"/>
      <c r="AF143" s="497"/>
      <c r="AG143" s="497"/>
      <c r="AH143" s="497"/>
      <c r="AI143" s="497"/>
      <c r="AJ143" s="497"/>
      <c r="AK143" s="497"/>
      <c r="AM143" s="497"/>
      <c r="AN143" s="497"/>
      <c r="AO143" s="497"/>
      <c r="AP143" s="497"/>
      <c r="AQ143" s="497"/>
      <c r="AR143" s="497"/>
      <c r="AS143" s="497"/>
      <c r="AT143" s="497"/>
      <c r="AU143" s="497"/>
      <c r="AV143" s="497"/>
      <c r="AW143" s="497"/>
      <c r="AX143" s="497"/>
      <c r="AY143" s="497"/>
      <c r="AZ143" s="497"/>
      <c r="BA143" s="497"/>
      <c r="BB143" s="497"/>
      <c r="BC143" s="497"/>
      <c r="BD143" s="497"/>
      <c r="BE143" s="497"/>
      <c r="BF143" s="497"/>
      <c r="BH143" s="497"/>
      <c r="BI143" s="497"/>
      <c r="BJ143" s="497"/>
      <c r="BL143" s="497"/>
      <c r="BM143" s="497"/>
    </row>
    <row r="144" spans="7:65">
      <c r="G144" s="497"/>
      <c r="H144" s="497"/>
      <c r="I144" s="497"/>
      <c r="J144" s="497"/>
      <c r="K144" s="501"/>
      <c r="L144" s="497"/>
      <c r="M144" s="497"/>
      <c r="N144" s="497"/>
      <c r="O144" s="497"/>
      <c r="P144" s="497"/>
      <c r="Q144" s="497"/>
      <c r="S144" s="497"/>
      <c r="T144" s="497"/>
      <c r="U144" s="497"/>
      <c r="V144" s="497"/>
      <c r="W144" s="497"/>
      <c r="X144" s="497"/>
      <c r="Y144" s="497"/>
      <c r="Z144" s="497"/>
      <c r="AA144" s="497"/>
      <c r="AB144" s="497"/>
      <c r="AC144" s="497"/>
      <c r="AD144" s="497"/>
      <c r="AE144" s="497"/>
      <c r="AF144" s="497"/>
      <c r="AG144" s="497"/>
      <c r="AH144" s="497"/>
      <c r="AI144" s="497"/>
      <c r="AJ144" s="497"/>
      <c r="AK144" s="497"/>
      <c r="AM144" s="497"/>
      <c r="AN144" s="497"/>
      <c r="AO144" s="497"/>
      <c r="AP144" s="497"/>
      <c r="AQ144" s="497"/>
      <c r="AR144" s="497"/>
      <c r="AS144" s="497"/>
      <c r="AT144" s="497"/>
      <c r="AU144" s="497"/>
      <c r="AV144" s="497"/>
      <c r="AW144" s="497"/>
      <c r="AX144" s="497"/>
      <c r="AY144" s="497"/>
      <c r="AZ144" s="497"/>
      <c r="BA144" s="497"/>
      <c r="BB144" s="497"/>
      <c r="BC144" s="497"/>
      <c r="BD144" s="497"/>
      <c r="BE144" s="497"/>
      <c r="BF144" s="497"/>
      <c r="BH144" s="497"/>
      <c r="BI144" s="497"/>
      <c r="BJ144" s="497"/>
      <c r="BL144" s="497"/>
      <c r="BM144" s="497"/>
    </row>
    <row r="145" spans="7:65">
      <c r="G145" s="497"/>
      <c r="H145" s="497"/>
      <c r="I145" s="497"/>
      <c r="J145" s="497"/>
      <c r="K145" s="501"/>
      <c r="L145" s="497"/>
      <c r="M145" s="497"/>
      <c r="N145" s="497"/>
      <c r="O145" s="497"/>
      <c r="P145" s="497"/>
      <c r="Q145" s="497"/>
      <c r="S145" s="497"/>
      <c r="T145" s="497"/>
      <c r="U145" s="497"/>
      <c r="V145" s="497"/>
      <c r="W145" s="497"/>
      <c r="X145" s="497"/>
      <c r="Y145" s="497"/>
      <c r="Z145" s="497"/>
      <c r="AA145" s="497"/>
      <c r="AB145" s="497"/>
      <c r="AC145" s="497"/>
      <c r="AD145" s="497"/>
      <c r="AE145" s="497"/>
      <c r="AF145" s="497"/>
      <c r="AG145" s="497"/>
      <c r="AH145" s="497"/>
      <c r="AI145" s="497"/>
      <c r="AJ145" s="497"/>
      <c r="AK145" s="497"/>
      <c r="AM145" s="497"/>
      <c r="AN145" s="497"/>
      <c r="AO145" s="497"/>
      <c r="AP145" s="497"/>
      <c r="AQ145" s="497"/>
      <c r="AR145" s="497"/>
      <c r="AS145" s="497"/>
      <c r="AT145" s="497"/>
      <c r="AU145" s="497"/>
      <c r="AV145" s="497"/>
      <c r="AW145" s="497"/>
      <c r="AX145" s="497"/>
      <c r="AY145" s="497"/>
      <c r="AZ145" s="497"/>
      <c r="BA145" s="497"/>
      <c r="BB145" s="497"/>
      <c r="BC145" s="497"/>
      <c r="BD145" s="497"/>
      <c r="BE145" s="497"/>
      <c r="BF145" s="497"/>
      <c r="BH145" s="497"/>
      <c r="BI145" s="497"/>
      <c r="BJ145" s="497"/>
      <c r="BL145" s="497"/>
      <c r="BM145" s="497"/>
    </row>
    <row r="146" spans="7:65">
      <c r="G146" s="497"/>
      <c r="H146" s="497"/>
      <c r="I146" s="497"/>
      <c r="J146" s="497"/>
      <c r="K146" s="501"/>
      <c r="L146" s="497"/>
      <c r="M146" s="497"/>
      <c r="N146" s="497"/>
      <c r="O146" s="497"/>
      <c r="P146" s="497"/>
      <c r="Q146" s="497"/>
      <c r="S146" s="497"/>
      <c r="T146" s="497"/>
      <c r="U146" s="497"/>
      <c r="V146" s="497"/>
      <c r="W146" s="497"/>
      <c r="X146" s="497"/>
      <c r="Y146" s="497"/>
      <c r="Z146" s="497"/>
      <c r="AA146" s="497"/>
      <c r="AB146" s="497"/>
      <c r="AC146" s="497"/>
      <c r="AD146" s="497"/>
      <c r="AE146" s="497"/>
      <c r="AF146" s="497"/>
      <c r="AG146" s="497"/>
      <c r="AH146" s="497"/>
      <c r="AI146" s="497"/>
      <c r="AJ146" s="497"/>
      <c r="AK146" s="497"/>
      <c r="AM146" s="497"/>
      <c r="AN146" s="497"/>
      <c r="AO146" s="497"/>
      <c r="AP146" s="497"/>
      <c r="AQ146" s="497"/>
      <c r="AR146" s="497"/>
      <c r="AS146" s="497"/>
      <c r="AT146" s="497"/>
      <c r="AU146" s="497"/>
      <c r="AV146" s="497"/>
      <c r="AW146" s="497"/>
      <c r="AX146" s="497"/>
      <c r="AY146" s="497"/>
      <c r="AZ146" s="497"/>
      <c r="BA146" s="497"/>
      <c r="BB146" s="497"/>
      <c r="BC146" s="497"/>
      <c r="BD146" s="497"/>
      <c r="BE146" s="497"/>
      <c r="BF146" s="497"/>
      <c r="BH146" s="497"/>
      <c r="BI146" s="497"/>
      <c r="BJ146" s="497"/>
      <c r="BL146" s="497"/>
      <c r="BM146" s="497"/>
    </row>
    <row r="147" spans="7:65">
      <c r="G147" s="497"/>
      <c r="H147" s="497"/>
      <c r="I147" s="497"/>
      <c r="J147" s="497"/>
      <c r="K147" s="501"/>
      <c r="L147" s="497"/>
      <c r="M147" s="497"/>
      <c r="N147" s="497"/>
      <c r="O147" s="497"/>
      <c r="P147" s="497"/>
      <c r="Q147" s="497"/>
      <c r="S147" s="497"/>
      <c r="T147" s="497"/>
      <c r="U147" s="497"/>
      <c r="V147" s="497"/>
      <c r="W147" s="497"/>
      <c r="X147" s="497"/>
      <c r="Y147" s="497"/>
      <c r="Z147" s="497"/>
      <c r="AA147" s="497"/>
      <c r="AB147" s="497"/>
      <c r="AC147" s="497"/>
      <c r="AD147" s="497"/>
      <c r="AE147" s="497"/>
      <c r="AF147" s="497"/>
      <c r="AG147" s="497"/>
      <c r="AH147" s="497"/>
      <c r="AI147" s="497"/>
      <c r="AJ147" s="497"/>
      <c r="AK147" s="497"/>
      <c r="AM147" s="497"/>
      <c r="AN147" s="497"/>
      <c r="AO147" s="497"/>
      <c r="AP147" s="497"/>
      <c r="AQ147" s="497"/>
      <c r="AR147" s="497"/>
      <c r="AS147" s="497"/>
      <c r="AT147" s="497"/>
      <c r="AU147" s="497"/>
      <c r="AV147" s="497"/>
      <c r="AW147" s="497"/>
      <c r="AX147" s="497"/>
      <c r="AY147" s="497"/>
      <c r="AZ147" s="497"/>
      <c r="BA147" s="497"/>
      <c r="BB147" s="497"/>
      <c r="BC147" s="497"/>
      <c r="BD147" s="497"/>
      <c r="BE147" s="497"/>
      <c r="BF147" s="497"/>
      <c r="BH147" s="497"/>
      <c r="BI147" s="497"/>
      <c r="BJ147" s="497"/>
      <c r="BL147" s="497"/>
      <c r="BM147" s="497"/>
    </row>
    <row r="148" spans="7:65">
      <c r="G148" s="497"/>
      <c r="H148" s="497"/>
      <c r="I148" s="497"/>
      <c r="J148" s="497"/>
      <c r="K148" s="501"/>
      <c r="L148" s="497"/>
      <c r="M148" s="497"/>
      <c r="N148" s="497"/>
      <c r="O148" s="497"/>
      <c r="P148" s="497"/>
      <c r="Q148" s="497"/>
      <c r="S148" s="497"/>
      <c r="T148" s="497"/>
      <c r="U148" s="497"/>
      <c r="V148" s="497"/>
      <c r="W148" s="497"/>
      <c r="X148" s="497"/>
      <c r="Y148" s="497"/>
      <c r="Z148" s="497"/>
      <c r="AA148" s="497"/>
      <c r="AB148" s="497"/>
      <c r="AC148" s="497"/>
      <c r="AD148" s="497"/>
      <c r="AE148" s="497"/>
      <c r="AF148" s="497"/>
      <c r="AG148" s="497"/>
      <c r="AH148" s="497"/>
      <c r="AI148" s="497"/>
      <c r="AJ148" s="497"/>
      <c r="AK148" s="497"/>
      <c r="AM148" s="497"/>
      <c r="AN148" s="497"/>
      <c r="AO148" s="497"/>
      <c r="AP148" s="497"/>
      <c r="AQ148" s="497"/>
      <c r="AR148" s="497"/>
      <c r="AS148" s="497"/>
      <c r="AT148" s="497"/>
      <c r="AU148" s="497"/>
      <c r="AV148" s="497"/>
      <c r="AW148" s="497"/>
      <c r="AX148" s="497"/>
      <c r="AY148" s="497"/>
      <c r="AZ148" s="497"/>
      <c r="BA148" s="497"/>
      <c r="BB148" s="497"/>
      <c r="BC148" s="497"/>
      <c r="BD148" s="497"/>
      <c r="BE148" s="497"/>
      <c r="BF148" s="497"/>
      <c r="BH148" s="497"/>
      <c r="BI148" s="497"/>
      <c r="BJ148" s="497"/>
      <c r="BL148" s="497"/>
      <c r="BM148" s="497"/>
    </row>
  </sheetData>
  <pageMargins left="0.25" right="0.25" top="0.75" bottom="0.75" header="0.3" footer="0.3"/>
  <headerFooter>
    <oddFooter>&amp;L&amp;"+,Regular"Pathways to 2050 -- Energy Flow Model&amp;R&amp;"+,Regular"&amp;F  |  This version printed &amp;D</oddFooter>
  </headerFooter>
  <ignoredErrors>
    <ignoredError sqref="AJ11 AJ28:AK28 BE28 G11:Q11 G28:Q28 BH11:BI11 BH28:BI28 AV28:BC28 S28:W28 BO11:DF11 BO28:DF28 AM11:BE11 AF28 AF11 S11:AC11 AA28:AC2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Control</vt:lpstr>
      <vt:lpstr>Preferences</vt:lpstr>
      <vt:lpstr>Intermediate output</vt:lpstr>
      <vt:lpstr>Conversions</vt:lpstr>
      <vt:lpstr>Global assumptions</vt:lpstr>
      <vt:lpstr>Constants</vt:lpstr>
      <vt:lpstr>Structure of the model</vt:lpstr>
      <vt:lpstr>IX.a</vt:lpstr>
      <vt:lpstr>2007</vt:lpstr>
      <vt:lpstr>DUKES 09 (1.2)</vt:lpstr>
      <vt:lpstr>DUKES 09 (1.9)</vt:lpstr>
      <vt:lpstr>DUKES 09 (2.5)</vt:lpstr>
      <vt:lpstr>DUKES 09 (5.1)</vt:lpstr>
      <vt:lpstr>DUKES 09 (5.6)</vt:lpstr>
      <vt:lpstr>DUKES 09 (7.2)</vt:lpstr>
      <vt:lpstr>DUKES 09 (7.4)</vt:lpstr>
      <vt:lpstr>DUKES 09 (A.1)</vt:lpstr>
      <vt:lpstr>DECC Energy Cons. (1.14)</vt:lpstr>
      <vt:lpstr>DECC Energy Cons. (4.1)</vt:lpstr>
    </vt:vector>
  </TitlesOfParts>
  <Company>Defra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Geddes</dc:creator>
  <cp:lastModifiedBy>Thomas Counsell</cp:lastModifiedBy>
  <cp:lastPrinted>2011-10-20T09:16:03Z</cp:lastPrinted>
  <dcterms:created xsi:type="dcterms:W3CDTF">2009-09-22T13:50:50Z</dcterms:created>
  <dcterms:modified xsi:type="dcterms:W3CDTF">2014-02-09T22:31:40Z</dcterms:modified>
</cp:coreProperties>
</file>