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1.xml" ContentType="application/vnd.ms-excel.slicer+xml"/>
  <Override PartName="/xl/drawings/drawing6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lleDado\Desktop\Eu Analista e Devs\DIO - SANTANDER\"/>
    </mc:Choice>
  </mc:AlternateContent>
  <xr:revisionPtr revIDLastSave="0" documentId="13_ncr:1_{4AE3559C-EEB0-41D0-8206-388812860992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ssórios" sheetId="1" state="hidden" r:id="rId1"/>
    <sheet name="B̳ases" sheetId="2" state="hidden" r:id="rId2"/>
    <sheet name="C̳álculos" sheetId="3" state="hidden" r:id="rId3"/>
    <sheet name="D̳ash_Home" sheetId="7" r:id="rId4"/>
    <sheet name="D̳ash_Diretor" sheetId="20" r:id="rId5"/>
    <sheet name="D̳ash_Diretor2" sheetId="21" r:id="rId6"/>
    <sheet name="D̳ash_Vendas" sheetId="22" r:id="rId7"/>
    <sheet name="EXTRA" sheetId="8" state="hidden" r:id="rId8"/>
  </sheets>
  <definedNames>
    <definedName name="ANALISE_DE_DADOS">EXTRA!$C$2:$C$4</definedName>
    <definedName name="Cálculo_Dash_Diretor">C̳álculos!$A$15</definedName>
    <definedName name="Calculo_Dash_Diretor2">C̳álculos!$A$60</definedName>
    <definedName name="Calculo_Dash_Vendas">C̳álculos!$A$84</definedName>
    <definedName name="CAMPO_CODIGO" localSheetId="4">D̳ash_Diretor!$D$16</definedName>
    <definedName name="CAMPO_CODIGO" localSheetId="5">D̳ash_Diretor2!$D$16</definedName>
    <definedName name="CAMPO_CODIGO" localSheetId="6">D̳ash_Vendas!$D$16</definedName>
    <definedName name="CAMPO_CODIGO">D̳ash_Home!$D$16</definedName>
    <definedName name="DIREÇÃO">EXTRA!$A$2:$A$4</definedName>
    <definedName name="EQUIPE_DE_VENDAS">EXTRA!$B$2:$B$4</definedName>
    <definedName name="escolha_setor" localSheetId="4">D̳ash_Diretor!$D$13</definedName>
    <definedName name="escolha_setor" localSheetId="5">D̳ash_Diretor2!$D$13</definedName>
    <definedName name="escolha_setor" localSheetId="6">D̳ash_Vendas!$D$13</definedName>
    <definedName name="escolha_setor">D̳ash_Home!$D$13</definedName>
    <definedName name="Intervalo_Login">EXTRA!$A$2:$C$4</definedName>
    <definedName name="SegmentaçãodeDados_Meses">#N/A</definedName>
    <definedName name="SegmentaçãodeDados_Plan">#N/A</definedName>
    <definedName name="SegmentaçãodeDados_Subscription_Type">#N/A</definedName>
    <definedName name="SETOR">EXTRA!$A$2:$C$2</definedName>
    <definedName name="tbl_quantidade_assinaturas">C̳álculos!$A$67:$E$69</definedName>
    <definedName name="TICKET_MÉDIO_ASSINATURAS">C̳álculos!$A$87:$D$88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7" l="1"/>
  <c r="F125" i="3"/>
  <c r="F124" i="3"/>
  <c r="F128" i="3"/>
  <c r="L110" i="3"/>
  <c r="L111" i="3"/>
  <c r="L112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L99" i="3"/>
  <c r="L100" i="3"/>
  <c r="L101" i="3"/>
  <c r="P96" i="3"/>
  <c r="P95" i="3"/>
  <c r="P94" i="3"/>
  <c r="P93" i="3"/>
  <c r="L97" i="3"/>
  <c r="L96" i="3"/>
  <c r="L95" i="3"/>
  <c r="L94" i="3"/>
  <c r="L93" i="3"/>
  <c r="O121" i="3"/>
  <c r="L127" i="3"/>
  <c r="L133" i="3"/>
  <c r="S121" i="3"/>
  <c r="N121" i="3"/>
  <c r="P121" i="3"/>
  <c r="N118" i="3"/>
  <c r="O118" i="3"/>
  <c r="P118" i="3"/>
  <c r="Q118" i="3"/>
  <c r="R118" i="3"/>
  <c r="S118" i="3"/>
  <c r="T118" i="3"/>
  <c r="N119" i="3"/>
  <c r="O119" i="3"/>
  <c r="P119" i="3"/>
  <c r="Q119" i="3"/>
  <c r="R119" i="3"/>
  <c r="S119" i="3"/>
  <c r="T119" i="3"/>
  <c r="N120" i="3"/>
  <c r="O120" i="3"/>
  <c r="P120" i="3"/>
  <c r="Q120" i="3"/>
  <c r="R120" i="3"/>
  <c r="S120" i="3"/>
  <c r="T120" i="3"/>
  <c r="Q121" i="3"/>
  <c r="R121" i="3"/>
  <c r="T121" i="3"/>
  <c r="M121" i="3"/>
  <c r="M119" i="3"/>
  <c r="M120" i="3"/>
  <c r="M118" i="3"/>
  <c r="L121" i="3"/>
  <c r="L120" i="3"/>
  <c r="L119" i="3"/>
  <c r="L118" i="3"/>
  <c r="T117" i="3"/>
  <c r="L155" i="3"/>
  <c r="L153" i="3"/>
  <c r="L151" i="3"/>
  <c r="L149" i="3"/>
  <c r="L147" i="3"/>
  <c r="L145" i="3"/>
  <c r="L143" i="3"/>
  <c r="M100" i="3"/>
  <c r="M97" i="3"/>
  <c r="M127" i="3"/>
  <c r="O133" i="3"/>
  <c r="M102" i="3"/>
  <c r="Q94" i="3"/>
  <c r="M94" i="3"/>
  <c r="N127" i="3"/>
  <c r="L139" i="3"/>
  <c r="M111" i="3"/>
  <c r="A88" i="3"/>
  <c r="L154" i="3"/>
  <c r="L152" i="3"/>
  <c r="L150" i="3"/>
  <c r="L148" i="3"/>
  <c r="L146" i="3"/>
  <c r="L144" i="3"/>
  <c r="M101" i="3"/>
  <c r="Q95" i="3"/>
  <c r="M95" i="3"/>
  <c r="O127" i="3"/>
  <c r="M139" i="3"/>
  <c r="Q96" i="3"/>
  <c r="M96" i="3"/>
  <c r="N133" i="3"/>
  <c r="M133" i="3"/>
  <c r="M110" i="3"/>
  <c r="M112" i="3"/>
  <c r="N143" i="3" l="1"/>
  <c r="O143" i="3" s="1"/>
  <c r="N147" i="3"/>
  <c r="O147" i="3" s="1"/>
  <c r="L88" i="3"/>
  <c r="U62" i="3"/>
  <c r="Q18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M42" i="3"/>
  <c r="M41" i="3"/>
  <c r="M40" i="3"/>
  <c r="M39" i="3"/>
  <c r="M38" i="3"/>
  <c r="M56" i="3"/>
  <c r="M55" i="3"/>
  <c r="M54" i="3"/>
  <c r="M53" i="3"/>
  <c r="M52" i="3"/>
  <c r="M37" i="3"/>
  <c r="M29" i="3"/>
  <c r="M28" i="3"/>
  <c r="M30" i="3"/>
  <c r="M21" i="3"/>
  <c r="M20" i="3"/>
  <c r="M19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C18" i="7"/>
  <c r="I16" i="7"/>
  <c r="Q200" i="3"/>
  <c r="P203" i="3"/>
  <c r="M206" i="3"/>
  <c r="Q208" i="3"/>
  <c r="O211" i="3"/>
  <c r="P189" i="3"/>
  <c r="N183" i="3"/>
  <c r="O191" i="3"/>
  <c r="M185" i="3"/>
  <c r="M201" i="3"/>
  <c r="Q203" i="3"/>
  <c r="P206" i="3"/>
  <c r="M209" i="3"/>
  <c r="R211" i="3"/>
  <c r="P187" i="3"/>
  <c r="N181" i="3"/>
  <c r="O189" i="3"/>
  <c r="M183" i="3"/>
  <c r="N201" i="3"/>
  <c r="R203" i="3"/>
  <c r="O206" i="3"/>
  <c r="N209" i="3"/>
  <c r="Q211" i="3"/>
  <c r="N187" i="3"/>
  <c r="M189" i="3"/>
  <c r="O203" i="3"/>
  <c r="R208" i="3"/>
  <c r="N185" i="3"/>
  <c r="M187" i="3"/>
  <c r="M192" i="3"/>
  <c r="M181" i="3"/>
  <c r="N204" i="3"/>
  <c r="O209" i="3"/>
  <c r="M190" i="3"/>
  <c r="M200" i="3"/>
  <c r="P205" i="3"/>
  <c r="Q210" i="3"/>
  <c r="P186" i="3"/>
  <c r="P200" i="3"/>
  <c r="Q205" i="3"/>
  <c r="N211" i="3"/>
  <c r="P184" i="3"/>
  <c r="O200" i="3"/>
  <c r="R205" i="3"/>
  <c r="M211" i="3"/>
  <c r="O190" i="3"/>
  <c r="N202" i="3"/>
  <c r="O188" i="3"/>
  <c r="O182" i="3"/>
  <c r="R202" i="3"/>
  <c r="O180" i="3"/>
  <c r="P201" i="3"/>
  <c r="Q206" i="3"/>
  <c r="P181" i="3"/>
  <c r="O183" i="3"/>
  <c r="Q201" i="3"/>
  <c r="M207" i="3"/>
  <c r="O192" i="3"/>
  <c r="O181" i="3"/>
  <c r="R201" i="3"/>
  <c r="N207" i="3"/>
  <c r="M184" i="3"/>
  <c r="R204" i="3"/>
  <c r="M182" i="3"/>
  <c r="P190" i="3"/>
  <c r="O205" i="3"/>
  <c r="P188" i="3"/>
  <c r="R210" i="3"/>
  <c r="P199" i="3"/>
  <c r="M202" i="3"/>
  <c r="Q204" i="3"/>
  <c r="P207" i="3"/>
  <c r="M210" i="3"/>
  <c r="O186" i="3"/>
  <c r="M180" i="3"/>
  <c r="N188" i="3"/>
  <c r="Q199" i="3"/>
  <c r="P202" i="3"/>
  <c r="M205" i="3"/>
  <c r="Q207" i="3"/>
  <c r="P210" i="3"/>
  <c r="O184" i="3"/>
  <c r="P192" i="3"/>
  <c r="N186" i="3"/>
  <c r="R199" i="3"/>
  <c r="O202" i="3"/>
  <c r="N205" i="3"/>
  <c r="R207" i="3"/>
  <c r="P182" i="3"/>
  <c r="N206" i="3"/>
  <c r="P180" i="3"/>
  <c r="O187" i="3"/>
  <c r="R206" i="3"/>
  <c r="O185" i="3"/>
  <c r="Q202" i="3"/>
  <c r="N191" i="3"/>
  <c r="M203" i="3"/>
  <c r="N189" i="3"/>
  <c r="N203" i="3"/>
  <c r="N192" i="3"/>
  <c r="N184" i="3"/>
  <c r="P209" i="3"/>
  <c r="M199" i="3"/>
  <c r="Q209" i="3"/>
  <c r="N199" i="3"/>
  <c r="R209" i="3"/>
  <c r="N210" i="3"/>
  <c r="O210" i="3"/>
  <c r="R200" i="3"/>
  <c r="P211" i="3"/>
  <c r="P191" i="3"/>
  <c r="P185" i="3"/>
  <c r="O201" i="3"/>
  <c r="P183" i="3"/>
  <c r="M208" i="3"/>
  <c r="N180" i="3"/>
  <c r="P208" i="3"/>
  <c r="M191" i="3"/>
  <c r="O208" i="3"/>
  <c r="O207" i="3"/>
  <c r="N190" i="3"/>
  <c r="N208" i="3"/>
  <c r="N182" i="3"/>
  <c r="M204" i="3"/>
  <c r="M188" i="3"/>
  <c r="P204" i="3"/>
  <c r="M186" i="3"/>
  <c r="O204" i="3"/>
  <c r="O199" i="3"/>
  <c r="N200" i="3"/>
  <c r="P113" i="3"/>
  <c r="Q113" i="3"/>
  <c r="Q112" i="3"/>
  <c r="S113" i="3"/>
  <c r="M113" i="3"/>
  <c r="R113" i="3"/>
  <c r="S110" i="3"/>
  <c r="P112" i="3"/>
  <c r="N112" i="3"/>
  <c r="R112" i="3"/>
  <c r="O111" i="3"/>
  <c r="R111" i="3"/>
  <c r="T113" i="3"/>
  <c r="R110" i="3"/>
  <c r="N113" i="3"/>
  <c r="O110" i="3"/>
  <c r="T110" i="3"/>
  <c r="O112" i="3"/>
  <c r="Q111" i="3"/>
  <c r="P110" i="3"/>
  <c r="N111" i="3"/>
  <c r="S111" i="3"/>
  <c r="Q110" i="3"/>
  <c r="T112" i="3"/>
  <c r="S112" i="3"/>
  <c r="T111" i="3"/>
  <c r="N110" i="3"/>
  <c r="O113" i="3"/>
  <c r="P111" i="3"/>
  <c r="U66" i="3"/>
  <c r="Q22" i="3"/>
  <c r="N42" i="3"/>
  <c r="O38" i="3"/>
  <c r="O53" i="3"/>
  <c r="N66" i="3"/>
  <c r="S66" i="3"/>
  <c r="N63" i="3"/>
  <c r="N54" i="3"/>
  <c r="T63" i="3"/>
  <c r="O64" i="3"/>
  <c r="P22" i="3"/>
  <c r="P21" i="3"/>
  <c r="N38" i="3"/>
  <c r="S65" i="3"/>
  <c r="O37" i="3"/>
  <c r="R66" i="3"/>
  <c r="S64" i="3"/>
  <c r="P20" i="3"/>
  <c r="U65" i="3"/>
  <c r="Q21" i="3"/>
  <c r="O41" i="3"/>
  <c r="O56" i="3"/>
  <c r="T64" i="3"/>
  <c r="R65" i="3"/>
  <c r="P66" i="3"/>
  <c r="N56" i="3"/>
  <c r="O66" i="3"/>
  <c r="P65" i="3"/>
  <c r="O22" i="3"/>
  <c r="O21" i="3"/>
  <c r="N55" i="3"/>
  <c r="R63" i="3"/>
  <c r="O19" i="3"/>
  <c r="N20" i="3"/>
  <c r="O31" i="3"/>
  <c r="O28" i="3"/>
  <c r="O30" i="3"/>
  <c r="N29" i="3"/>
  <c r="U64" i="3"/>
  <c r="Q20" i="3"/>
  <c r="O40" i="3"/>
  <c r="O55" i="3"/>
  <c r="S63" i="3"/>
  <c r="Q64" i="3"/>
  <c r="O65" i="3"/>
  <c r="N39" i="3"/>
  <c r="Q65" i="3"/>
  <c r="T66" i="3"/>
  <c r="Q66" i="3"/>
  <c r="N22" i="3"/>
  <c r="N21" i="3"/>
  <c r="N53" i="3"/>
  <c r="T65" i="3"/>
  <c r="O20" i="3"/>
  <c r="Q63" i="3"/>
  <c r="O52" i="3"/>
  <c r="N19" i="3"/>
  <c r="U63" i="3"/>
  <c r="Q19" i="3"/>
  <c r="O39" i="3"/>
  <c r="O54" i="3"/>
  <c r="P63" i="3"/>
  <c r="N64" i="3"/>
  <c r="N41" i="3"/>
  <c r="O63" i="3"/>
  <c r="R64" i="3"/>
  <c r="O42" i="3"/>
  <c r="N52" i="3"/>
  <c r="N40" i="3"/>
  <c r="P64" i="3"/>
  <c r="N37" i="3"/>
  <c r="N65" i="3"/>
  <c r="P19" i="3"/>
  <c r="N28" i="3"/>
  <c r="N31" i="3"/>
  <c r="N30" i="3"/>
  <c r="O29" i="3"/>
</calcChain>
</file>

<file path=xl/sharedStrings.xml><?xml version="1.0" encoding="utf-8"?>
<sst xmlns="http://schemas.openxmlformats.org/spreadsheetml/2006/main" count="2350" uniqueCount="438">
  <si>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</si>
  <si>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</si>
  <si>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</si>
  <si>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</si>
  <si>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</si>
  <si>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</si>
  <si>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</si>
  <si>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</si>
  <si>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</si>
  <si>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</si>
  <si>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</si>
  <si>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</si>
  <si>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</si>
  <si>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</si>
  <si>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</si>
  <si>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</si>
  <si>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</si>
  <si>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</si>
  <si>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</si>
  <si>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</si>
  <si>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</si>
  <si>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</si>
  <si>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</si>
  <si>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</si>
  <si>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</si>
  <si>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</si>
  <si>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</si>
  <si>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</si>
  <si>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</si>
  <si>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</si>
  <si>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</si>
  <si>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</si>
  <si>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</si>
  <si>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</si>
  <si>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</si>
  <si>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</si>
  <si>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</si>
  <si>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</si>
  <si>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</si>
  <si>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</si>
  <si>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</si>
  <si>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</si>
  <si>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</si>
  <si>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</si>
  <si>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</si>
  <si>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</si>
  <si>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</si>
  <si>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</si>
  <si>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</si>
  <si>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</si>
  <si>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</si>
  <si>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</si>
  <si>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</si>
  <si>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</si>
  <si>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</si>
  <si>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</si>
  <si>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</si>
  <si>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</si>
  <si>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</si>
  <si>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</si>
  <si>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</si>
  <si>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</si>
  <si>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</si>
  <si>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</si>
  <si>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</si>
  <si>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</si>
  <si>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</si>
  <si>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</si>
  <si>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</si>
  <si>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</si>
  <si>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</si>
  <si>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</si>
  <si>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</si>
  <si>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</si>
  <si>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</si>
  <si>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</si>
  <si>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</si>
  <si>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</si>
  <si>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</si>
  <si>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</si>
  <si>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</si>
  <si>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</si>
  <si>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</si>
  <si>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</si>
  <si>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</si>
  <si>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</si>
  <si>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</si>
  <si>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</si>
  <si>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</si>
  <si>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</si>
  <si>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</si>
  <si>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</si>
  <si>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</si>
  <si>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</si>
  <si>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</si>
  <si>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</si>
  <si>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</si>
  <si>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</si>
  <si>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</si>
  <si>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</si>
  <si>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</si>
  <si>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</si>
  <si>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</si>
  <si>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</si>
  <si>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</si>
  <si>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</si>
  <si>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</si>
  <si>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</si>
  <si>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</si>
  <si>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</si>
  <si>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</si>
  <si>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</si>
  <si>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</si>
  <si>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</si>
  <si>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</si>
  <si>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</si>
  <si>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</si>
  <si>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</si>
  <si>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</si>
  <si>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</si>
  <si>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</si>
  <si>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</si>
  <si>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</si>
  <si>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</si>
  <si>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</si>
  <si>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</si>
  <si>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</si>
  <si>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</si>
  <si>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</si>
  <si>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</si>
  <si>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</si>
  <si>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</si>
  <si>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</si>
  <si>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</si>
  <si>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</si>
  <si>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</si>
  <si>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</si>
  <si>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</si>
  <si>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</si>
  <si>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</si>
  <si>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</si>
  <si>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</si>
  <si>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</si>
  <si>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</si>
  <si>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</si>
  <si>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</si>
  <si>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</si>
  <si>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</si>
  <si>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</si>
  <si>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</si>
  <si>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</si>
  <si>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</si>
  <si>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</si>
  <si>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</si>
  <si>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</si>
  <si>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</si>
  <si>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</si>
  <si>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</si>
  <si>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</si>
  <si>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</si>
  <si>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</si>
  <si>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</si>
  <si>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</si>
  <si>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</si>
  <si>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</si>
  <si>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</si>
  <si>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</si>
  <si>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</si>
  <si>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</si>
  <si>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</si>
  <si>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</si>
  <si>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</si>
  <si>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</si>
  <si>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</si>
  <si>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</si>
  <si>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</si>
  <si>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</si>
  <si>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</si>
  <si>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</si>
  <si>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</si>
  <si>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</si>
  <si>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</si>
  <si>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</si>
  <si>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</si>
  <si>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</si>
  <si>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</si>
  <si>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</si>
  <si>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</si>
  <si>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</si>
  <si>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</si>
  <si>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</si>
  <si>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</si>
  <si>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</si>
  <si>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</si>
  <si>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</si>
  <si>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</si>
  <si>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</si>
  <si>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</si>
  <si>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</si>
  <si>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</si>
  <si>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</si>
  <si>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</si>
  <si>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</si>
  <si>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</si>
  <si>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</si>
  <si>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</si>
  <si>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</si>
  <si>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</si>
  <si>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</si>
  <si>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</si>
  <si>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</si>
  <si>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</si>
  <si>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</si>
  <si>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</si>
  <si>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</si>
  <si>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</si>
  <si>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</si>
  <si>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</si>
  <si>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</si>
  <si>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</si>
  <si>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</si>
  <si>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</si>
  <si>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</si>
  <si>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</si>
  <si>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</si>
  <si>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</si>
  <si>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</si>
  <si>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</si>
  <si>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</si>
  <si>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</si>
  <si>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</si>
  <si>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</si>
  <si>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</si>
  <si>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</si>
  <si>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</si>
  <si>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</si>
  <si>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</si>
  <si>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</si>
  <si>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</si>
  <si>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</si>
  <si>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</si>
  <si>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</si>
  <si>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</si>
  <si>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</si>
  <si>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</si>
  <si>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</si>
  <si>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</si>
  <si>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</si>
  <si>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</si>
  <si>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</si>
  <si>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</si>
  <si>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</si>
  <si>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</si>
  <si>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</si>
  <si>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</si>
  <si>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</si>
  <si>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</si>
  <si>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</si>
  <si>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</si>
  <si>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</si>
  <si>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</si>
  <si>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</si>
  <si>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</si>
  <si>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</si>
  <si>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</si>
  <si>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</si>
  <si>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</si>
  <si>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</si>
  <si>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</si>
  <si>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</si>
  <si>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</si>
  <si>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</si>
  <si>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</si>
  <si>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</si>
  <si>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</si>
  <si>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</si>
  <si>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</si>
  <si>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</si>
  <si>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</si>
  <si>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</si>
  <si>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</si>
  <si>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</si>
  <si>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</si>
  <si>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</si>
  <si>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</si>
  <si>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</si>
  <si>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</si>
  <si>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</si>
  <si>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</si>
  <si>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</si>
  <si>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</si>
  <si>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</si>
  <si>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</si>
  <si>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</si>
  <si>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</si>
  <si>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</si>
  <si>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</si>
  <si>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</si>
  <si>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</si>
  <si>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</si>
  <si>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</si>
  <si>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</si>
  <si>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</si>
  <si>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</si>
  <si>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</si>
  <si>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</si>
  <si>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</si>
  <si>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</si>
  <si>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#393939</t>
  </si>
  <si>
    <t>#E8E6E9</t>
  </si>
  <si>
    <t>SETOR / ÁREA</t>
  </si>
  <si>
    <t>DIREÇÃO</t>
  </si>
  <si>
    <t>CÓDIGO DE ACESSO</t>
  </si>
  <si>
    <t>DIR01</t>
  </si>
  <si>
    <t>DIR02</t>
  </si>
  <si>
    <t>VEND_SUPER</t>
  </si>
  <si>
    <t>VEND_REPRE</t>
  </si>
  <si>
    <t>DAD_SUPER</t>
  </si>
  <si>
    <t>DAD_ANALIS</t>
  </si>
  <si>
    <t>EQUIPE_DE_VENDAS</t>
  </si>
  <si>
    <t>ANALISE_DE_DADOS</t>
  </si>
  <si>
    <t>#22C55E</t>
  </si>
  <si>
    <t>Fontes</t>
  </si>
  <si>
    <t>Segoe UI</t>
  </si>
  <si>
    <t>Título principal</t>
  </si>
  <si>
    <t>#9BC848</t>
  </si>
  <si>
    <t>#2AE6B1</t>
  </si>
  <si>
    <t>#5BF6A8</t>
  </si>
  <si>
    <t>&lt;&lt;&lt;&lt;</t>
  </si>
  <si>
    <t>DEFINA QUAL O SEU SETOR / ÁREA</t>
  </si>
  <si>
    <t>AGORA DIGITE O CÓDIGO INDIVIDUAL</t>
  </si>
  <si>
    <t>Título secundário</t>
  </si>
  <si>
    <t>Textos</t>
  </si>
  <si>
    <t>Negrito</t>
  </si>
  <si>
    <t>Total Geral</t>
  </si>
  <si>
    <t>Quantidade</t>
  </si>
  <si>
    <t>Tipos de Planos</t>
  </si>
  <si>
    <t/>
  </si>
  <si>
    <t>Planos</t>
  </si>
  <si>
    <t>Preço Total Minecraft Season Pass</t>
  </si>
  <si>
    <t>Percentual</t>
  </si>
  <si>
    <t>Intervalos nomeados para validação de dado em Gash_Home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</si>
  <si>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</si>
  <si>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</si>
  <si>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</si>
  <si>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</si>
  <si>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</si>
  <si>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</si>
  <si>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</si>
  <si>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</si>
  <si>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</si>
  <si>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</si>
  <si>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</si>
  <si>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</si>
  <si>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Datas de Inscrição</t>
  </si>
  <si>
    <t>Filtro dos Planos</t>
  </si>
  <si>
    <t>Relação de planos com auto renovação</t>
  </si>
  <si>
    <t>Total EA Play Season Pass</t>
  </si>
  <si>
    <t>Total Desconto</t>
  </si>
  <si>
    <t>Total dos Planos</t>
  </si>
  <si>
    <t>Inscrição</t>
  </si>
  <si>
    <t>Total (3 planos)</t>
  </si>
  <si>
    <t>Total Subscription Price</t>
  </si>
  <si>
    <t>Total Minecraft Season Pass Price</t>
  </si>
  <si>
    <t>Total  Coupon Value</t>
  </si>
  <si>
    <t>Total Final Value</t>
  </si>
  <si>
    <t>Relação dos meses/ dias e valores gerados com as incrições</t>
  </si>
  <si>
    <t>Relação dos meses/ dias e suas inscrições</t>
  </si>
  <si>
    <t>Bem-vindo, diretor!</t>
  </si>
  <si>
    <t>INSIGHTS DIRETOR</t>
  </si>
  <si>
    <t>INSIGHTS VENDAS</t>
  </si>
  <si>
    <t>Total Quantidade</t>
  </si>
  <si>
    <t>Total Valor</t>
  </si>
  <si>
    <t>Valor</t>
  </si>
  <si>
    <t>Total</t>
  </si>
  <si>
    <t xml:space="preserve"> </t>
  </si>
  <si>
    <t>Não assinantes Minecraft</t>
  </si>
  <si>
    <t>(Tudo)</t>
  </si>
  <si>
    <t>São assinantes</t>
  </si>
  <si>
    <t>Quantidade Minecraft Season Pass</t>
  </si>
  <si>
    <t>Valor Minecraft Season Pass</t>
  </si>
  <si>
    <t>Meses</t>
  </si>
  <si>
    <t>Não assinante EA Play</t>
  </si>
  <si>
    <t>Assinante EA Play</t>
  </si>
  <si>
    <t>Quantidade EA Play Season Pass</t>
  </si>
  <si>
    <t>Valor EA Play Season Pass</t>
  </si>
  <si>
    <t>Quantidade Subscriber ID</t>
  </si>
  <si>
    <t>Valor Coupon Value</t>
  </si>
  <si>
    <t>XBOX Pass assinaturas</t>
  </si>
  <si>
    <t>Total de assinaturas</t>
  </si>
  <si>
    <t>Valor Subscription</t>
  </si>
  <si>
    <t>ASSINATURA E VALOR TOTAL E DESCONTO</t>
  </si>
  <si>
    <t>XBOX Pass quantidades e valores</t>
  </si>
  <si>
    <t>EA Play Season Pass quantidades e valores</t>
  </si>
  <si>
    <t>XBOX PASS ASSINATURAS</t>
  </si>
  <si>
    <t>EA PLAY SEASON PASS QUANTIDADES E VALORES</t>
  </si>
  <si>
    <t>MANICRAFT SEASON PASS QUANTIDADES E VALORES</t>
  </si>
  <si>
    <t>Cálculo Dash_Diretor</t>
  </si>
  <si>
    <t>c</t>
  </si>
  <si>
    <t>Outubro foi o mês mais lucrativo com 31 assinaturas sendo 11 modalidade Ultimate. 832 reais.</t>
  </si>
  <si>
    <t>DESCRITIVOS DOS PREÇOS TOTAIS EM REAIS PARA ASSINATURA, EA PLAY SEASON, MINECRAFT SEASON, CUPOM DE DESCONTO E PERCENTUAL DOS PLANOS</t>
  </si>
  <si>
    <t>Calculo Dash_Diretor2</t>
  </si>
  <si>
    <t>Soma de Total Value</t>
  </si>
  <si>
    <t>Subscription stacking</t>
  </si>
  <si>
    <t>Soma de Subscription stacking</t>
  </si>
  <si>
    <t>Total Subscription stacking</t>
  </si>
  <si>
    <t>Soma Subscription stacking</t>
  </si>
  <si>
    <t>VALOR E INSCRIÇÃO TOTAIS</t>
  </si>
  <si>
    <t>e sua equipe de vendas!</t>
  </si>
  <si>
    <t>Bem-vinda, supervisora</t>
  </si>
  <si>
    <t>Calculo Dash_Vendas</t>
  </si>
  <si>
    <t>RELAÇÃO TIPOS DE INSCRIÇAO X TIPOS DE PLANOS</t>
  </si>
  <si>
    <t>ASSINATURA, EA PLAY SEASON, MINECRAFT SEASON, CUPOM DE DESCONTO E PERCENTUAL DOS PLANOS</t>
  </si>
  <si>
    <t>Contagem de Subscription stacking</t>
  </si>
  <si>
    <t>Minecraft Não</t>
  </si>
  <si>
    <t>Contagem de Subscriber ID</t>
  </si>
  <si>
    <t>ASSINATURA  MANICRAFT SEASON PASS</t>
  </si>
  <si>
    <t>Não Assinante</t>
  </si>
  <si>
    <t>Assinante</t>
  </si>
  <si>
    <t>ASSINATURA  EA PLAY SEASON PASS</t>
  </si>
  <si>
    <t>ASSINATURA XBOX PASS</t>
  </si>
  <si>
    <t>Não Assinantes</t>
  </si>
  <si>
    <t>Assinantes</t>
  </si>
  <si>
    <t>TICKET MÉDIO ASSINATURAS</t>
  </si>
  <si>
    <t>Média de Subscription Price</t>
  </si>
  <si>
    <t>Média de EA Play Season Pass</t>
  </si>
  <si>
    <t>Média de Minecraft Season Pass Price</t>
  </si>
  <si>
    <t>Assinatura Total</t>
  </si>
  <si>
    <t>ASSINATURA EA PLAY SEASON PASS</t>
  </si>
  <si>
    <t>TICKET MEDIO XBOX PASS</t>
  </si>
  <si>
    <t>TICKET MÉDIO EA PLAY SEASON PASS</t>
  </si>
  <si>
    <t>TICKET MEDIO MINECRAFT</t>
  </si>
  <si>
    <t>FATURAMENTO AO LONGO DOS MESES</t>
  </si>
  <si>
    <t>Manicraft Sim</t>
  </si>
  <si>
    <t>Mês com maior Faturamento</t>
  </si>
  <si>
    <t>Mês com menor Faturamento</t>
  </si>
  <si>
    <t>O plano Ultimate representa 33,2% do total das assinaturas e 70,6% do faturamento total.</t>
  </si>
  <si>
    <t>Msophia@02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</si>
</sst>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"/>
  </numFmts>
  <fonts count="3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  <font>
      <b/>
      <sz val="14"/>
      <color theme="0"/>
      <name val="Segoe UI"/>
      <family val="2"/>
    </font>
    <font>
      <b/>
      <sz val="12"/>
      <color rgb="FF22C55E"/>
      <name val="Segoe UI"/>
      <family val="2"/>
    </font>
    <font>
      <b/>
      <sz val="11"/>
      <color theme="0"/>
      <name val="Aptos Narrow"/>
      <scheme val="minor"/>
    </font>
    <font>
      <b/>
      <sz val="11"/>
      <color rgb="FF393939"/>
      <name val="Segoe UI"/>
      <family val="2"/>
    </font>
    <font>
      <b/>
      <sz val="11"/>
      <color theme="5" tint="0.79998168889431442"/>
      <name val="Segoe UI"/>
      <family val="2"/>
    </font>
    <font>
      <sz val="11"/>
      <color rgb="FF393939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2"/>
      <color rgb="FF393939"/>
      <name val="Segoe UI"/>
      <family val="2"/>
    </font>
    <font>
      <u/>
      <sz val="11"/>
      <color theme="0"/>
      <name val="Aptos Narrow"/>
      <family val="2"/>
      <scheme val="minor"/>
    </font>
    <font>
      <b/>
      <sz val="11"/>
      <color theme="0"/>
      <name val="Segoe UI"/>
      <family val="2"/>
    </font>
    <font>
      <b/>
      <sz val="16"/>
      <color theme="1"/>
      <name val="Segoe UI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b/>
      <sz val="14"/>
      <color theme="1"/>
      <name val="Segoe UI"/>
      <family val="2"/>
    </font>
    <font>
      <b/>
      <sz val="11"/>
      <name val="Segoe UI"/>
      <family val="2"/>
    </font>
    <font>
      <b/>
      <sz val="12"/>
      <color theme="0"/>
      <name val="Segoe U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Segoe UI"/>
      <family val="2"/>
    </font>
    <font>
      <b/>
      <sz val="12"/>
      <name val="Segoe UI"/>
      <family val="2"/>
    </font>
    <font>
      <b/>
      <sz val="12"/>
      <color theme="1"/>
      <name val="Aptos Narrow"/>
      <scheme val="minor"/>
    </font>
    <font>
      <b/>
      <sz val="10.5"/>
      <color theme="0"/>
      <name val="Segoe UI"/>
      <family val="2"/>
    </font>
    <font>
      <b/>
      <sz val="14"/>
      <color rgb="FF393939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39393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auto="1"/>
      </right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ouble">
        <color auto="1"/>
      </right>
      <top/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double">
        <color auto="1"/>
      </right>
      <top/>
      <bottom style="thin">
        <color theme="0"/>
      </bottom>
      <diagonal/>
    </border>
    <border>
      <left style="double">
        <color auto="1"/>
      </left>
      <right style="double">
        <color auto="1"/>
      </right>
      <top style="thin">
        <color theme="0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/>
      <right/>
      <top style="double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double">
        <color auto="1"/>
      </right>
      <top style="thin">
        <color theme="0"/>
      </top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9" borderId="0" xfId="3" applyFill="1"/>
    <xf numFmtId="0" fontId="0" fillId="7" borderId="0" xfId="0" applyFill="1" applyAlignment="1"/>
    <xf numFmtId="0" fontId="0" fillId="0" borderId="0" xfId="0" applyAlignment="1">
      <alignment horizontal="center"/>
    </xf>
    <xf numFmtId="0" fontId="5" fillId="0" borderId="0" xfId="0" applyFont="1"/>
    <xf numFmtId="0" fontId="2" fillId="7" borderId="0" xfId="3" applyFont="1" applyFill="1" applyAlignment="1"/>
    <xf numFmtId="0" fontId="6" fillId="9" borderId="0" xfId="0" applyFont="1" applyFill="1" applyAlignment="1">
      <alignment vertical="center"/>
    </xf>
    <xf numFmtId="0" fontId="5" fillId="7" borderId="0" xfId="3" applyFont="1" applyFill="1" applyAlignment="1">
      <alignment horizontal="left"/>
    </xf>
    <xf numFmtId="0" fontId="10" fillId="9" borderId="0" xfId="0" applyFont="1" applyFill="1" applyAlignment="1">
      <alignment vertical="center"/>
    </xf>
    <xf numFmtId="0" fontId="10" fillId="9" borderId="0" xfId="0" applyFont="1" applyFill="1"/>
    <xf numFmtId="0" fontId="11" fillId="9" borderId="0" xfId="0" applyFont="1" applyFill="1"/>
    <xf numFmtId="0" fontId="12" fillId="9" borderId="0" xfId="0" applyFont="1" applyFill="1" applyAlignment="1">
      <alignment vertical="center"/>
    </xf>
    <xf numFmtId="0" fontId="12" fillId="9" borderId="0" xfId="0" applyFont="1" applyFill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Border="1" applyAlignment="1">
      <alignment horizontal="left"/>
    </xf>
    <xf numFmtId="0" fontId="0" fillId="6" borderId="0" xfId="0" applyFill="1" applyBorder="1"/>
    <xf numFmtId="0" fontId="0" fillId="6" borderId="13" xfId="0" applyFill="1" applyBorder="1"/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16" xfId="0" applyNumberFormat="1" applyFill="1" applyBorder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0" fontId="0" fillId="6" borderId="14" xfId="0" applyFill="1" applyBorder="1"/>
    <xf numFmtId="0" fontId="0" fillId="6" borderId="11" xfId="0" applyFill="1" applyBorder="1"/>
    <xf numFmtId="0" fontId="0" fillId="6" borderId="17" xfId="0" applyNumberForma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164" fontId="0" fillId="10" borderId="0" xfId="0" applyNumberForma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horizontal="center" vertical="center"/>
    </xf>
    <xf numFmtId="164" fontId="0" fillId="6" borderId="17" xfId="0" applyNumberForma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10" borderId="27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164" fontId="0" fillId="10" borderId="18" xfId="0" applyNumberFormat="1" applyFill="1" applyBorder="1" applyAlignment="1">
      <alignment horizontal="center" vertical="center"/>
    </xf>
    <xf numFmtId="164" fontId="0" fillId="10" borderId="19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 vertical="center"/>
    </xf>
    <xf numFmtId="164" fontId="0" fillId="10" borderId="23" xfId="0" applyNumberFormat="1" applyFill="1" applyBorder="1" applyAlignment="1">
      <alignment horizontal="center" vertical="center"/>
    </xf>
    <xf numFmtId="0" fontId="19" fillId="9" borderId="0" xfId="3" applyFont="1" applyFill="1"/>
    <xf numFmtId="0" fontId="13" fillId="9" borderId="0" xfId="0" applyFont="1" applyFill="1"/>
    <xf numFmtId="0" fontId="7" fillId="9" borderId="0" xfId="0" applyFont="1" applyFill="1" applyAlignment="1" applyProtection="1">
      <alignment vertical="center"/>
      <protection locked="0"/>
    </xf>
    <xf numFmtId="0" fontId="9" fillId="9" borderId="0" xfId="0" applyFont="1" applyFill="1" applyAlignment="1" applyProtection="1">
      <alignment vertical="center" wrapText="1"/>
      <protection locked="0"/>
    </xf>
    <xf numFmtId="0" fontId="8" fillId="9" borderId="0" xfId="0" applyFont="1" applyFill="1" applyAlignment="1">
      <alignment vertical="center"/>
    </xf>
    <xf numFmtId="0" fontId="5" fillId="9" borderId="0" xfId="0" applyFont="1" applyFill="1" applyAlignment="1" applyProtection="1">
      <alignment vertical="center"/>
      <protection locked="0"/>
    </xf>
    <xf numFmtId="0" fontId="0" fillId="9" borderId="0" xfId="0" applyFill="1" applyAlignment="1"/>
    <xf numFmtId="0" fontId="8" fillId="9" borderId="0" xfId="0" applyFont="1" applyFill="1" applyAlignment="1"/>
    <xf numFmtId="0" fontId="5" fillId="9" borderId="0" xfId="3" applyFont="1" applyFill="1" applyAlignment="1" applyProtection="1">
      <alignment vertical="center"/>
      <protection locked="0"/>
    </xf>
    <xf numFmtId="0" fontId="2" fillId="9" borderId="0" xfId="3" applyFont="1" applyFill="1" applyAlignment="1"/>
    <xf numFmtId="0" fontId="5" fillId="9" borderId="0" xfId="3" applyFont="1" applyFill="1" applyAlignment="1">
      <alignment horizontal="left"/>
    </xf>
    <xf numFmtId="0" fontId="20" fillId="9" borderId="0" xfId="0" applyFont="1" applyFill="1"/>
    <xf numFmtId="0" fontId="20" fillId="9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Border="1"/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0" fillId="10" borderId="31" xfId="0" applyFill="1" applyBorder="1"/>
    <xf numFmtId="0" fontId="0" fillId="10" borderId="0" xfId="0" applyFill="1"/>
    <xf numFmtId="0" fontId="0" fillId="10" borderId="32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6" xfId="0" applyBorder="1"/>
    <xf numFmtId="0" fontId="0" fillId="0" borderId="34" xfId="0" applyBorder="1"/>
    <xf numFmtId="164" fontId="0" fillId="0" borderId="0" xfId="0" applyNumberFormat="1" applyBorder="1"/>
    <xf numFmtId="164" fontId="0" fillId="0" borderId="36" xfId="0" applyNumberFormat="1" applyBorder="1"/>
    <xf numFmtId="0" fontId="16" fillId="10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64" fontId="0" fillId="0" borderId="32" xfId="0" applyNumberFormat="1" applyBorder="1"/>
    <xf numFmtId="164" fontId="0" fillId="0" borderId="34" xfId="0" applyNumberFormat="1" applyBorder="1"/>
    <xf numFmtId="0" fontId="0" fillId="0" borderId="0" xfId="0" applyAlignment="1">
      <alignment horizontal="center"/>
    </xf>
    <xf numFmtId="0" fontId="22" fillId="9" borderId="0" xfId="0" applyFont="1" applyFill="1"/>
    <xf numFmtId="0" fontId="0" fillId="0" borderId="39" xfId="0" applyBorder="1" applyAlignment="1">
      <alignment horizontal="left"/>
    </xf>
    <xf numFmtId="0" fontId="0" fillId="0" borderId="1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6" borderId="15" xfId="0" applyNumberFormat="1" applyFill="1" applyBorder="1" applyAlignment="1">
      <alignment horizontal="center" vertical="center"/>
    </xf>
    <xf numFmtId="0" fontId="0" fillId="6" borderId="37" xfId="0" applyFill="1" applyBorder="1" applyAlignment="1">
      <alignment horizontal="left"/>
    </xf>
    <xf numFmtId="0" fontId="0" fillId="6" borderId="41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18" fillId="10" borderId="0" xfId="0" applyFont="1" applyFill="1" applyBorder="1" applyAlignment="1"/>
    <xf numFmtId="0" fontId="0" fillId="0" borderId="29" xfId="0" applyBorder="1"/>
    <xf numFmtId="0" fontId="0" fillId="0" borderId="30" xfId="0" applyBorder="1"/>
    <xf numFmtId="0" fontId="0" fillId="0" borderId="36" xfId="0" applyBorder="1" applyAlignment="1">
      <alignment horizontal="right" vertical="center"/>
    </xf>
    <xf numFmtId="164" fontId="0" fillId="0" borderId="36" xfId="0" applyNumberFormat="1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18" fillId="10" borderId="31" xfId="0" applyFont="1" applyFill="1" applyBorder="1" applyAlignment="1"/>
    <xf numFmtId="0" fontId="18" fillId="10" borderId="32" xfId="0" applyFont="1" applyFill="1" applyBorder="1" applyAlignment="1"/>
    <xf numFmtId="0" fontId="0" fillId="0" borderId="0" xfId="0" pivotButton="1"/>
    <xf numFmtId="0" fontId="0" fillId="0" borderId="0" xfId="0" applyNumberFormat="1"/>
    <xf numFmtId="0" fontId="0" fillId="6" borderId="0" xfId="0" applyFill="1" applyAlignment="1">
      <alignment horizontal="left"/>
    </xf>
    <xf numFmtId="0" fontId="0" fillId="6" borderId="0" xfId="0" applyNumberFormat="1" applyFill="1"/>
    <xf numFmtId="164" fontId="0" fillId="6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25" fillId="10" borderId="0" xfId="0" applyFont="1" applyFill="1" applyAlignment="1"/>
    <xf numFmtId="164" fontId="0" fillId="10" borderId="11" xfId="0" applyNumberFormat="1" applyFill="1" applyBorder="1" applyAlignment="1">
      <alignment horizontal="center" vertical="center"/>
    </xf>
    <xf numFmtId="0" fontId="0" fillId="10" borderId="13" xfId="0" applyNumberFormat="1" applyFill="1" applyBorder="1" applyAlignment="1">
      <alignment horizontal="center" vertical="center"/>
    </xf>
    <xf numFmtId="0" fontId="0" fillId="6" borderId="37" xfId="0" applyFill="1" applyBorder="1" applyAlignment="1">
      <alignment horizontal="center"/>
    </xf>
    <xf numFmtId="0" fontId="0" fillId="10" borderId="45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left"/>
    </xf>
    <xf numFmtId="0" fontId="0" fillId="10" borderId="28" xfId="0" applyNumberFormat="1" applyFill="1" applyBorder="1" applyAlignment="1">
      <alignment horizontal="center" vertical="center"/>
    </xf>
    <xf numFmtId="164" fontId="0" fillId="10" borderId="21" xfId="0" applyNumberFormat="1" applyFill="1" applyBorder="1" applyAlignment="1">
      <alignment horizontal="center" vertical="center"/>
    </xf>
    <xf numFmtId="164" fontId="0" fillId="10" borderId="46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5" xfId="0" applyBorder="1" applyAlignment="1">
      <alignment horizontal="left"/>
    </xf>
    <xf numFmtId="0" fontId="24" fillId="6" borderId="0" xfId="0" applyFont="1" applyFill="1" applyBorder="1" applyAlignment="1">
      <alignment horizontal="center" vertical="center"/>
    </xf>
    <xf numFmtId="0" fontId="23" fillId="10" borderId="0" xfId="0" applyNumberFormat="1" applyFont="1" applyFill="1" applyBorder="1" applyAlignment="1">
      <alignment horizontal="center"/>
    </xf>
    <xf numFmtId="164" fontId="23" fillId="10" borderId="0" xfId="0" applyNumberFormat="1" applyFont="1" applyFill="1" applyBorder="1" applyAlignment="1">
      <alignment horizontal="center"/>
    </xf>
    <xf numFmtId="0" fontId="24" fillId="6" borderId="0" xfId="0" applyFont="1" applyFill="1" applyBorder="1" applyAlignment="1">
      <alignment vertical="center"/>
    </xf>
    <xf numFmtId="0" fontId="23" fillId="10" borderId="0" xfId="0" applyFont="1" applyFill="1" applyBorder="1" applyAlignment="1">
      <alignment horizontal="left"/>
    </xf>
    <xf numFmtId="0" fontId="23" fillId="6" borderId="0" xfId="0" applyFont="1" applyFill="1" applyBorder="1" applyAlignment="1">
      <alignment horizontal="left"/>
    </xf>
    <xf numFmtId="0" fontId="23" fillId="6" borderId="0" xfId="0" applyNumberFormat="1" applyFont="1" applyFill="1" applyBorder="1" applyAlignment="1">
      <alignment horizontal="center"/>
    </xf>
    <xf numFmtId="164" fontId="23" fillId="6" borderId="0" xfId="0" applyNumberFormat="1" applyFont="1" applyFill="1" applyBorder="1" applyAlignment="1">
      <alignment horizontal="center"/>
    </xf>
    <xf numFmtId="0" fontId="0" fillId="0" borderId="0" xfId="0" pivotButton="1" applyBorder="1"/>
    <xf numFmtId="0" fontId="0" fillId="9" borderId="0" xfId="0" applyFill="1" applyBorder="1"/>
    <xf numFmtId="0" fontId="26" fillId="4" borderId="0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0" fillId="10" borderId="0" xfId="0" applyFill="1" applyBorder="1" applyAlignment="1">
      <alignment horizontal="left"/>
    </xf>
    <xf numFmtId="0" fontId="21" fillId="0" borderId="0" xfId="0" applyFont="1" applyAlignment="1"/>
    <xf numFmtId="0" fontId="0" fillId="0" borderId="0" xfId="0" applyAlignment="1"/>
    <xf numFmtId="10" fontId="0" fillId="0" borderId="0" xfId="0" applyNumberFormat="1" applyBorder="1"/>
    <xf numFmtId="0" fontId="30" fillId="10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18" fillId="1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/>
    <xf numFmtId="0" fontId="0" fillId="6" borderId="37" xfId="0" applyFill="1" applyBorder="1"/>
    <xf numFmtId="0" fontId="0" fillId="0" borderId="0" xfId="2" applyNumberFormat="1" applyFont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11" xfId="0" applyNumberFormat="1" applyBorder="1" applyAlignment="1">
      <alignment horizontal="center" vertical="center"/>
    </xf>
    <xf numFmtId="0" fontId="0" fillId="6" borderId="41" xfId="0" applyFill="1" applyBorder="1"/>
    <xf numFmtId="0" fontId="0" fillId="6" borderId="43" xfId="0" applyFill="1" applyBorder="1"/>
    <xf numFmtId="0" fontId="0" fillId="6" borderId="42" xfId="0" applyFill="1" applyBorder="1"/>
    <xf numFmtId="0" fontId="0" fillId="0" borderId="50" xfId="0" applyNumberFormat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0" fillId="10" borderId="46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10" borderId="22" xfId="0" applyNumberFormat="1" applyFill="1" applyBorder="1" applyAlignment="1">
      <alignment horizontal="center" vertical="center"/>
    </xf>
    <xf numFmtId="0" fontId="0" fillId="10" borderId="23" xfId="0" applyNumberForma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25" fillId="10" borderId="0" xfId="0" applyFont="1" applyFill="1" applyBorder="1" applyAlignment="1"/>
    <xf numFmtId="1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0" fontId="0" fillId="6" borderId="0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4" xfId="0" applyNumberFormat="1" applyBorder="1"/>
    <xf numFmtId="0" fontId="0" fillId="0" borderId="13" xfId="0" applyBorder="1" applyAlignment="1">
      <alignment horizontal="left"/>
    </xf>
    <xf numFmtId="0" fontId="5" fillId="9" borderId="0" xfId="0" applyFont="1" applyFill="1" applyAlignment="1" applyProtection="1">
      <alignment vertical="center"/>
    </xf>
    <xf numFmtId="0" fontId="32" fillId="4" borderId="0" xfId="0" applyFont="1" applyFill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10" borderId="0" xfId="0" applyNumberFormat="1" applyFill="1" applyBorder="1" applyAlignment="1">
      <alignment horizontal="center"/>
    </xf>
    <xf numFmtId="0" fontId="33" fillId="10" borderId="0" xfId="0" applyFont="1" applyFill="1" applyBorder="1" applyAlignment="1">
      <alignment horizontal="center"/>
    </xf>
    <xf numFmtId="0" fontId="25" fillId="10" borderId="0" xfId="0" applyFont="1" applyFill="1" applyBorder="1" applyAlignment="1">
      <alignment horizontal="center"/>
    </xf>
    <xf numFmtId="0" fontId="0" fillId="1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pivotButton="1" applyBorder="1"/>
    <xf numFmtId="0" fontId="0" fillId="0" borderId="11" xfId="0" applyBorder="1"/>
    <xf numFmtId="0" fontId="0" fillId="6" borderId="10" xfId="0" applyFill="1" applyBorder="1"/>
    <xf numFmtId="0" fontId="0" fillId="4" borderId="11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/>
    <xf numFmtId="0" fontId="0" fillId="6" borderId="30" xfId="0" applyFill="1" applyBorder="1"/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164" fontId="0" fillId="0" borderId="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vertical="center"/>
    </xf>
    <xf numFmtId="164" fontId="0" fillId="0" borderId="32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31" fillId="0" borderId="31" xfId="0" applyFont="1" applyBorder="1"/>
    <xf numFmtId="0" fontId="31" fillId="0" borderId="0" xfId="0" applyFont="1" applyBorder="1" applyAlignment="1">
      <alignment horizontal="center"/>
    </xf>
    <xf numFmtId="164" fontId="31" fillId="0" borderId="32" xfId="0" applyNumberFormat="1" applyFont="1" applyBorder="1" applyAlignment="1">
      <alignment horizontal="center"/>
    </xf>
    <xf numFmtId="0" fontId="0" fillId="0" borderId="32" xfId="0" applyFill="1" applyBorder="1"/>
    <xf numFmtId="0" fontId="0" fillId="0" borderId="32" xfId="0" applyBorder="1" applyAlignment="1">
      <alignment horizontal="right"/>
    </xf>
    <xf numFmtId="10" fontId="0" fillId="0" borderId="36" xfId="0" applyNumberFormat="1" applyBorder="1"/>
    <xf numFmtId="0" fontId="0" fillId="0" borderId="34" xfId="0" applyBorder="1" applyAlignment="1">
      <alignment horizontal="right"/>
    </xf>
    <xf numFmtId="0" fontId="0" fillId="10" borderId="0" xfId="0" applyNumberFormat="1" applyFill="1" applyBorder="1"/>
    <xf numFmtId="0" fontId="25" fillId="4" borderId="0" xfId="0" applyFont="1" applyFill="1" applyBorder="1" applyAlignment="1"/>
    <xf numFmtId="0" fontId="33" fillId="10" borderId="0" xfId="0" applyFont="1" applyFill="1" applyBorder="1" applyAlignment="1"/>
    <xf numFmtId="164" fontId="0" fillId="10" borderId="0" xfId="0" applyNumberFormat="1" applyFill="1" applyBorder="1"/>
    <xf numFmtId="164" fontId="0" fillId="0" borderId="31" xfId="0" applyNumberFormat="1" applyBorder="1"/>
    <xf numFmtId="0" fontId="0" fillId="0" borderId="0" xfId="0" applyBorder="1" applyAlignment="1">
      <alignment horizontal="center"/>
    </xf>
    <xf numFmtId="0" fontId="0" fillId="10" borderId="0" xfId="0" applyFill="1" applyBorder="1" applyAlignment="1"/>
    <xf numFmtId="0" fontId="0" fillId="10" borderId="0" xfId="0" applyFill="1" applyAlignment="1">
      <alignment horizontal="center" vertical="center"/>
    </xf>
    <xf numFmtId="0" fontId="25" fillId="4" borderId="10" xfId="0" applyFont="1" applyFill="1" applyBorder="1" applyAlignment="1"/>
    <xf numFmtId="0" fontId="25" fillId="4" borderId="11" xfId="0" applyFont="1" applyFill="1" applyBorder="1" applyAlignment="1"/>
    <xf numFmtId="2" fontId="0" fillId="0" borderId="0" xfId="0" applyNumberFormat="1" applyBorder="1"/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38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right"/>
    </xf>
    <xf numFmtId="0" fontId="0" fillId="4" borderId="37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7" xfId="0" applyFill="1" applyBorder="1" applyAlignment="1">
      <alignment horizontal="left"/>
    </xf>
    <xf numFmtId="164" fontId="0" fillId="4" borderId="4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4" borderId="31" xfId="0" applyFont="1" applyFill="1" applyBorder="1" applyAlignment="1">
      <alignment horizontal="center" vertical="center"/>
    </xf>
    <xf numFmtId="0" fontId="15" fillId="4" borderId="0" xfId="0" applyFont="1" applyFill="1" applyBorder="1"/>
    <xf numFmtId="164" fontId="0" fillId="0" borderId="31" xfId="0" applyNumberFormat="1" applyBorder="1" applyAlignment="1">
      <alignment horizontal="center" vertical="center"/>
    </xf>
    <xf numFmtId="164" fontId="3" fillId="4" borderId="33" xfId="0" applyNumberFormat="1" applyFont="1" applyFill="1" applyBorder="1" applyAlignment="1">
      <alignment horizontal="center" vertical="center"/>
    </xf>
    <xf numFmtId="0" fontId="15" fillId="4" borderId="3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4" applyNumberFormat="1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5" fillId="4" borderId="29" xfId="0" applyFont="1" applyFill="1" applyBorder="1" applyAlignment="1">
      <alignment horizontal="center"/>
    </xf>
    <xf numFmtId="0" fontId="25" fillId="4" borderId="30" xfId="0" applyFont="1" applyFill="1" applyBorder="1" applyAlignment="1">
      <alignment horizontal="center"/>
    </xf>
    <xf numFmtId="0" fontId="25" fillId="4" borderId="16" xfId="0" applyFont="1" applyFill="1" applyBorder="1" applyAlignment="1">
      <alignment horizontal="center"/>
    </xf>
    <xf numFmtId="0" fontId="25" fillId="10" borderId="0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9" fillId="6" borderId="29" xfId="0" applyFont="1" applyFill="1" applyBorder="1" applyAlignment="1">
      <alignment horizontal="center"/>
    </xf>
    <xf numFmtId="0" fontId="29" fillId="6" borderId="35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25" fillId="4" borderId="35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10" borderId="29" xfId="0" applyFont="1" applyFill="1" applyBorder="1" applyAlignment="1">
      <alignment horizontal="center"/>
    </xf>
    <xf numFmtId="0" fontId="18" fillId="10" borderId="35" xfId="0" applyFont="1" applyFill="1" applyBorder="1" applyAlignment="1">
      <alignment horizontal="center"/>
    </xf>
    <xf numFmtId="0" fontId="18" fillId="10" borderId="30" xfId="0" applyFont="1" applyFill="1" applyBorder="1" applyAlignment="1">
      <alignment horizontal="center"/>
    </xf>
    <xf numFmtId="0" fontId="33" fillId="10" borderId="0" xfId="0" applyFont="1" applyFill="1" applyBorder="1" applyAlignment="1">
      <alignment horizontal="center"/>
    </xf>
    <xf numFmtId="0" fontId="18" fillId="10" borderId="0" xfId="0" applyFont="1" applyFill="1" applyBorder="1" applyAlignment="1">
      <alignment horizontal="center"/>
    </xf>
    <xf numFmtId="0" fontId="18" fillId="6" borderId="10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33" fillId="4" borderId="29" xfId="0" applyFont="1" applyFill="1" applyBorder="1" applyAlignment="1">
      <alignment horizontal="center"/>
    </xf>
    <xf numFmtId="0" fontId="33" fillId="4" borderId="35" xfId="0" applyFont="1" applyFill="1" applyBorder="1" applyAlignment="1">
      <alignment horizontal="center"/>
    </xf>
    <xf numFmtId="0" fontId="33" fillId="4" borderId="30" xfId="0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4" borderId="53" xfId="0" applyFont="1" applyFill="1" applyBorder="1" applyAlignment="1">
      <alignment horizontal="center"/>
    </xf>
    <xf numFmtId="0" fontId="25" fillId="4" borderId="54" xfId="0" applyFont="1" applyFill="1" applyBorder="1" applyAlignment="1">
      <alignment horizontal="center"/>
    </xf>
    <xf numFmtId="0" fontId="16" fillId="10" borderId="0" xfId="0" applyFont="1" applyFill="1" applyAlignment="1">
      <alignment horizontal="left"/>
    </xf>
    <xf numFmtId="0" fontId="25" fillId="6" borderId="29" xfId="0" applyFont="1" applyFill="1" applyBorder="1" applyAlignment="1">
      <alignment horizontal="center"/>
    </xf>
    <xf numFmtId="0" fontId="25" fillId="6" borderId="35" xfId="0" applyFont="1" applyFill="1" applyBorder="1" applyAlignment="1">
      <alignment horizontal="center"/>
    </xf>
    <xf numFmtId="0" fontId="25" fillId="6" borderId="30" xfId="0" applyFont="1" applyFill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7" fillId="9" borderId="0" xfId="0" applyFont="1" applyFill="1" applyAlignment="1" applyProtection="1">
      <alignment horizontal="center" vertical="center"/>
      <protection locked="0"/>
    </xf>
    <xf numFmtId="0" fontId="5" fillId="10" borderId="0" xfId="0" applyFont="1" applyFill="1" applyAlignment="1" applyProtection="1">
      <alignment horizontal="left" vertical="center"/>
      <protection locked="0"/>
    </xf>
    <xf numFmtId="0" fontId="8" fillId="7" borderId="0" xfId="0" applyFont="1" applyFill="1" applyAlignment="1">
      <alignment horizontal="left" vertical="center" indent="2"/>
    </xf>
    <xf numFmtId="0" fontId="8" fillId="7" borderId="0" xfId="0" applyFont="1" applyFill="1" applyAlignment="1">
      <alignment horizontal="left" indent="2"/>
    </xf>
    <xf numFmtId="0" fontId="5" fillId="10" borderId="0" xfId="3" applyFont="1" applyFill="1" applyAlignment="1" applyProtection="1">
      <alignment horizontal="left" vertical="center"/>
      <protection locked="0"/>
    </xf>
    <xf numFmtId="0" fontId="9" fillId="9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4" borderId="0" xfId="3" applyFill="1"/>
  </cellXfs>
  <cellStyles count="5">
    <cellStyle name="Hiperlink" xfId="3" builtinId="8"/>
    <cellStyle name="Moeda" xfId="2" builtinId="4"/>
    <cellStyle name="Normal" xfId="0" builtinId="0"/>
    <cellStyle name="Porcentagem" xfId="4" builtinId="5"/>
    <cellStyle name="Título 1" xfId="1" builtinId="16"/>
  </cellStyles>
  <dxfs count="6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numFmt numFmtId="164" formatCode="&quot;R$&quot;\ #,##0.0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fill>
        <patternFill patternType="solid">
          <bgColor rgb="FF5BF6A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alignment horizontal="center"/>
    </dxf>
    <dxf>
      <numFmt numFmtId="164" formatCode="&quot;R$&quot;\ #,##0.00"/>
    </dxf>
    <dxf>
      <alignment horizontal="center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/>
    </dxf>
    <dxf>
      <alignment horizontal="left"/>
    </dxf>
    <dxf>
      <fill>
        <patternFill patternType="solid">
          <bgColor rgb="FF5BF6A8"/>
        </patternFill>
      </fill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numFmt numFmtId="164" formatCode="&quot;R$&quot;\ #,##0.00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alignment vertical="center"/>
    </dxf>
    <dxf>
      <alignment vertical="center"/>
    </dxf>
    <dxf>
      <numFmt numFmtId="164" formatCode="&quot;R$&quot;\ #,##0.00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alignment vertic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fill>
        <patternFill patternType="solid">
          <bgColor rgb="FF9BC848"/>
        </patternFill>
      </fill>
    </dxf>
    <dxf>
      <fill>
        <patternFill patternType="solid">
          <bgColor rgb="FF9BC848"/>
        </patternFill>
      </fill>
    </dxf>
    <dxf>
      <font>
        <color auto="1"/>
      </font>
    </dxf>
    <dxf>
      <font>
        <color auto="1"/>
      </font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5BF6A8"/>
        </patternFill>
      </fill>
    </dxf>
    <dxf>
      <font>
        <color auto="1"/>
      </font>
    </dxf>
    <dxf>
      <fill>
        <patternFill patternType="solid">
          <bgColor theme="1"/>
        </patternFill>
      </fill>
    </dxf>
    <dxf>
      <font>
        <color auto="1"/>
      </font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fill>
        <patternFill patternType="solid">
          <bgColor rgb="FF5BF6A8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22C55E"/>
      </font>
    </dxf>
    <dxf>
      <font>
        <b/>
        <i val="0"/>
        <color rgb="FF22C55E"/>
      </font>
    </dxf>
    <dxf>
      <fill>
        <patternFill>
          <bgColor rgb="FF22C55E"/>
        </patternFill>
      </fill>
    </dxf>
    <dxf>
      <font>
        <b/>
        <i val="0"/>
        <color rgb="FF22C55E"/>
      </font>
    </dxf>
    <dxf>
      <font>
        <b/>
        <i val="0"/>
        <color rgb="FF22C55E"/>
      </font>
    </dxf>
    <dxf>
      <fill>
        <patternFill>
          <bgColor rgb="FF22C55E"/>
        </patternFill>
      </fill>
    </dxf>
    <dxf>
      <font>
        <b/>
        <i val="0"/>
        <color rgb="FF22C55E"/>
      </font>
    </dxf>
    <dxf>
      <font>
        <b/>
        <i val="0"/>
        <color rgb="FF22C55E"/>
      </font>
    </dxf>
    <dxf>
      <fill>
        <patternFill>
          <bgColor rgb="FF22C55E"/>
        </patternFill>
      </fill>
    </dxf>
    <dxf>
      <font>
        <b/>
        <i val="0"/>
        <color rgb="FF22C55E"/>
      </font>
    </dxf>
    <dxf>
      <font>
        <b/>
        <i val="0"/>
        <color rgb="FF22C55E"/>
      </font>
    </dxf>
    <dxf>
      <font>
        <b/>
        <i val="0"/>
        <color rgb="FF22C55E"/>
      </font>
    </dxf>
    <dxf>
      <fill>
        <patternFill>
          <bgColor rgb="FF22C55E"/>
        </patternFill>
      </fill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/>
    </dxf>
    <dxf>
      <alignment horizontal="center"/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64" formatCode="&quot;R$&quot;\ #,##0.00"/>
    </dxf>
    <dxf>
      <numFmt numFmtId="164" formatCode="&quot;R$&quot;\ 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alignment horizontal="center"/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center"/>
    </dxf>
    <dxf>
      <fill>
        <patternFill patternType="solid">
          <bgColor rgb="FF5BF6A8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164" formatCode="&quot;R$&quot;\ #,##0.00"/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fill>
        <patternFill patternType="solid">
          <bgColor rgb="FF5BF6A8"/>
        </patternFill>
      </fill>
    </dxf>
    <dxf>
      <alignment horizontal="left"/>
    </dxf>
    <dxf>
      <alignment horizontal="center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/>
    </dxf>
    <dxf>
      <numFmt numFmtId="164" formatCode="&quot;R$&quot;\ #,##0.00"/>
    </dxf>
    <dxf>
      <alignment horizontal="center"/>
    </dxf>
    <dxf>
      <numFmt numFmtId="164" formatCode="&quot;R$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fill>
        <patternFill patternType="solid">
          <bgColor rgb="FF22C55E"/>
        </patternFill>
      </fill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numFmt numFmtId="164" formatCode="&quot;R$&quot;\ #,##0.00"/>
    </dxf>
    <dxf>
      <alignment horizontal="center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left/>
      </border>
    </dxf>
    <dxf>
      <border>
        <bottom style="thin">
          <color theme="0"/>
        </bottom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right style="double">
          <color auto="1"/>
        </right>
        <top style="double">
          <color auto="1"/>
        </top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ill>
        <patternFill>
          <bgColor rgb="FF5BF6A8"/>
        </patternFill>
      </fill>
    </dxf>
    <dxf>
      <fill>
        <patternFill>
          <bgColor rgb="FF5BF6A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  <bgColor rgb="FF00B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1"/>
        <name val="Segoe UI"/>
        <family val="2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color theme="1"/>
      </font>
      <fill>
        <patternFill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9" defaultTableStyle="TableStyleMedium2" defaultPivotStyle="PivotStyleLight16">
    <tableStyle name="SlicerStyleDark6 2" pivot="0" table="0" count="10" xr9:uid="{CB59EAB4-D5F9-437C-B9A8-203B9D2971E3}">
      <tableStyleElement type="wholeTable" dxfId="698"/>
      <tableStyleElement type="headerRow" dxfId="697"/>
    </tableStyle>
    <tableStyle name="SlicerStyleDark6 2 2" pivot="0" table="0" count="10" xr9:uid="{BA8F57F1-95A2-47AC-B9C3-F34831E40811}">
      <tableStyleElement type="wholeTable" dxfId="696"/>
      <tableStyleElement type="headerRow" dxfId="695"/>
    </tableStyle>
    <tableStyle name="SlicerStyleDark6 2 2 2" pivot="0" table="0" count="10" xr9:uid="{383D4887-C5E4-4FB7-8BE8-405CFE9DD33D}">
      <tableStyleElement type="wholeTable" dxfId="694"/>
      <tableStyleElement type="headerRow" dxfId="693"/>
    </tableStyle>
    <tableStyle name="SlicerStyleDark6 3" pivot="0" table="0" count="10" xr9:uid="{EA783B77-658C-42EB-AB71-7013B8C4B3A1}">
      <tableStyleElement type="wholeTable" dxfId="692"/>
      <tableStyleElement type="headerRow" dxfId="691"/>
    </tableStyle>
    <tableStyle name="SlicerStyleLight3 2" pivot="0" table="0" count="10" xr9:uid="{122D5745-C886-414F-8BD8-69D676F135B2}">
      <tableStyleElement type="wholeTable" dxfId="690"/>
      <tableStyleElement type="headerRow" dxfId="689"/>
    </tableStyle>
    <tableStyle name="SlicerStyleLight3 2 2" pivot="0" table="0" count="10" xr9:uid="{AF784105-1DBC-4E3C-95BB-C27F33A1E201}">
      <tableStyleElement type="wholeTable" dxfId="688"/>
      <tableStyleElement type="headerRow" dxfId="687"/>
    </tableStyle>
    <tableStyle name="SlicerStyleLight3 2 3" pivot="0" table="0" count="10" xr9:uid="{CB442521-59D6-42AD-A1FD-4514ECE63BB9}">
      <tableStyleElement type="wholeTable" dxfId="686"/>
      <tableStyleElement type="headerRow" dxfId="685"/>
    </tableStyle>
    <tableStyle name="SlicerStyleLight3 2 4" pivot="0" table="0" count="10" xr9:uid="{5C8E0A9A-0D7F-43C3-A066-C452E68C2CC9}">
      <tableStyleElement type="wholeTable" dxfId="684"/>
      <tableStyleElement type="headerRow" dxfId="683"/>
    </tableStyle>
    <tableStyle name="SlicerStyleLight3 2 4 2" pivot="0" table="0" count="10" xr9:uid="{C04A3D0F-AC98-4D2D-9B2E-EAE7F21C97B6}">
      <tableStyleElement type="wholeTable" dxfId="682"/>
      <tableStyleElement type="headerRow" dxfId="681"/>
    </tableStyle>
  </tableStyles>
  <colors>
    <mruColors>
      <color rgb="FF22C55E"/>
      <color rgb="FF393939"/>
      <color rgb="FFEDEDED"/>
      <color rgb="FF5BF6A8"/>
      <color rgb="FF9BC848"/>
      <color rgb="FFE8E6E9"/>
      <color rgb="FFE0E0E0"/>
      <color rgb="FF2AE6B1"/>
      <color rgb="FF000000"/>
      <color rgb="FFF7F8FC"/>
    </mruColors>
  </colors>
  <extLst>
    <ext xmlns:x14="http://schemas.microsoft.com/office/spreadsheetml/2009/9/main" uri="{46F421CA-312F-682f-3DD2-61675219B42D}">
      <x14:dxfs count="7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5BF6A8"/>
              <bgColor rgb="FF00B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SlicerStyleDark6 2 2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SlicerStyleDark6 2 2 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SlicerStyleDark6 3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Light3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3 2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3 2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3 2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3 2 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[DASHBOARD_VENDAS_XBOX_PASS_2024.xlsx]C̳álculos!VALOR E INSCRIÇÃO TOTAIS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6331480301357971E-2"/>
          <c:y val="8.0818203824739768E-2"/>
          <c:w val="0.94733692399760627"/>
          <c:h val="0.911752117227814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C̳álculos!$A$72</c:f>
              <c:strCache>
                <c:ptCount val="1"/>
                <c:pt idx="0">
                  <c:v>Soma Subscription 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C-4C7C-B17F-00E5F80392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C̳álculos!$A$73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C̳álculos!$A$73</c:f>
              <c:numCache>
                <c:formatCode>General</c:formatCode>
                <c:ptCount val="1"/>
                <c:pt idx="0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4-44D5-8DCC-710C3B99794F}"/>
            </c:ext>
          </c:extLst>
        </c:ser>
        <c:ser>
          <c:idx val="1"/>
          <c:order val="1"/>
          <c:tx>
            <c:strRef>
              <c:f>C̳álculos!$B$72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BC-4C7C-B17F-00E5F80392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C̳álculos!$A$73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C̳álculos!$B$73</c:f>
              <c:numCache>
                <c:formatCode>"R$"\ #,##0.00</c:formatCode>
                <c:ptCount val="1"/>
                <c:pt idx="0">
                  <c:v>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4-44D5-8DCC-710C3B99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1806161872"/>
        <c:axId val="1806162704"/>
      </c:barChart>
      <c:catAx>
        <c:axId val="180616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6162704"/>
        <c:crosses val="autoZero"/>
        <c:auto val="1"/>
        <c:lblAlgn val="ctr"/>
        <c:lblOffset val="100"/>
        <c:noMultiLvlLbl val="0"/>
      </c:catAx>
      <c:valAx>
        <c:axId val="180616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61618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[DASHBOARD_VENDAS_XBOX_PASS_2024.xlsx]C̳álculos!FATURAMENTO AO LONGO DOS MESES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73381183668183"/>
          <c:y val="0.14249781277340332"/>
          <c:w val="0.58559158998626482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C̳álculos!$B$141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C̳álculos!$A$142:$A$154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C̳álculos!$B$142:$B$154</c:f>
              <c:numCache>
                <c:formatCode>"R$"\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2-4A61-8440-70C76229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023"/>
        <c:axId val="37635119"/>
      </c:lineChart>
      <c:catAx>
        <c:axId val="376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35119"/>
        <c:crosses val="autoZero"/>
        <c:auto val="1"/>
        <c:lblAlgn val="ctr"/>
        <c:lblOffset val="100"/>
        <c:noMultiLvlLbl val="0"/>
      </c:catAx>
      <c:valAx>
        <c:axId val="37635119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lculo_Dash_Diretor2"/><Relationship Id="rId2" Type="http://schemas.openxmlformats.org/officeDocument/2006/relationships/hyperlink" Target="#C&#225;lculo_Dash_Diretor"/><Relationship Id="rId1" Type="http://schemas.openxmlformats.org/officeDocument/2006/relationships/hyperlink" Target="#Calculo_Dash_Vendas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D&#819;ash_Diretor2!A1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hyperlink" Target="#D&#819;ash_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5" Type="http://schemas.openxmlformats.org/officeDocument/2006/relationships/hyperlink" Target="#D&#819;ash_Home!A1"/><Relationship Id="rId4" Type="http://schemas.openxmlformats.org/officeDocument/2006/relationships/hyperlink" Target="#D&#819;ash_Diretor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6.png"/><Relationship Id="rId1" Type="http://schemas.openxmlformats.org/officeDocument/2006/relationships/chart" Target="../charts/chart2.xml"/><Relationship Id="rId4" Type="http://schemas.openxmlformats.org/officeDocument/2006/relationships/hyperlink" Target="#D&#819;ash_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85725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219075</xdr:colOff>
      <xdr:row>9</xdr:row>
      <xdr:rowOff>66675</xdr:rowOff>
    </xdr:from>
    <xdr:to>
      <xdr:col>15</xdr:col>
      <xdr:colOff>523875</xdr:colOff>
      <xdr:row>11</xdr:row>
      <xdr:rowOff>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10096500" y="18383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676275</xdr:colOff>
      <xdr:row>26</xdr:row>
      <xdr:rowOff>57150</xdr:rowOff>
    </xdr:from>
    <xdr:to>
      <xdr:col>2</xdr:col>
      <xdr:colOff>676275</xdr:colOff>
      <xdr:row>32</xdr:row>
      <xdr:rowOff>123825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4933950"/>
          <a:ext cx="1371600" cy="1152525"/>
        </a:xfrm>
        <a:prstGeom prst="rect">
          <a:avLst/>
        </a:prstGeom>
      </xdr:spPr>
    </xdr:pic>
    <xdr:clientData/>
  </xdr:twoCellAnchor>
  <xdr:twoCellAnchor editAs="absolute">
    <xdr:from>
      <xdr:col>1</xdr:col>
      <xdr:colOff>381000</xdr:colOff>
      <xdr:row>31</xdr:row>
      <xdr:rowOff>114299</xdr:rowOff>
    </xdr:from>
    <xdr:to>
      <xdr:col>4</xdr:col>
      <xdr:colOff>101676</xdr:colOff>
      <xdr:row>35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66800" y="595312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123826</xdr:colOff>
      <xdr:row>20</xdr:row>
      <xdr:rowOff>152399</xdr:rowOff>
    </xdr:from>
    <xdr:to>
      <xdr:col>3</xdr:col>
      <xdr:colOff>319386</xdr:colOff>
      <xdr:row>25</xdr:row>
      <xdr:rowOff>19049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87B7687B-3D68-4B61-B266-A80E8FD8F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09626" y="3943349"/>
          <a:ext cx="1567160" cy="771525"/>
        </a:xfrm>
        <a:prstGeom prst="rect">
          <a:avLst/>
        </a:prstGeom>
      </xdr:spPr>
    </xdr:pic>
    <xdr:clientData/>
  </xdr:twoCellAnchor>
  <xdr:twoCellAnchor editAs="oneCell">
    <xdr:from>
      <xdr:col>9</xdr:col>
      <xdr:colOff>56220</xdr:colOff>
      <xdr:row>16</xdr:row>
      <xdr:rowOff>149565</xdr:rowOff>
    </xdr:from>
    <xdr:to>
      <xdr:col>10</xdr:col>
      <xdr:colOff>316230</xdr:colOff>
      <xdr:row>22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0DA9748-74D1-499F-82B9-AAC669DCE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845" y="3273765"/>
          <a:ext cx="945810" cy="945810"/>
        </a:xfrm>
        <a:prstGeom prst="rect">
          <a:avLst/>
        </a:prstGeom>
      </xdr:spPr>
    </xdr:pic>
    <xdr:clientData/>
  </xdr:twoCellAnchor>
  <xdr:twoCellAnchor editAs="oneCell">
    <xdr:from>
      <xdr:col>14</xdr:col>
      <xdr:colOff>258841</xdr:colOff>
      <xdr:row>13</xdr:row>
      <xdr:rowOff>74074</xdr:rowOff>
    </xdr:from>
    <xdr:to>
      <xdr:col>15</xdr:col>
      <xdr:colOff>292811</xdr:colOff>
      <xdr:row>17</xdr:row>
      <xdr:rowOff>69944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DFC983F-E8CC-4759-BECD-EB2347A87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0466" y="2655349"/>
          <a:ext cx="719770" cy="71977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12</xdr:row>
      <xdr:rowOff>123825</xdr:rowOff>
    </xdr:from>
    <xdr:to>
      <xdr:col>14</xdr:col>
      <xdr:colOff>54085</xdr:colOff>
      <xdr:row>17</xdr:row>
      <xdr:rowOff>168385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BDA669C-9CB3-484A-9C13-41925F44C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514600"/>
          <a:ext cx="958960" cy="958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35</xdr:row>
      <xdr:rowOff>0</xdr:rowOff>
    </xdr:from>
    <xdr:to>
      <xdr:col>12</xdr:col>
      <xdr:colOff>304800</xdr:colOff>
      <xdr:row>36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43791</xdr:rowOff>
    </xdr:from>
    <xdr:to>
      <xdr:col>6</xdr:col>
      <xdr:colOff>543137</xdr:colOff>
      <xdr:row>10</xdr:row>
      <xdr:rowOff>102420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C060776-6414-4537-936D-5F33D29FCC58}"/>
            </a:ext>
          </a:extLst>
        </xdr:cNvPr>
        <xdr:cNvSpPr/>
      </xdr:nvSpPr>
      <xdr:spPr>
        <a:xfrm>
          <a:off x="0" y="43791"/>
          <a:ext cx="8286431" cy="1902177"/>
        </a:xfrm>
        <a:prstGeom prst="roundRect">
          <a:avLst>
            <a:gd name="adj" fmla="val 7846"/>
          </a:avLst>
        </a:prstGeom>
        <a:solidFill>
          <a:srgbClr val="EDEDE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8</xdr:col>
      <xdr:colOff>1891315</xdr:colOff>
      <xdr:row>164</xdr:row>
      <xdr:rowOff>120344</xdr:rowOff>
    </xdr:from>
    <xdr:to>
      <xdr:col>9</xdr:col>
      <xdr:colOff>306103</xdr:colOff>
      <xdr:row>166</xdr:row>
      <xdr:rowOff>68853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12537487" y="31691750"/>
          <a:ext cx="305897" cy="305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62</xdr:row>
      <xdr:rowOff>0</xdr:rowOff>
    </xdr:from>
    <xdr:to>
      <xdr:col>15</xdr:col>
      <xdr:colOff>304800</xdr:colOff>
      <xdr:row>63</xdr:row>
      <xdr:rowOff>108539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21897</xdr:colOff>
      <xdr:row>0</xdr:row>
      <xdr:rowOff>54741</xdr:rowOff>
    </xdr:from>
    <xdr:to>
      <xdr:col>6</xdr:col>
      <xdr:colOff>630724</xdr:colOff>
      <xdr:row>3</xdr:row>
      <xdr:rowOff>10948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D9FF026-257D-43B8-8BDA-E93FF930E3EB}"/>
            </a:ext>
          </a:extLst>
        </xdr:cNvPr>
        <xdr:cNvSpPr/>
      </xdr:nvSpPr>
      <xdr:spPr>
        <a:xfrm>
          <a:off x="21897" y="54741"/>
          <a:ext cx="8353534" cy="5145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CONTROLE ORGANIZACIONAL DAS TABELAS DINÂMICAS RELACIONADAS ÀS DASHBOARDS</a:t>
          </a:r>
          <a:endParaRPr lang="pt-BR" sz="14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75332</xdr:colOff>
      <xdr:row>5</xdr:row>
      <xdr:rowOff>65689</xdr:rowOff>
    </xdr:from>
    <xdr:to>
      <xdr:col>4</xdr:col>
      <xdr:colOff>536320</xdr:colOff>
      <xdr:row>7</xdr:row>
      <xdr:rowOff>102419</xdr:rowOff>
    </xdr:to>
    <xdr:sp macro="" textlink="">
      <xdr:nvSpPr>
        <xdr:cNvPr id="9" name="Retângulo: Cantos Arredondados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7B961F-50A2-4525-B64F-FCD7031C8F39}"/>
            </a:ext>
          </a:extLst>
        </xdr:cNvPr>
        <xdr:cNvSpPr/>
      </xdr:nvSpPr>
      <xdr:spPr>
        <a:xfrm>
          <a:off x="3167229" y="987463"/>
          <a:ext cx="2097126" cy="405440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Calculo Dash_Vendas</a:t>
          </a:r>
        </a:p>
      </xdr:txBody>
    </xdr:sp>
    <xdr:clientData/>
  </xdr:twoCellAnchor>
  <xdr:twoCellAnchor editAs="absolute">
    <xdr:from>
      <xdr:col>4</xdr:col>
      <xdr:colOff>1188245</xdr:colOff>
      <xdr:row>5</xdr:row>
      <xdr:rowOff>54740</xdr:rowOff>
    </xdr:from>
    <xdr:to>
      <xdr:col>6</xdr:col>
      <xdr:colOff>252126</xdr:colOff>
      <xdr:row>7</xdr:row>
      <xdr:rowOff>65689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4CCC5F7-C7B3-48D0-BC17-5324B31FB0FE}"/>
            </a:ext>
          </a:extLst>
        </xdr:cNvPr>
        <xdr:cNvSpPr/>
      </xdr:nvSpPr>
      <xdr:spPr>
        <a:xfrm>
          <a:off x="5903517" y="947709"/>
          <a:ext cx="2076162" cy="368136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accent6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ANALISTAS</a:t>
          </a:r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1">
              <a:solidFill>
                <a:schemeClr val="accent6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DE</a:t>
          </a:r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1">
              <a:solidFill>
                <a:schemeClr val="accent6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DADO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175171</xdr:rowOff>
    </xdr:from>
    <xdr:to>
      <xdr:col>6</xdr:col>
      <xdr:colOff>608827</xdr:colOff>
      <xdr:row>4</xdr:row>
      <xdr:rowOff>131378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1FA2F62-9465-491E-8C05-085149663AED}"/>
            </a:ext>
          </a:extLst>
        </xdr:cNvPr>
        <xdr:cNvSpPr/>
      </xdr:nvSpPr>
      <xdr:spPr>
        <a:xfrm>
          <a:off x="0" y="361292"/>
          <a:ext cx="8353534" cy="5145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SELECIONE O BOTÃO ABAIXO PARA ACESSAR OS CÁLCULOS NECESSÁRIOS</a:t>
          </a:r>
          <a:endParaRPr lang="pt-BR" sz="11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5</xdr:row>
      <xdr:rowOff>65690</xdr:rowOff>
    </xdr:from>
    <xdr:to>
      <xdr:col>1</xdr:col>
      <xdr:colOff>462297</xdr:colOff>
      <xdr:row>7</xdr:row>
      <xdr:rowOff>76639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553EF2-26BC-4A04-9FCA-B10995D81C83}"/>
            </a:ext>
          </a:extLst>
        </xdr:cNvPr>
        <xdr:cNvSpPr/>
      </xdr:nvSpPr>
      <xdr:spPr>
        <a:xfrm>
          <a:off x="0" y="987464"/>
          <a:ext cx="2094299" cy="379659"/>
        </a:xfrm>
        <a:prstGeom prst="round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Cálculo</a:t>
          </a:r>
          <a:r>
            <a:rPr lang="pt-BR" sz="140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Dash_Diretor</a:t>
          </a:r>
        </a:p>
      </xdr:txBody>
    </xdr:sp>
    <xdr:clientData/>
  </xdr:twoCellAnchor>
  <xdr:twoCellAnchor editAs="absolute">
    <xdr:from>
      <xdr:col>0</xdr:col>
      <xdr:colOff>0</xdr:colOff>
      <xdr:row>7</xdr:row>
      <xdr:rowOff>127142</xdr:rowOff>
    </xdr:from>
    <xdr:to>
      <xdr:col>1</xdr:col>
      <xdr:colOff>462297</xdr:colOff>
      <xdr:row>9</xdr:row>
      <xdr:rowOff>138091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FC3751-FA49-4EB9-B3F4-9B2A7A0AC01B}"/>
            </a:ext>
          </a:extLst>
        </xdr:cNvPr>
        <xdr:cNvSpPr/>
      </xdr:nvSpPr>
      <xdr:spPr>
        <a:xfrm>
          <a:off x="0" y="1417626"/>
          <a:ext cx="2094299" cy="379659"/>
        </a:xfrm>
        <a:prstGeom prst="round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Calculo </a:t>
          </a:r>
          <a:r>
            <a:rPr lang="pt-BR" sz="12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Dash</a:t>
          </a:r>
          <a:r>
            <a:rPr lang="pt-BR" sz="1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_Diretor2</a:t>
          </a:r>
        </a:p>
      </xdr:txBody>
    </xdr:sp>
    <xdr:clientData/>
  </xdr:twoCellAnchor>
  <xdr:oneCellAnchor>
    <xdr:from>
      <xdr:col>14</xdr:col>
      <xdr:colOff>0</xdr:colOff>
      <xdr:row>108</xdr:row>
      <xdr:rowOff>0</xdr:rowOff>
    </xdr:from>
    <xdr:ext cx="304800" cy="291210"/>
    <xdr:sp macro="" textlink="">
      <xdr:nvSpPr>
        <xdr:cNvPr id="1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2446BF3D-D0D1-4385-A7F6-D322C6A56F1B}"/>
            </a:ext>
          </a:extLst>
        </xdr:cNvPr>
        <xdr:cNvSpPr>
          <a:spLocks noChangeAspect="1" noChangeArrowheads="1"/>
        </xdr:cNvSpPr>
      </xdr:nvSpPr>
      <xdr:spPr bwMode="auto">
        <a:xfrm>
          <a:off x="25469589" y="13361096"/>
          <a:ext cx="304800" cy="291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458277</xdr:colOff>
      <xdr:row>0</xdr:row>
      <xdr:rowOff>139390</xdr:rowOff>
    </xdr:from>
    <xdr:to>
      <xdr:col>0</xdr:col>
      <xdr:colOff>1201692</xdr:colOff>
      <xdr:row>4</xdr:row>
      <xdr:rowOff>81310</xdr:rowOff>
    </xdr:to>
    <xdr:sp macro="" textlink="">
      <xdr:nvSpPr>
        <xdr:cNvPr id="4" name="Fluxograma: Conector 3">
          <a:extLst>
            <a:ext uri="{FF2B5EF4-FFF2-40B4-BE49-F238E27FC236}">
              <a16:creationId xmlns:a16="http://schemas.microsoft.com/office/drawing/2014/main" id="{91A96ED4-BF75-43DE-A530-554A136987DE}"/>
            </a:ext>
          </a:extLst>
        </xdr:cNvPr>
        <xdr:cNvSpPr/>
      </xdr:nvSpPr>
      <xdr:spPr>
        <a:xfrm>
          <a:off x="458277" y="139390"/>
          <a:ext cx="743415" cy="663815"/>
        </a:xfrm>
        <a:prstGeom prst="flowChartConnector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6</xdr:row>
      <xdr:rowOff>151006</xdr:rowOff>
    </xdr:from>
    <xdr:to>
      <xdr:col>8</xdr:col>
      <xdr:colOff>10026</xdr:colOff>
      <xdr:row>8</xdr:row>
      <xdr:rowOff>139392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741D4FA-02A9-445E-86E5-0D5B41AD5DCB}"/>
            </a:ext>
          </a:extLst>
        </xdr:cNvPr>
        <xdr:cNvSpPr/>
      </xdr:nvSpPr>
      <xdr:spPr>
        <a:xfrm>
          <a:off x="1894974" y="1233848"/>
          <a:ext cx="2616868" cy="349333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LOGIN</a:t>
          </a:r>
        </a:p>
      </xdr:txBody>
    </xdr:sp>
    <xdr:clientData/>
  </xdr:twoCellAnchor>
  <xdr:twoCellAnchor editAs="absolute">
    <xdr:from>
      <xdr:col>3</xdr:col>
      <xdr:colOff>547780</xdr:colOff>
      <xdr:row>9</xdr:row>
      <xdr:rowOff>8275</xdr:rowOff>
    </xdr:from>
    <xdr:to>
      <xdr:col>4</xdr:col>
      <xdr:colOff>661738</xdr:colOff>
      <xdr:row>9</xdr:row>
      <xdr:rowOff>392776</xdr:rowOff>
    </xdr:to>
    <xdr:pic>
      <xdr:nvPicPr>
        <xdr:cNvPr id="14" name="Gráfico 13">
          <a:extLst>
            <a:ext uri="{FF2B5EF4-FFF2-40B4-BE49-F238E27FC236}">
              <a16:creationId xmlns:a16="http://schemas.microsoft.com/office/drawing/2014/main" id="{020B9036-54EC-41A1-A045-7B8BFE5EA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83648" y="1632538"/>
          <a:ext cx="795748" cy="384501"/>
        </a:xfrm>
        <a:prstGeom prst="rect">
          <a:avLst/>
        </a:prstGeom>
      </xdr:spPr>
    </xdr:pic>
    <xdr:clientData/>
  </xdr:twoCellAnchor>
  <xdr:twoCellAnchor editAs="absolute">
    <xdr:from>
      <xdr:col>1</xdr:col>
      <xdr:colOff>213732</xdr:colOff>
      <xdr:row>0</xdr:row>
      <xdr:rowOff>80210</xdr:rowOff>
    </xdr:from>
    <xdr:to>
      <xdr:col>7</xdr:col>
      <xdr:colOff>0</xdr:colOff>
      <xdr:row>4</xdr:row>
      <xdr:rowOff>127906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690FF71-9A2C-44B5-9810-E00E1C849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2507" y="80210"/>
          <a:ext cx="2329443" cy="771596"/>
        </a:xfrm>
        <a:prstGeom prst="rect">
          <a:avLst/>
        </a:prstGeom>
      </xdr:spPr>
    </xdr:pic>
    <xdr:clientData/>
  </xdr:twoCellAnchor>
  <xdr:twoCellAnchor>
    <xdr:from>
      <xdr:col>4</xdr:col>
      <xdr:colOff>490787</xdr:colOff>
      <xdr:row>1</xdr:row>
      <xdr:rowOff>98250</xdr:rowOff>
    </xdr:from>
    <xdr:to>
      <xdr:col>18</xdr:col>
      <xdr:colOff>171450</xdr:colOff>
      <xdr:row>3</xdr:row>
      <xdr:rowOff>109866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F92DCE3B-5171-456E-9F89-EECEE653CDEA}"/>
            </a:ext>
          </a:extLst>
        </xdr:cNvPr>
        <xdr:cNvSpPr/>
      </xdr:nvSpPr>
      <xdr:spPr>
        <a:xfrm>
          <a:off x="3414962" y="279225"/>
          <a:ext cx="7291138" cy="3735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 baseline="0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GAME PASS RESULTADOS DE VENDAS 2024</a:t>
          </a:r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1</xdr:colOff>
      <xdr:row>6</xdr:row>
      <xdr:rowOff>160421</xdr:rowOff>
    </xdr:from>
    <xdr:to>
      <xdr:col>8</xdr:col>
      <xdr:colOff>10027</xdr:colOff>
      <xdr:row>17</xdr:row>
      <xdr:rowOff>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1F4A92A5-2C2A-4261-8AB1-C1BAF6A9E613}"/>
            </a:ext>
          </a:extLst>
        </xdr:cNvPr>
        <xdr:cNvSpPr/>
      </xdr:nvSpPr>
      <xdr:spPr>
        <a:xfrm>
          <a:off x="1894975" y="1243263"/>
          <a:ext cx="2616868" cy="2556711"/>
        </a:xfrm>
        <a:prstGeom prst="rect">
          <a:avLst/>
        </a:prstGeom>
        <a:noFill/>
        <a:ln>
          <a:solidFill>
            <a:srgbClr val="22C55E"/>
          </a:solidFill>
        </a:ln>
        <a:effectLst>
          <a:outerShdw blurRad="114300" sx="104000" sy="104000" algn="ctr" rotWithShape="0">
            <a:srgbClr val="22C55E">
              <a:alpha val="4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28575</xdr:rowOff>
    </xdr:from>
    <xdr:to>
      <xdr:col>0</xdr:col>
      <xdr:colOff>1602965</xdr:colOff>
      <xdr:row>15</xdr:row>
      <xdr:rowOff>7067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3" name="Subscription Type">
              <a:extLst>
                <a:ext uri="{FF2B5EF4-FFF2-40B4-BE49-F238E27FC236}">
                  <a16:creationId xmlns:a16="http://schemas.microsoft.com/office/drawing/2014/main" id="{2813B1E7-B7E8-4137-B4E4-14F099CD29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33500"/>
              <a:ext cx="1564865" cy="2045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458277</xdr:colOff>
      <xdr:row>0</xdr:row>
      <xdr:rowOff>139390</xdr:rowOff>
    </xdr:from>
    <xdr:to>
      <xdr:col>0</xdr:col>
      <xdr:colOff>1201692</xdr:colOff>
      <xdr:row>4</xdr:row>
      <xdr:rowOff>81310</xdr:rowOff>
    </xdr:to>
    <xdr:sp macro="" textlink="">
      <xdr:nvSpPr>
        <xdr:cNvPr id="2" name="Fluxograma: Conector 1">
          <a:extLst>
            <a:ext uri="{FF2B5EF4-FFF2-40B4-BE49-F238E27FC236}">
              <a16:creationId xmlns:a16="http://schemas.microsoft.com/office/drawing/2014/main" id="{47531240-5D4E-4152-BE91-480577145258}"/>
            </a:ext>
          </a:extLst>
        </xdr:cNvPr>
        <xdr:cNvSpPr/>
      </xdr:nvSpPr>
      <xdr:spPr>
        <a:xfrm>
          <a:off x="458277" y="139390"/>
          <a:ext cx="743415" cy="665820"/>
        </a:xfrm>
        <a:prstGeom prst="flowChartConnector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137532</xdr:colOff>
      <xdr:row>0</xdr:row>
      <xdr:rowOff>99260</xdr:rowOff>
    </xdr:from>
    <xdr:to>
      <xdr:col>7</xdr:col>
      <xdr:colOff>190500</xdr:colOff>
      <xdr:row>4</xdr:row>
      <xdr:rowOff>146956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E1EFE82-DC15-4953-889E-614E63047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007" y="99260"/>
          <a:ext cx="2329443" cy="771596"/>
        </a:xfrm>
        <a:prstGeom prst="rect">
          <a:avLst/>
        </a:prstGeom>
      </xdr:spPr>
    </xdr:pic>
    <xdr:clientData/>
  </xdr:twoCellAnchor>
  <xdr:twoCellAnchor>
    <xdr:from>
      <xdr:col>4</xdr:col>
      <xdr:colOff>490787</xdr:colOff>
      <xdr:row>1</xdr:row>
      <xdr:rowOff>98250</xdr:rowOff>
    </xdr:from>
    <xdr:to>
      <xdr:col>18</xdr:col>
      <xdr:colOff>171450</xdr:colOff>
      <xdr:row>3</xdr:row>
      <xdr:rowOff>109866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B9FE53D-AF3C-466A-905C-9F10678DF831}"/>
            </a:ext>
          </a:extLst>
        </xdr:cNvPr>
        <xdr:cNvSpPr/>
      </xdr:nvSpPr>
      <xdr:spPr>
        <a:xfrm>
          <a:off x="3414962" y="279225"/>
          <a:ext cx="7291138" cy="3735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 baseline="0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GAME PASS RESULTADOS DE VENDAS 2024</a:t>
          </a:r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447676</xdr:colOff>
      <xdr:row>0</xdr:row>
      <xdr:rowOff>133350</xdr:rowOff>
    </xdr:from>
    <xdr:to>
      <xdr:col>0</xdr:col>
      <xdr:colOff>1209676</xdr:colOff>
      <xdr:row>4</xdr:row>
      <xdr:rowOff>114300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282449F0-53C7-48BE-A922-7B989E6EE5DA}"/>
            </a:ext>
          </a:extLst>
        </xdr:cNvPr>
        <xdr:cNvSpPr/>
      </xdr:nvSpPr>
      <xdr:spPr>
        <a:xfrm>
          <a:off x="447676" y="133350"/>
          <a:ext cx="762000" cy="70485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19049</xdr:colOff>
      <xdr:row>10</xdr:row>
      <xdr:rowOff>85724</xdr:rowOff>
    </xdr:from>
    <xdr:to>
      <xdr:col>16</xdr:col>
      <xdr:colOff>285750</xdr:colOff>
      <xdr:row>11</xdr:row>
      <xdr:rowOff>285749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9F0F69D-BACE-40ED-91F7-C0C4B1BC87AD}"/>
            </a:ext>
          </a:extLst>
        </xdr:cNvPr>
        <xdr:cNvSpPr/>
      </xdr:nvSpPr>
      <xdr:spPr>
        <a:xfrm>
          <a:off x="5934074" y="2209799"/>
          <a:ext cx="3514726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87475</xdr:colOff>
      <xdr:row>9</xdr:row>
      <xdr:rowOff>226753</xdr:rowOff>
    </xdr:from>
    <xdr:to>
      <xdr:col>3</xdr:col>
      <xdr:colOff>197009</xdr:colOff>
      <xdr:row>14</xdr:row>
      <xdr:rowOff>106719</xdr:rowOff>
    </xdr:to>
    <xdr:sp macro="" textlink="">
      <xdr:nvSpPr>
        <xdr:cNvPr id="9" name="Colchete Esquerdo 8">
          <a:extLst>
            <a:ext uri="{FF2B5EF4-FFF2-40B4-BE49-F238E27FC236}">
              <a16:creationId xmlns:a16="http://schemas.microsoft.com/office/drawing/2014/main" id="{F5D3ABE2-6DC7-4EF2-9D44-89777D14A501}"/>
            </a:ext>
          </a:extLst>
        </xdr:cNvPr>
        <xdr:cNvSpPr/>
      </xdr:nvSpPr>
      <xdr:spPr>
        <a:xfrm>
          <a:off x="2325850" y="192220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17701</xdr:colOff>
      <xdr:row>15</xdr:row>
      <xdr:rowOff>191197</xdr:rowOff>
    </xdr:from>
    <xdr:to>
      <xdr:col>24</xdr:col>
      <xdr:colOff>396876</xdr:colOff>
      <xdr:row>20</xdr:row>
      <xdr:rowOff>127355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4C028D0C-4590-4F8F-94B8-AB5FC6C7611F}"/>
            </a:ext>
          </a:extLst>
        </xdr:cNvPr>
        <xdr:cNvSpPr/>
      </xdr:nvSpPr>
      <xdr:spPr>
        <a:xfrm>
          <a:off x="12609751" y="3563047"/>
          <a:ext cx="2436575" cy="917233"/>
        </a:xfrm>
        <a:prstGeom prst="roundRect">
          <a:avLst>
            <a:gd name="adj" fmla="val 776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21893</xdr:colOff>
      <xdr:row>13</xdr:row>
      <xdr:rowOff>102545</xdr:rowOff>
    </xdr:from>
    <xdr:to>
      <xdr:col>24</xdr:col>
      <xdr:colOff>399021</xdr:colOff>
      <xdr:row>16</xdr:row>
      <xdr:rowOff>102973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83249086-3B11-48EA-9899-0F8BA6CF5EA2}"/>
            </a:ext>
          </a:extLst>
        </xdr:cNvPr>
        <xdr:cNvSpPr/>
      </xdr:nvSpPr>
      <xdr:spPr>
        <a:xfrm>
          <a:off x="12613943" y="2988620"/>
          <a:ext cx="2434528" cy="75290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TOTAL DE INSCRIÇÃO XBOX PASS</a:t>
          </a:r>
          <a:endParaRPr lang="pt-BR" sz="1400" b="1">
            <a:solidFill>
              <a:sysClr val="windowText" lastClr="000000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214314</xdr:colOff>
      <xdr:row>13</xdr:row>
      <xdr:rowOff>56026</xdr:rowOff>
    </xdr:from>
    <xdr:to>
      <xdr:col>8</xdr:col>
      <xdr:colOff>23813</xdr:colOff>
      <xdr:row>16</xdr:row>
      <xdr:rowOff>81822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F87683A7-685E-4E4C-9E83-2E78212A3716}"/>
            </a:ext>
          </a:extLst>
        </xdr:cNvPr>
        <xdr:cNvSpPr/>
      </xdr:nvSpPr>
      <xdr:spPr>
        <a:xfrm>
          <a:off x="2452689" y="2942101"/>
          <a:ext cx="2085974" cy="778271"/>
        </a:xfrm>
        <a:prstGeom prst="roundRect">
          <a:avLst>
            <a:gd name="adj" fmla="val 776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238971</xdr:colOff>
      <xdr:row>13</xdr:row>
      <xdr:rowOff>131583</xdr:rowOff>
    </xdr:from>
    <xdr:to>
      <xdr:col>7</xdr:col>
      <xdr:colOff>309281</xdr:colOff>
      <xdr:row>14</xdr:row>
      <xdr:rowOff>285493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0AC567D2-8C13-4CDC-9988-ED2C7C329095}"/>
            </a:ext>
          </a:extLst>
        </xdr:cNvPr>
        <xdr:cNvSpPr/>
      </xdr:nvSpPr>
      <xdr:spPr>
        <a:xfrm>
          <a:off x="2477346" y="3017658"/>
          <a:ext cx="2003885" cy="33488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ASSINATURA TOTAL</a:t>
          </a:r>
        </a:p>
      </xdr:txBody>
    </xdr:sp>
    <xdr:clientData/>
  </xdr:twoCellAnchor>
  <xdr:twoCellAnchor>
    <xdr:from>
      <xdr:col>3</xdr:col>
      <xdr:colOff>352957</xdr:colOff>
      <xdr:row>14</xdr:row>
      <xdr:rowOff>285495</xdr:rowOff>
    </xdr:from>
    <xdr:to>
      <xdr:col>7</xdr:col>
      <xdr:colOff>223837</xdr:colOff>
      <xdr:row>16</xdr:row>
      <xdr:rowOff>693</xdr:rowOff>
    </xdr:to>
    <xdr:sp macro="" textlink="C̳álculos!Q22">
      <xdr:nvSpPr>
        <xdr:cNvPr id="14" name="Retângulo: Cantos Arredondados 13">
          <a:extLst>
            <a:ext uri="{FF2B5EF4-FFF2-40B4-BE49-F238E27FC236}">
              <a16:creationId xmlns:a16="http://schemas.microsoft.com/office/drawing/2014/main" id="{76D0E853-7768-491A-9042-C106D0E8AC23}"/>
            </a:ext>
          </a:extLst>
        </xdr:cNvPr>
        <xdr:cNvSpPr/>
      </xdr:nvSpPr>
      <xdr:spPr>
        <a:xfrm>
          <a:off x="2591332" y="3352545"/>
          <a:ext cx="1804455" cy="286698"/>
        </a:xfrm>
        <a:prstGeom prst="round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3532DD5-281F-42A2-9AE9-C98FC822D938}" type="TxLink">
            <a:rPr lang="en-US" sz="14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587</a:t>
          </a:fld>
          <a:endParaRPr lang="en-US" sz="3200" b="0" i="0" u="none" strike="noStrike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214091</xdr:colOff>
      <xdr:row>5</xdr:row>
      <xdr:rowOff>112151</xdr:rowOff>
    </xdr:from>
    <xdr:to>
      <xdr:col>20</xdr:col>
      <xdr:colOff>190500</xdr:colOff>
      <xdr:row>12</xdr:row>
      <xdr:rowOff>195263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4231203-8E36-4107-9CA7-68E71307E096}"/>
            </a:ext>
          </a:extLst>
        </xdr:cNvPr>
        <xdr:cNvGrpSpPr/>
      </xdr:nvGrpSpPr>
      <xdr:grpSpPr>
        <a:xfrm>
          <a:off x="2452466" y="1017026"/>
          <a:ext cx="9644284" cy="1797612"/>
          <a:chOff x="2449550" y="1035493"/>
          <a:chExt cx="9695797" cy="181316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22F9343-A472-4211-A0BA-8F0FE4B53B18}"/>
              </a:ext>
            </a:extLst>
          </xdr:cNvPr>
          <xdr:cNvGrpSpPr/>
        </xdr:nvGrpSpPr>
        <xdr:grpSpPr>
          <a:xfrm>
            <a:off x="4980631" y="1035493"/>
            <a:ext cx="2095751" cy="1813163"/>
            <a:chOff x="4857305" y="1031314"/>
            <a:chExt cx="2324545" cy="1607113"/>
          </a:xfrm>
        </xdr:grpSpPr>
        <xdr:grpSp>
          <xdr:nvGrpSpPr>
            <xdr:cNvPr id="42" name="Agrupar 41">
              <a:extLst>
                <a:ext uri="{FF2B5EF4-FFF2-40B4-BE49-F238E27FC236}">
                  <a16:creationId xmlns:a16="http://schemas.microsoft.com/office/drawing/2014/main" id="{8BAECE56-CB2F-4F2B-85AB-0ADC79F77AE5}"/>
                </a:ext>
              </a:extLst>
            </xdr:cNvPr>
            <xdr:cNvGrpSpPr/>
          </xdr:nvGrpSpPr>
          <xdr:grpSpPr>
            <a:xfrm>
              <a:off x="4857305" y="1031314"/>
              <a:ext cx="2324545" cy="1607113"/>
              <a:chOff x="4857305" y="1031313"/>
              <a:chExt cx="2440440" cy="1749434"/>
            </a:xfrm>
          </xdr:grpSpPr>
          <xdr:grpSp>
            <xdr:nvGrpSpPr>
              <xdr:cNvPr id="44" name="Agrupar 43">
                <a:extLst>
                  <a:ext uri="{FF2B5EF4-FFF2-40B4-BE49-F238E27FC236}">
                    <a16:creationId xmlns:a16="http://schemas.microsoft.com/office/drawing/2014/main" id="{AE7BC0C9-A3EA-4566-87F1-64F77C1917D5}"/>
                  </a:ext>
                </a:extLst>
              </xdr:cNvPr>
              <xdr:cNvGrpSpPr/>
            </xdr:nvGrpSpPr>
            <xdr:grpSpPr>
              <a:xfrm>
                <a:off x="4857305" y="1381020"/>
                <a:ext cx="2440440" cy="1399727"/>
                <a:chOff x="6168018" y="487822"/>
                <a:chExt cx="2435155" cy="1346786"/>
              </a:xfrm>
            </xdr:grpSpPr>
            <xdr:sp macro="" textlink="">
              <xdr:nvSpPr>
                <xdr:cNvPr id="46" name="Retângulo: Cantos Arredondados 45">
                  <a:extLst>
                    <a:ext uri="{FF2B5EF4-FFF2-40B4-BE49-F238E27FC236}">
                      <a16:creationId xmlns:a16="http://schemas.microsoft.com/office/drawing/2014/main" id="{A5C9CD9C-DC67-47E5-BC62-9AB9A14FD90A}"/>
                    </a:ext>
                  </a:extLst>
                </xdr:cNvPr>
                <xdr:cNvSpPr/>
              </xdr:nvSpPr>
              <xdr:spPr>
                <a:xfrm>
                  <a:off x="6168018" y="947388"/>
                  <a:ext cx="2435155" cy="887220"/>
                </a:xfrm>
                <a:prstGeom prst="roundRect">
                  <a:avLst>
                    <a:gd name="adj" fmla="val 7763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7" name="Retângulo: Cantos Arredondados 46">
                  <a:extLst>
                    <a:ext uri="{FF2B5EF4-FFF2-40B4-BE49-F238E27FC236}">
                      <a16:creationId xmlns:a16="http://schemas.microsoft.com/office/drawing/2014/main" id="{C0226E2A-C1DE-49E3-B484-A9FDA78A72E9}"/>
                    </a:ext>
                  </a:extLst>
                </xdr:cNvPr>
                <xdr:cNvSpPr/>
              </xdr:nvSpPr>
              <xdr:spPr>
                <a:xfrm>
                  <a:off x="6168463" y="487822"/>
                  <a:ext cx="2433319" cy="7227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5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XBOX</a:t>
                  </a:r>
                  <a:r>
                    <a:rPr lang="pt-BR" sz="1600" b="1" baseline="0">
                      <a:solidFill>
                        <a:sysClr val="windowText" lastClr="000000"/>
                      </a:solidFill>
                      <a:effectLst>
                        <a:outerShdw blurRad="63500" sx="102000" sy="102000" algn="ctr" rotWithShape="0">
                          <a:prstClr val="black">
                            <a:alpha val="40000"/>
                          </a:prstClr>
                        </a:outerShdw>
                      </a:effectLst>
                      <a:latin typeface="Segoe UI" panose="020B0502040204020203" pitchFamily="34" charset="0"/>
                      <a:cs typeface="Segoe UI" panose="020B0502040204020203" pitchFamily="34" charset="0"/>
                    </a:rPr>
                    <a:t> </a:t>
                  </a:r>
                  <a:r>
                    <a:rPr lang="pt-BR" sz="16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PASS</a:t>
                  </a:r>
                  <a:endParaRPr lang="pt-BR" sz="1600" b="1">
                    <a:solidFill>
                      <a:sysClr val="windowText" lastClr="000000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31">
              <xdr:nvSpPr>
                <xdr:cNvPr id="48" name="Retângulo: Cantos Arredondados 47">
                  <a:extLst>
                    <a:ext uri="{FF2B5EF4-FFF2-40B4-BE49-F238E27FC236}">
                      <a16:creationId xmlns:a16="http://schemas.microsoft.com/office/drawing/2014/main" id="{EB41B704-491B-469B-A3A0-E14FECA93971}"/>
                    </a:ext>
                  </a:extLst>
                </xdr:cNvPr>
                <xdr:cNvSpPr/>
              </xdr:nvSpPr>
              <xdr:spPr>
                <a:xfrm>
                  <a:off x="6527702" y="1213363"/>
                  <a:ext cx="1686321" cy="549923"/>
                </a:xfrm>
                <a:prstGeom prst="roundRect">
                  <a:avLst/>
                </a:prstGeom>
                <a:solidFill>
                  <a:srgbClr val="5BF6A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7B961D6C-C8CD-431E-A174-71BF6097F3AC}" type="TxLink">
                    <a:rPr lang="en-US" sz="1400" b="1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R$ 2.935,00</a:t>
                  </a:fld>
                  <a:endParaRPr lang="en-US" sz="1800" b="1" i="0" u="none" strike="noStrike">
                    <a:solidFill>
                      <a:srgbClr val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45" name="Retângulo: Cantos Arredondados 44">
                <a:extLst>
                  <a:ext uri="{FF2B5EF4-FFF2-40B4-BE49-F238E27FC236}">
                    <a16:creationId xmlns:a16="http://schemas.microsoft.com/office/drawing/2014/main" id="{A464C177-0DF7-4960-835E-84254F747D6F}"/>
                  </a:ext>
                </a:extLst>
              </xdr:cNvPr>
              <xdr:cNvSpPr/>
            </xdr:nvSpPr>
            <xdr:spPr>
              <a:xfrm>
                <a:off x="4857750" y="1031313"/>
                <a:ext cx="2438797" cy="5497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43" name="Retângulo: Cantos Arredondados 42">
              <a:extLst>
                <a:ext uri="{FF2B5EF4-FFF2-40B4-BE49-F238E27FC236}">
                  <a16:creationId xmlns:a16="http://schemas.microsoft.com/office/drawing/2014/main" id="{6E385ED5-DD9B-48A9-A67C-1096819E2A57}"/>
                </a:ext>
              </a:extLst>
            </xdr:cNvPr>
            <xdr:cNvSpPr/>
          </xdr:nvSpPr>
          <xdr:spPr>
            <a:xfrm>
              <a:off x="4969941" y="1172623"/>
              <a:ext cx="2129457" cy="1674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baseline="0">
                  <a:solidFill>
                    <a:srgbClr val="22C55E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pt-BR" sz="2000" b="1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77F5FA5-7F0F-4426-A58A-C5B02E5184B0}"/>
              </a:ext>
            </a:extLst>
          </xdr:cNvPr>
          <xdr:cNvGrpSpPr/>
        </xdr:nvGrpSpPr>
        <xdr:grpSpPr>
          <a:xfrm>
            <a:off x="2449550" y="1035493"/>
            <a:ext cx="2094001" cy="1813163"/>
            <a:chOff x="4857305" y="1031314"/>
            <a:chExt cx="2324545" cy="1607113"/>
          </a:xfrm>
        </xdr:grpSpPr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DCD4B291-CFDE-4B6B-9610-F0E072E812B4}"/>
                </a:ext>
              </a:extLst>
            </xdr:cNvPr>
            <xdr:cNvGrpSpPr/>
          </xdr:nvGrpSpPr>
          <xdr:grpSpPr>
            <a:xfrm>
              <a:off x="4857305" y="1031314"/>
              <a:ext cx="2324545" cy="1607113"/>
              <a:chOff x="4857305" y="1031313"/>
              <a:chExt cx="2440440" cy="1749434"/>
            </a:xfrm>
          </xdr:grpSpPr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6FBB3478-A940-4C1D-9A49-ACC7276306E3}"/>
                  </a:ext>
                </a:extLst>
              </xdr:cNvPr>
              <xdr:cNvGrpSpPr/>
            </xdr:nvGrpSpPr>
            <xdr:grpSpPr>
              <a:xfrm>
                <a:off x="4857305" y="1381020"/>
                <a:ext cx="2440440" cy="1399727"/>
                <a:chOff x="6168018" y="487822"/>
                <a:chExt cx="2435155" cy="1346786"/>
              </a:xfrm>
            </xdr:grpSpPr>
            <xdr:sp macro="" textlink="">
              <xdr:nvSpPr>
                <xdr:cNvPr id="39" name="Retângulo: Cantos Arredondados 38">
                  <a:extLst>
                    <a:ext uri="{FF2B5EF4-FFF2-40B4-BE49-F238E27FC236}">
                      <a16:creationId xmlns:a16="http://schemas.microsoft.com/office/drawing/2014/main" id="{2DB0F745-740F-4348-9B35-00C237250D4C}"/>
                    </a:ext>
                  </a:extLst>
                </xdr:cNvPr>
                <xdr:cNvSpPr/>
              </xdr:nvSpPr>
              <xdr:spPr>
                <a:xfrm>
                  <a:off x="6168018" y="947388"/>
                  <a:ext cx="2435155" cy="887220"/>
                </a:xfrm>
                <a:prstGeom prst="roundRect">
                  <a:avLst>
                    <a:gd name="adj" fmla="val 7763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 fLocksText="0">
              <xdr:nvSpPr>
                <xdr:cNvPr id="40" name="Retângulo: Cantos Arredondados 39">
                  <a:extLst>
                    <a:ext uri="{FF2B5EF4-FFF2-40B4-BE49-F238E27FC236}">
                      <a16:creationId xmlns:a16="http://schemas.microsoft.com/office/drawing/2014/main" id="{2B8E37EA-1C46-4725-BDDB-B31FFE5F4A5F}"/>
                    </a:ext>
                  </a:extLst>
                </xdr:cNvPr>
                <xdr:cNvSpPr/>
              </xdr:nvSpPr>
              <xdr:spPr>
                <a:xfrm>
                  <a:off x="6168463" y="487822"/>
                  <a:ext cx="2433319" cy="7227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5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VALOR TOTAL</a:t>
                  </a:r>
                  <a:endParaRPr lang="pt-BR" sz="1600" b="1">
                    <a:solidFill>
                      <a:sysClr val="windowText" lastClr="000000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P22">
              <xdr:nvSpPr>
                <xdr:cNvPr id="41" name="Retângulo: Cantos Arredondados 40">
                  <a:extLst>
                    <a:ext uri="{FF2B5EF4-FFF2-40B4-BE49-F238E27FC236}">
                      <a16:creationId xmlns:a16="http://schemas.microsoft.com/office/drawing/2014/main" id="{26531CDF-4127-4174-BF0B-EC1B3ACAC407}"/>
                    </a:ext>
                  </a:extLst>
                </xdr:cNvPr>
                <xdr:cNvSpPr/>
              </xdr:nvSpPr>
              <xdr:spPr>
                <a:xfrm>
                  <a:off x="6527702" y="1213363"/>
                  <a:ext cx="1686321" cy="549923"/>
                </a:xfrm>
                <a:prstGeom prst="roundRect">
                  <a:avLst/>
                </a:prstGeom>
                <a:solidFill>
                  <a:srgbClr val="5BF6A8"/>
                </a:solidFill>
                <a:ln>
                  <a:solidFill>
                    <a:srgbClr val="5BF6A8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AB1FDC3E-968A-4F5D-B22E-36347573E40E}" type="TxLink">
                    <a:rPr lang="en-US" sz="1400" b="1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R$ 7.633,00</a:t>
                  </a:fld>
                  <a:endParaRPr lang="en-US" sz="6000" b="1">
                    <a:solidFill>
                      <a:schemeClr val="tx1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38" name="Retângulo: Cantos Arredondados 37">
                <a:extLst>
                  <a:ext uri="{FF2B5EF4-FFF2-40B4-BE49-F238E27FC236}">
                    <a16:creationId xmlns:a16="http://schemas.microsoft.com/office/drawing/2014/main" id="{1E40DC68-AE95-425A-89E8-52530853B5C5}"/>
                  </a:ext>
                </a:extLst>
              </xdr:cNvPr>
              <xdr:cNvSpPr/>
            </xdr:nvSpPr>
            <xdr:spPr>
              <a:xfrm>
                <a:off x="4857750" y="1031313"/>
                <a:ext cx="2438797" cy="5497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FB0B0878-D066-49B5-89BC-4FECBE476244}"/>
                </a:ext>
              </a:extLst>
            </xdr:cNvPr>
            <xdr:cNvSpPr/>
          </xdr:nvSpPr>
          <xdr:spPr>
            <a:xfrm>
              <a:off x="4969941" y="1172623"/>
              <a:ext cx="2129457" cy="1674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baseline="0">
                  <a:solidFill>
                    <a:srgbClr val="22C55E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pt-BR" sz="2000" b="1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381199EB-0F72-4443-9AA3-4A300044741B}"/>
              </a:ext>
            </a:extLst>
          </xdr:cNvPr>
          <xdr:cNvGrpSpPr/>
        </xdr:nvGrpSpPr>
        <xdr:grpSpPr>
          <a:xfrm>
            <a:off x="7513462" y="1035493"/>
            <a:ext cx="2095556" cy="1813163"/>
            <a:chOff x="4857305" y="1031314"/>
            <a:chExt cx="2324545" cy="1607113"/>
          </a:xfrm>
        </xdr:grpSpPr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B5BB9C9B-A0E2-4B0F-9B4F-10C52CAC1151}"/>
                </a:ext>
              </a:extLst>
            </xdr:cNvPr>
            <xdr:cNvGrpSpPr/>
          </xdr:nvGrpSpPr>
          <xdr:grpSpPr>
            <a:xfrm>
              <a:off x="4857305" y="1031314"/>
              <a:ext cx="2324545" cy="1607113"/>
              <a:chOff x="4857305" y="1031313"/>
              <a:chExt cx="2440440" cy="1749434"/>
            </a:xfrm>
          </xdr:grpSpPr>
          <xdr:grpSp>
            <xdr:nvGrpSpPr>
              <xdr:cNvPr id="30" name="Agrupar 29">
                <a:extLst>
                  <a:ext uri="{FF2B5EF4-FFF2-40B4-BE49-F238E27FC236}">
                    <a16:creationId xmlns:a16="http://schemas.microsoft.com/office/drawing/2014/main" id="{47B6AE1B-DA1C-4208-B089-6F73EAC931B6}"/>
                  </a:ext>
                </a:extLst>
              </xdr:cNvPr>
              <xdr:cNvGrpSpPr/>
            </xdr:nvGrpSpPr>
            <xdr:grpSpPr>
              <a:xfrm>
                <a:off x="4857305" y="1381020"/>
                <a:ext cx="2440440" cy="1399727"/>
                <a:chOff x="6168018" y="487822"/>
                <a:chExt cx="2435155" cy="1346786"/>
              </a:xfrm>
            </xdr:grpSpPr>
            <xdr:sp macro="" textlink="">
              <xdr:nvSpPr>
                <xdr:cNvPr id="32" name="Retângulo: Cantos Arredondados 31">
                  <a:extLst>
                    <a:ext uri="{FF2B5EF4-FFF2-40B4-BE49-F238E27FC236}">
                      <a16:creationId xmlns:a16="http://schemas.microsoft.com/office/drawing/2014/main" id="{308538E1-D31A-4FB2-A29D-4D287D1E2D39}"/>
                    </a:ext>
                  </a:extLst>
                </xdr:cNvPr>
                <xdr:cNvSpPr/>
              </xdr:nvSpPr>
              <xdr:spPr>
                <a:xfrm>
                  <a:off x="6168018" y="947388"/>
                  <a:ext cx="2435155" cy="887220"/>
                </a:xfrm>
                <a:prstGeom prst="roundRect">
                  <a:avLst>
                    <a:gd name="adj" fmla="val 7763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3" name="Retângulo: Cantos Arredondados 32">
                  <a:extLst>
                    <a:ext uri="{FF2B5EF4-FFF2-40B4-BE49-F238E27FC236}">
                      <a16:creationId xmlns:a16="http://schemas.microsoft.com/office/drawing/2014/main" id="{A1A9A42F-0B41-4ED0-9399-5F3514AC733C}"/>
                    </a:ext>
                  </a:extLst>
                </xdr:cNvPr>
                <xdr:cNvSpPr/>
              </xdr:nvSpPr>
              <xdr:spPr>
                <a:xfrm>
                  <a:off x="6168463" y="487822"/>
                  <a:ext cx="2433319" cy="7227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5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EA PLAY SEASON PASS</a:t>
                  </a:r>
                  <a:endParaRPr lang="pt-BR" sz="1600" b="1">
                    <a:solidFill>
                      <a:sysClr val="windowText" lastClr="000000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38">
              <xdr:nvSpPr>
                <xdr:cNvPr id="34" name="Retângulo: Cantos Arredondados 33">
                  <a:extLst>
                    <a:ext uri="{FF2B5EF4-FFF2-40B4-BE49-F238E27FC236}">
                      <a16:creationId xmlns:a16="http://schemas.microsoft.com/office/drawing/2014/main" id="{75CAF938-5DBB-4368-96EA-18F8AAA7A48C}"/>
                    </a:ext>
                  </a:extLst>
                </xdr:cNvPr>
                <xdr:cNvSpPr/>
              </xdr:nvSpPr>
              <xdr:spPr>
                <a:xfrm>
                  <a:off x="6527702" y="1213363"/>
                  <a:ext cx="1686321" cy="549923"/>
                </a:xfrm>
                <a:prstGeom prst="roundRect">
                  <a:avLst/>
                </a:prstGeom>
                <a:solidFill>
                  <a:srgbClr val="5BF6A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985545B-F531-4991-977B-CAE14777E576}" type="TxLink">
                    <a:rPr lang="en-US" sz="1400" b="1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R$ 0,00</a:t>
                  </a:fld>
                  <a:endParaRPr lang="en-US" sz="4000" b="1">
                    <a:solidFill>
                      <a:schemeClr val="tx1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31" name="Retângulo: Cantos Arredondados 30">
                <a:extLst>
                  <a:ext uri="{FF2B5EF4-FFF2-40B4-BE49-F238E27FC236}">
                    <a16:creationId xmlns:a16="http://schemas.microsoft.com/office/drawing/2014/main" id="{774436F8-F176-42B4-B5CC-0EDAC30E3518}"/>
                  </a:ext>
                </a:extLst>
              </xdr:cNvPr>
              <xdr:cNvSpPr/>
            </xdr:nvSpPr>
            <xdr:spPr>
              <a:xfrm>
                <a:off x="4857750" y="1031313"/>
                <a:ext cx="2438797" cy="5497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19618631-AE89-4200-8EF6-70232DAE5586}"/>
                </a:ext>
              </a:extLst>
            </xdr:cNvPr>
            <xdr:cNvSpPr/>
          </xdr:nvSpPr>
          <xdr:spPr>
            <a:xfrm>
              <a:off x="4969941" y="1172623"/>
              <a:ext cx="2129457" cy="1674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baseline="0">
                  <a:solidFill>
                    <a:srgbClr val="22C55E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pt-BR" sz="2000" b="1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FEAE982-B580-4CD6-A3E1-8571BFE0F7D8}"/>
              </a:ext>
            </a:extLst>
          </xdr:cNvPr>
          <xdr:cNvGrpSpPr/>
        </xdr:nvGrpSpPr>
        <xdr:grpSpPr>
          <a:xfrm>
            <a:off x="10046097" y="1035493"/>
            <a:ext cx="2099250" cy="1813163"/>
            <a:chOff x="4857305" y="1031314"/>
            <a:chExt cx="2324545" cy="1607113"/>
          </a:xfrm>
        </xdr:grpSpPr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E3F5576D-1B89-4927-8106-A769A6CFF225}"/>
                </a:ext>
              </a:extLst>
            </xdr:cNvPr>
            <xdr:cNvGrpSpPr/>
          </xdr:nvGrpSpPr>
          <xdr:grpSpPr>
            <a:xfrm>
              <a:off x="4857305" y="1031314"/>
              <a:ext cx="2324545" cy="1607113"/>
              <a:chOff x="4857305" y="1031313"/>
              <a:chExt cx="2440440" cy="1749434"/>
            </a:xfrm>
          </xdr:grpSpPr>
          <xdr:grpSp>
            <xdr:nvGrpSpPr>
              <xdr:cNvPr id="23" name="Agrupar 22">
                <a:extLst>
                  <a:ext uri="{FF2B5EF4-FFF2-40B4-BE49-F238E27FC236}">
                    <a16:creationId xmlns:a16="http://schemas.microsoft.com/office/drawing/2014/main" id="{771D2C8E-BAC4-4E41-9CE5-EC1726F3B40A}"/>
                  </a:ext>
                </a:extLst>
              </xdr:cNvPr>
              <xdr:cNvGrpSpPr/>
            </xdr:nvGrpSpPr>
            <xdr:grpSpPr>
              <a:xfrm>
                <a:off x="4857305" y="1381020"/>
                <a:ext cx="2440440" cy="1399727"/>
                <a:chOff x="6168018" y="487822"/>
                <a:chExt cx="2435155" cy="1346786"/>
              </a:xfrm>
            </xdr:grpSpPr>
            <xdr:sp macro="" textlink="">
              <xdr:nvSpPr>
                <xdr:cNvPr id="25" name="Retângulo: Cantos Arredondados 24">
                  <a:extLst>
                    <a:ext uri="{FF2B5EF4-FFF2-40B4-BE49-F238E27FC236}">
                      <a16:creationId xmlns:a16="http://schemas.microsoft.com/office/drawing/2014/main" id="{7EA821B3-6BC4-4361-8882-025224BB7624}"/>
                    </a:ext>
                  </a:extLst>
                </xdr:cNvPr>
                <xdr:cNvSpPr/>
              </xdr:nvSpPr>
              <xdr:spPr>
                <a:xfrm>
                  <a:off x="6168018" y="947388"/>
                  <a:ext cx="2435155" cy="887220"/>
                </a:xfrm>
                <a:prstGeom prst="roundRect">
                  <a:avLst>
                    <a:gd name="adj" fmla="val 7763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6" name="Retângulo: Cantos Arredondados 25">
                  <a:extLst>
                    <a:ext uri="{FF2B5EF4-FFF2-40B4-BE49-F238E27FC236}">
                      <a16:creationId xmlns:a16="http://schemas.microsoft.com/office/drawing/2014/main" id="{B5BEAF4A-48F6-4F03-B856-B6CE1CDFE485}"/>
                    </a:ext>
                  </a:extLst>
                </xdr:cNvPr>
                <xdr:cNvSpPr/>
              </xdr:nvSpPr>
              <xdr:spPr>
                <a:xfrm>
                  <a:off x="6168463" y="487822"/>
                  <a:ext cx="2433319" cy="7227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500" b="1" baseline="0">
                      <a:solidFill>
                        <a:sysClr val="windowText" lastClr="000000"/>
                      </a:solidFill>
                      <a:effectLst/>
                      <a:latin typeface="Segoe UI" panose="020B0502040204020203" pitchFamily="34" charset="0"/>
                      <a:cs typeface="Segoe UI" panose="020B0502040204020203" pitchFamily="34" charset="0"/>
                    </a:rPr>
                    <a:t>MINECRAFT SEASON PASS</a:t>
                  </a:r>
                  <a:endParaRPr lang="pt-BR" sz="1600" b="1">
                    <a:solidFill>
                      <a:sysClr val="windowText" lastClr="000000"/>
                    </a:solidFill>
                    <a:effectLst/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53">
              <xdr:nvSpPr>
                <xdr:cNvPr id="27" name="Retângulo: Cantos Arredondados 26">
                  <a:extLst>
                    <a:ext uri="{FF2B5EF4-FFF2-40B4-BE49-F238E27FC236}">
                      <a16:creationId xmlns:a16="http://schemas.microsoft.com/office/drawing/2014/main" id="{6AEF9102-2693-4611-86D2-8B1652146184}"/>
                    </a:ext>
                  </a:extLst>
                </xdr:cNvPr>
                <xdr:cNvSpPr/>
              </xdr:nvSpPr>
              <xdr:spPr>
                <a:xfrm>
                  <a:off x="6527702" y="1213363"/>
                  <a:ext cx="1686321" cy="549923"/>
                </a:xfrm>
                <a:prstGeom prst="roundRect">
                  <a:avLst/>
                </a:prstGeom>
                <a:solidFill>
                  <a:srgbClr val="5BF6A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4D9B131-D00B-4F35-994B-25397D5CCF18}" type="TxLink">
                    <a:rPr lang="en-US" sz="1400" b="1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R$ 3.880,00</a:t>
                  </a:fld>
                  <a:endParaRPr lang="en-US" sz="4000" b="1">
                    <a:solidFill>
                      <a:schemeClr val="tx1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sp macro="" textlink="">
            <xdr:nvSpPr>
              <xdr:cNvPr id="24" name="Retângulo: Cantos Arredondados 23">
                <a:extLst>
                  <a:ext uri="{FF2B5EF4-FFF2-40B4-BE49-F238E27FC236}">
                    <a16:creationId xmlns:a16="http://schemas.microsoft.com/office/drawing/2014/main" id="{A35A1734-1F58-4E14-94AA-68A5E8083BE5}"/>
                  </a:ext>
                </a:extLst>
              </xdr:cNvPr>
              <xdr:cNvSpPr/>
            </xdr:nvSpPr>
            <xdr:spPr>
              <a:xfrm>
                <a:off x="4857750" y="1031313"/>
                <a:ext cx="2438797" cy="5497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607B656-EE6B-453C-9872-FC5469774B2E}"/>
                </a:ext>
              </a:extLst>
            </xdr:cNvPr>
            <xdr:cNvSpPr/>
          </xdr:nvSpPr>
          <xdr:spPr>
            <a:xfrm>
              <a:off x="4969941" y="1172623"/>
              <a:ext cx="2129457" cy="1674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baseline="0">
                  <a:solidFill>
                    <a:srgbClr val="22C55E"/>
                  </a:solidFill>
                  <a:effectLst/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pt-BR" sz="2000" b="1">
                <a:solidFill>
                  <a:srgbClr val="22C55E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9</xdr:col>
      <xdr:colOff>262424</xdr:colOff>
      <xdr:row>12</xdr:row>
      <xdr:rowOff>194389</xdr:rowOff>
    </xdr:from>
    <xdr:to>
      <xdr:col>12</xdr:col>
      <xdr:colOff>476250</xdr:colOff>
      <xdr:row>16</xdr:row>
      <xdr:rowOff>103651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DB363AF6-5084-4C0E-ABD2-0B98396C287A}"/>
            </a:ext>
          </a:extLst>
        </xdr:cNvPr>
        <xdr:cNvGrpSpPr/>
      </xdr:nvGrpSpPr>
      <xdr:grpSpPr>
        <a:xfrm>
          <a:off x="4977299" y="2813764"/>
          <a:ext cx="2099776" cy="928437"/>
          <a:chOff x="2125249" y="849617"/>
          <a:chExt cx="3256325" cy="104376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43123A5B-F585-45C4-8F4C-53CB22F7E0C9}"/>
              </a:ext>
            </a:extLst>
          </xdr:cNvPr>
          <xdr:cNvSpPr/>
        </xdr:nvSpPr>
        <xdr:spPr>
          <a:xfrm>
            <a:off x="2131510" y="1014992"/>
            <a:ext cx="3235016" cy="878392"/>
          </a:xfrm>
          <a:prstGeom prst="roundRect">
            <a:avLst>
              <a:gd name="adj" fmla="val 776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C7307BBB-E250-4DFE-8B25-8DB730F68A42}"/>
              </a:ext>
            </a:extLst>
          </xdr:cNvPr>
          <xdr:cNvSpPr/>
        </xdr:nvSpPr>
        <xdr:spPr>
          <a:xfrm>
            <a:off x="2125249" y="849617"/>
            <a:ext cx="3256325" cy="80489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QUANTIDADE DE ASSINATURAS</a:t>
            </a:r>
          </a:p>
        </xdr:txBody>
      </xdr:sp>
      <xdr:sp macro="" textlink="C̳álculos!N31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295FF206-3B59-467D-B49B-15588660FD39}"/>
              </a:ext>
            </a:extLst>
          </xdr:cNvPr>
          <xdr:cNvSpPr/>
        </xdr:nvSpPr>
        <xdr:spPr>
          <a:xfrm>
            <a:off x="2345743" y="1484871"/>
            <a:ext cx="2804212" cy="316464"/>
          </a:xfrm>
          <a:prstGeom prst="round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4B9A794-8236-4FDE-ADC5-B51DD9E44D6C}" type="TxLink">
              <a:rPr lang="en-US" sz="1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295</a:t>
            </a:fld>
            <a:endParaRPr lang="en-US" sz="1800" b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185739</xdr:colOff>
      <xdr:row>12</xdr:row>
      <xdr:rowOff>174949</xdr:rowOff>
    </xdr:from>
    <xdr:to>
      <xdr:col>16</xdr:col>
      <xdr:colOff>395288</xdr:colOff>
      <xdr:row>16</xdr:row>
      <xdr:rowOff>81822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7523BD9B-9F34-4659-96F6-BB4FE5894A96}"/>
            </a:ext>
          </a:extLst>
        </xdr:cNvPr>
        <xdr:cNvGrpSpPr/>
      </xdr:nvGrpSpPr>
      <xdr:grpSpPr>
        <a:xfrm>
          <a:off x="7472364" y="2794324"/>
          <a:ext cx="2085974" cy="926048"/>
          <a:chOff x="2131510" y="852177"/>
          <a:chExt cx="3235016" cy="1041207"/>
        </a:xfrm>
      </xdr:grpSpPr>
      <xdr:sp macro="" textlink="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3ACF7AB2-4CA8-4872-97F9-AC13EFF5DDB9}"/>
              </a:ext>
            </a:extLst>
          </xdr:cNvPr>
          <xdr:cNvSpPr/>
        </xdr:nvSpPr>
        <xdr:spPr>
          <a:xfrm>
            <a:off x="2131510" y="1014992"/>
            <a:ext cx="3235016" cy="878392"/>
          </a:xfrm>
          <a:prstGeom prst="roundRect">
            <a:avLst>
              <a:gd name="adj" fmla="val 776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Retângulo: Cantos Arredondados 54">
            <a:extLst>
              <a:ext uri="{FF2B5EF4-FFF2-40B4-BE49-F238E27FC236}">
                <a16:creationId xmlns:a16="http://schemas.microsoft.com/office/drawing/2014/main" id="{539EF566-04A5-48C7-9FBC-81A9797DAC70}"/>
              </a:ext>
            </a:extLst>
          </xdr:cNvPr>
          <xdr:cNvSpPr/>
        </xdr:nvSpPr>
        <xdr:spPr>
          <a:xfrm>
            <a:off x="2169612" y="852177"/>
            <a:ext cx="3112376" cy="78295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QUANTIDADE</a:t>
            </a:r>
            <a:r>
              <a:rPr lang="pt-BR" sz="1200" b="1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 DE </a:t>
            </a:r>
            <a:r>
              <a:rPr lang="pt-BR" sz="1050" b="1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ASSINATURAS</a:t>
            </a:r>
            <a:endParaRPr lang="pt-BR" sz="1200" b="1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38">
        <xdr:nvSpPr>
          <xdr:cNvPr id="56" name="Retângulo: Cantos Arredondados 55">
            <a:extLst>
              <a:ext uri="{FF2B5EF4-FFF2-40B4-BE49-F238E27FC236}">
                <a16:creationId xmlns:a16="http://schemas.microsoft.com/office/drawing/2014/main" id="{13299B5B-E159-452F-B19A-8BDD2209F075}"/>
              </a:ext>
            </a:extLst>
          </xdr:cNvPr>
          <xdr:cNvSpPr/>
        </xdr:nvSpPr>
        <xdr:spPr>
          <a:xfrm>
            <a:off x="2345743" y="1484871"/>
            <a:ext cx="2804212" cy="316464"/>
          </a:xfrm>
          <a:prstGeom prst="round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782CFDE-3FC5-4759-AF5A-6817A36C6940}" type="TxLink">
              <a:rPr lang="en-US" sz="1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101</a:t>
            </a:fld>
            <a:endParaRPr lang="en-US" sz="18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17</xdr:col>
      <xdr:colOff>161703</xdr:colOff>
      <xdr:row>12</xdr:row>
      <xdr:rowOff>213827</xdr:rowOff>
    </xdr:from>
    <xdr:to>
      <xdr:col>20</xdr:col>
      <xdr:colOff>190277</xdr:colOff>
      <xdr:row>16</xdr:row>
      <xdr:rowOff>81824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DBF224FB-B026-406A-A3B1-5D7FEDF6AAE4}"/>
            </a:ext>
          </a:extLst>
        </xdr:cNvPr>
        <xdr:cNvGrpSpPr/>
      </xdr:nvGrpSpPr>
      <xdr:grpSpPr>
        <a:xfrm>
          <a:off x="10010553" y="2833202"/>
          <a:ext cx="2085974" cy="887172"/>
          <a:chOff x="2131510" y="896287"/>
          <a:chExt cx="3235016" cy="997097"/>
        </a:xfrm>
      </xdr:grpSpPr>
      <xdr:sp macro="" textlink="">
        <xdr:nvSpPr>
          <xdr:cNvPr id="58" name="Retângulo: Cantos Arredondados 57">
            <a:extLst>
              <a:ext uri="{FF2B5EF4-FFF2-40B4-BE49-F238E27FC236}">
                <a16:creationId xmlns:a16="http://schemas.microsoft.com/office/drawing/2014/main" id="{9A55FE81-67F9-479B-846C-A4023F9F0A16}"/>
              </a:ext>
            </a:extLst>
          </xdr:cNvPr>
          <xdr:cNvSpPr/>
        </xdr:nvSpPr>
        <xdr:spPr>
          <a:xfrm>
            <a:off x="2131510" y="1014992"/>
            <a:ext cx="3235016" cy="878392"/>
          </a:xfrm>
          <a:prstGeom prst="roundRect">
            <a:avLst>
              <a:gd name="adj" fmla="val 776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9F43A50F-AFD4-44C7-AD3F-02E7472F3EE3}"/>
              </a:ext>
            </a:extLst>
          </xdr:cNvPr>
          <xdr:cNvSpPr/>
        </xdr:nvSpPr>
        <xdr:spPr>
          <a:xfrm>
            <a:off x="2169611" y="896287"/>
            <a:ext cx="3112376" cy="72781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QUANTIDADE</a:t>
            </a:r>
            <a:r>
              <a:rPr lang="pt-BR" sz="1200" b="1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 DE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ASSINATURAS</a:t>
            </a:r>
            <a:endParaRPr lang="pt-BR" sz="1200" b="1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53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4279B509-D129-4A79-A40C-5CDCC5540720}"/>
              </a:ext>
            </a:extLst>
          </xdr:cNvPr>
          <xdr:cNvSpPr/>
        </xdr:nvSpPr>
        <xdr:spPr>
          <a:xfrm>
            <a:off x="2345743" y="1484871"/>
            <a:ext cx="2804212" cy="316464"/>
          </a:xfrm>
          <a:prstGeom prst="round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F9E8DF-2270-40D9-9E0A-BB3885770BBC}" type="TxLink">
              <a:rPr lang="en-US" sz="140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194</a:t>
            </a:fld>
            <a:endParaRPr lang="en-US" sz="1800" b="1" i="0" u="none" strike="noStrike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77755</xdr:colOff>
      <xdr:row>9</xdr:row>
      <xdr:rowOff>226753</xdr:rowOff>
    </xdr:from>
    <xdr:to>
      <xdr:col>13</xdr:col>
      <xdr:colOff>187289</xdr:colOff>
      <xdr:row>14</xdr:row>
      <xdr:rowOff>106719</xdr:rowOff>
    </xdr:to>
    <xdr:sp macro="" textlink="">
      <xdr:nvSpPr>
        <xdr:cNvPr id="61" name="Colchete Esquerdo 60">
          <a:extLst>
            <a:ext uri="{FF2B5EF4-FFF2-40B4-BE49-F238E27FC236}">
              <a16:creationId xmlns:a16="http://schemas.microsoft.com/office/drawing/2014/main" id="{3EC3C757-6BBC-4E5A-982D-09AB0E62D771}"/>
            </a:ext>
          </a:extLst>
        </xdr:cNvPr>
        <xdr:cNvSpPr/>
      </xdr:nvSpPr>
      <xdr:spPr>
        <a:xfrm>
          <a:off x="7364380" y="192220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48598</xdr:colOff>
      <xdr:row>9</xdr:row>
      <xdr:rowOff>226753</xdr:rowOff>
    </xdr:from>
    <xdr:to>
      <xdr:col>17</xdr:col>
      <xdr:colOff>158132</xdr:colOff>
      <xdr:row>14</xdr:row>
      <xdr:rowOff>106719</xdr:rowOff>
    </xdr:to>
    <xdr:sp macro="" textlink="">
      <xdr:nvSpPr>
        <xdr:cNvPr id="62" name="Colchete Esquerdo 61">
          <a:extLst>
            <a:ext uri="{FF2B5EF4-FFF2-40B4-BE49-F238E27FC236}">
              <a16:creationId xmlns:a16="http://schemas.microsoft.com/office/drawing/2014/main" id="{659AEE8E-AD69-4BD5-AAFE-E24BEBCE0E63}"/>
            </a:ext>
          </a:extLst>
        </xdr:cNvPr>
        <xdr:cNvSpPr/>
      </xdr:nvSpPr>
      <xdr:spPr>
        <a:xfrm>
          <a:off x="9897448" y="192220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126352</xdr:colOff>
      <xdr:row>9</xdr:row>
      <xdr:rowOff>226753</xdr:rowOff>
    </xdr:from>
    <xdr:to>
      <xdr:col>9</xdr:col>
      <xdr:colOff>235886</xdr:colOff>
      <xdr:row>14</xdr:row>
      <xdr:rowOff>106719</xdr:rowOff>
    </xdr:to>
    <xdr:sp macro="" textlink="">
      <xdr:nvSpPr>
        <xdr:cNvPr id="63" name="Colchete Esquerdo 62">
          <a:extLst>
            <a:ext uri="{FF2B5EF4-FFF2-40B4-BE49-F238E27FC236}">
              <a16:creationId xmlns:a16="http://schemas.microsoft.com/office/drawing/2014/main" id="{999ED970-B9D2-4F49-A438-F119F877B436}"/>
            </a:ext>
          </a:extLst>
        </xdr:cNvPr>
        <xdr:cNvSpPr/>
      </xdr:nvSpPr>
      <xdr:spPr>
        <a:xfrm>
          <a:off x="4841227" y="192220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23</xdr:row>
      <xdr:rowOff>180975</xdr:rowOff>
    </xdr:from>
    <xdr:to>
      <xdr:col>1</xdr:col>
      <xdr:colOff>0</xdr:colOff>
      <xdr:row>24</xdr:row>
      <xdr:rowOff>179552</xdr:rowOff>
    </xdr:to>
    <xdr:sp macro="" textlink="">
      <xdr:nvSpPr>
        <xdr:cNvPr id="67" name="Retângulo: Cantos Arredondados 6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0BCC2F-BCC8-416B-ACDC-6C5B4EBDE64F}"/>
            </a:ext>
          </a:extLst>
        </xdr:cNvPr>
        <xdr:cNvSpPr/>
      </xdr:nvSpPr>
      <xdr:spPr>
        <a:xfrm>
          <a:off x="0" y="5086350"/>
          <a:ext cx="1628775" cy="25575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MAIS</a:t>
          </a:r>
          <a:r>
            <a:rPr lang="pt-BR" sz="1000" b="1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DETALHAMENTO</a:t>
          </a:r>
        </a:p>
      </xdr:txBody>
    </xdr:sp>
    <xdr:clientData/>
  </xdr:twoCellAnchor>
  <xdr:twoCellAnchor>
    <xdr:from>
      <xdr:col>0</xdr:col>
      <xdr:colOff>95250</xdr:colOff>
      <xdr:row>14</xdr:row>
      <xdr:rowOff>171449</xdr:rowOff>
    </xdr:from>
    <xdr:to>
      <xdr:col>0</xdr:col>
      <xdr:colOff>1552575</xdr:colOff>
      <xdr:row>20</xdr:row>
      <xdr:rowOff>95250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1035945F-5EBB-448D-A7A0-345F908BFDC1}"/>
            </a:ext>
          </a:extLst>
        </xdr:cNvPr>
        <xdr:cNvGrpSpPr/>
      </xdr:nvGrpSpPr>
      <xdr:grpSpPr>
        <a:xfrm>
          <a:off x="95250" y="3238499"/>
          <a:ext cx="1457325" cy="1209676"/>
          <a:chOff x="114300" y="2600324"/>
          <a:chExt cx="1457325" cy="1209676"/>
        </a:xfrm>
      </xdr:grpSpPr>
      <xdr:sp macro="" textlink="EXTRA!C7">
        <xdr:nvSpPr>
          <xdr:cNvPr id="68" name="Balão de Fala: Retângulo 67">
            <a:extLst>
              <a:ext uri="{FF2B5EF4-FFF2-40B4-BE49-F238E27FC236}">
                <a16:creationId xmlns:a16="http://schemas.microsoft.com/office/drawing/2014/main" id="{C46365EE-6EC0-4C16-B62D-C5F0528FA0FD}"/>
              </a:ext>
            </a:extLst>
          </xdr:cNvPr>
          <xdr:cNvSpPr/>
        </xdr:nvSpPr>
        <xdr:spPr>
          <a:xfrm>
            <a:off x="114300" y="2857500"/>
            <a:ext cx="1438275" cy="952500"/>
          </a:xfrm>
          <a:prstGeom prst="wedgeRectCallou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E6F6F2A-E7D0-4F80-8C36-3789C5792A83}" type="TxLink">
              <a:rPr lang="en-US" sz="1100" b="0" i="0" u="none" strike="noStrike">
                <a:solidFill>
                  <a:srgbClr val="000000"/>
                </a:solidFill>
                <a:latin typeface="Aptos Narrow"/>
              </a:rPr>
              <a:pPr algn="ctr"/>
              <a:t>Outubro foi o mês mais lucrativo com 31 assinaturas sendo 11 modalidade Ultimate. 832 reais.</a:t>
            </a:fld>
            <a:endParaRPr lang="pt-BR" sz="1100"/>
          </a:p>
        </xdr:txBody>
      </xdr:sp>
      <xdr:sp macro="" textlink="">
        <xdr:nvSpPr>
          <xdr:cNvPr id="69" name="Retângulo: Cantos Arredondados 68">
            <a:extLst>
              <a:ext uri="{FF2B5EF4-FFF2-40B4-BE49-F238E27FC236}">
                <a16:creationId xmlns:a16="http://schemas.microsoft.com/office/drawing/2014/main" id="{B6990CDD-AB9E-4FD4-A4A7-D2C65AC06A99}"/>
              </a:ext>
            </a:extLst>
          </xdr:cNvPr>
          <xdr:cNvSpPr/>
        </xdr:nvSpPr>
        <xdr:spPr>
          <a:xfrm>
            <a:off x="114300" y="2600324"/>
            <a:ext cx="1457325" cy="2571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Insights Atual</a:t>
            </a:r>
          </a:p>
        </xdr:txBody>
      </xdr:sp>
    </xdr:grpSp>
    <xdr:clientData/>
  </xdr:twoCellAnchor>
  <xdr:twoCellAnchor editAs="absolute">
    <xdr:from>
      <xdr:col>0</xdr:col>
      <xdr:colOff>0</xdr:colOff>
      <xdr:row>7</xdr:row>
      <xdr:rowOff>39851</xdr:rowOff>
    </xdr:from>
    <xdr:to>
      <xdr:col>0</xdr:col>
      <xdr:colOff>1543050</xdr:colOff>
      <xdr:row>11</xdr:row>
      <xdr:rowOff>180975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9352542-6383-47FF-9810-E1A852927223}"/>
            </a:ext>
          </a:extLst>
        </xdr:cNvPr>
        <xdr:cNvSpPr/>
      </xdr:nvSpPr>
      <xdr:spPr>
        <a:xfrm>
          <a:off x="0" y="1344776"/>
          <a:ext cx="1543050" cy="1150774"/>
        </a:xfrm>
        <a:prstGeom prst="rect">
          <a:avLst/>
        </a:prstGeom>
        <a:noFill/>
        <a:ln>
          <a:solidFill>
            <a:srgbClr val="22C55E"/>
          </a:solidFill>
        </a:ln>
        <a:effectLst>
          <a:glow rad="241300">
            <a:schemeClr val="accent6">
              <a:satMod val="175000"/>
              <a:alpha val="28000"/>
            </a:schemeClr>
          </a:glow>
          <a:outerShdw blurRad="114300" sx="104000" sy="104000" algn="ctr" rotWithShape="0">
            <a:srgbClr val="22C55E">
              <a:alpha val="4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438150</xdr:colOff>
      <xdr:row>9</xdr:row>
      <xdr:rowOff>180975</xdr:rowOff>
    </xdr:from>
    <xdr:to>
      <xdr:col>7</xdr:col>
      <xdr:colOff>85725</xdr:colOff>
      <xdr:row>10</xdr:row>
      <xdr:rowOff>43792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93BB3D71-E0B1-4DAF-A9E7-D69BC0B583B3}"/>
            </a:ext>
          </a:extLst>
        </xdr:cNvPr>
        <xdr:cNvSpPr/>
      </xdr:nvSpPr>
      <xdr:spPr>
        <a:xfrm>
          <a:off x="2676525" y="1876425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1</xdr:colOff>
      <xdr:row>25</xdr:row>
      <xdr:rowOff>9525</xdr:rowOff>
    </xdr:from>
    <xdr:to>
      <xdr:col>0</xdr:col>
      <xdr:colOff>1562101</xdr:colOff>
      <xdr:row>26</xdr:row>
      <xdr:rowOff>84302</xdr:rowOff>
    </xdr:to>
    <xdr:sp macro="" textlink="">
      <xdr:nvSpPr>
        <xdr:cNvPr id="70" name="Retângulo: Cantos Arredondados 6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FA507A-17F3-4FF5-BA0F-353CCA8B3D3C}"/>
            </a:ext>
          </a:extLst>
        </xdr:cNvPr>
        <xdr:cNvSpPr/>
      </xdr:nvSpPr>
      <xdr:spPr>
        <a:xfrm>
          <a:off x="1" y="5429250"/>
          <a:ext cx="1562100" cy="25575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TELA</a:t>
          </a:r>
          <a:r>
            <a:rPr lang="pt-BR" sz="1000" b="1" baseline="0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 DE INÍCIO</a:t>
          </a:r>
          <a:endParaRPr lang="pt-BR" sz="1000" b="1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19050</xdr:rowOff>
    </xdr:from>
    <xdr:to>
      <xdr:col>0</xdr:col>
      <xdr:colOff>1602965</xdr:colOff>
      <xdr:row>14</xdr:row>
      <xdr:rowOff>302342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9" name="Subscription Type 1">
              <a:extLst>
                <a:ext uri="{FF2B5EF4-FFF2-40B4-BE49-F238E27FC236}">
                  <a16:creationId xmlns:a16="http://schemas.microsoft.com/office/drawing/2014/main" id="{3470CCD0-DC5E-494D-87D5-34E0D916FB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23975"/>
              <a:ext cx="1564865" cy="2045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458277</xdr:colOff>
      <xdr:row>0</xdr:row>
      <xdr:rowOff>139390</xdr:rowOff>
    </xdr:from>
    <xdr:to>
      <xdr:col>0</xdr:col>
      <xdr:colOff>1201692</xdr:colOff>
      <xdr:row>4</xdr:row>
      <xdr:rowOff>81310</xdr:rowOff>
    </xdr:to>
    <xdr:sp macro="" textlink="">
      <xdr:nvSpPr>
        <xdr:cNvPr id="2" name="Fluxograma: Conector 1">
          <a:extLst>
            <a:ext uri="{FF2B5EF4-FFF2-40B4-BE49-F238E27FC236}">
              <a16:creationId xmlns:a16="http://schemas.microsoft.com/office/drawing/2014/main" id="{75A69860-B595-4794-B6B2-11C9DA046F01}"/>
            </a:ext>
          </a:extLst>
        </xdr:cNvPr>
        <xdr:cNvSpPr/>
      </xdr:nvSpPr>
      <xdr:spPr>
        <a:xfrm>
          <a:off x="458277" y="139390"/>
          <a:ext cx="743415" cy="665820"/>
        </a:xfrm>
        <a:prstGeom prst="flowChartConnector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137532</xdr:colOff>
      <xdr:row>0</xdr:row>
      <xdr:rowOff>99260</xdr:rowOff>
    </xdr:from>
    <xdr:to>
      <xdr:col>7</xdr:col>
      <xdr:colOff>190500</xdr:colOff>
      <xdr:row>4</xdr:row>
      <xdr:rowOff>146956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3AEF1EF-D446-492C-AC48-62EA9C95B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007" y="99260"/>
          <a:ext cx="2329443" cy="771596"/>
        </a:xfrm>
        <a:prstGeom prst="rect">
          <a:avLst/>
        </a:prstGeom>
      </xdr:spPr>
    </xdr:pic>
    <xdr:clientData/>
  </xdr:twoCellAnchor>
  <xdr:twoCellAnchor>
    <xdr:from>
      <xdr:col>4</xdr:col>
      <xdr:colOff>490787</xdr:colOff>
      <xdr:row>1</xdr:row>
      <xdr:rowOff>98250</xdr:rowOff>
    </xdr:from>
    <xdr:to>
      <xdr:col>18</xdr:col>
      <xdr:colOff>171450</xdr:colOff>
      <xdr:row>3</xdr:row>
      <xdr:rowOff>109866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A342DE2-9A8B-4658-9358-67B3CF405E2C}"/>
            </a:ext>
          </a:extLst>
        </xdr:cNvPr>
        <xdr:cNvSpPr/>
      </xdr:nvSpPr>
      <xdr:spPr>
        <a:xfrm>
          <a:off x="3414962" y="279225"/>
          <a:ext cx="7291138" cy="3735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 baseline="0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GAME PASS RESULTADOS DE VENDAS 2024</a:t>
          </a:r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447676</xdr:colOff>
      <xdr:row>0</xdr:row>
      <xdr:rowOff>133350</xdr:rowOff>
    </xdr:from>
    <xdr:to>
      <xdr:col>0</xdr:col>
      <xdr:colOff>1209676</xdr:colOff>
      <xdr:row>4</xdr:row>
      <xdr:rowOff>114300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5B205FDD-593A-4BAD-B5B3-C19FC504C13F}"/>
            </a:ext>
          </a:extLst>
        </xdr:cNvPr>
        <xdr:cNvSpPr/>
      </xdr:nvSpPr>
      <xdr:spPr>
        <a:xfrm>
          <a:off x="447676" y="133350"/>
          <a:ext cx="762000" cy="70485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247649</xdr:colOff>
      <xdr:row>8</xdr:row>
      <xdr:rowOff>85724</xdr:rowOff>
    </xdr:from>
    <xdr:to>
      <xdr:col>16</xdr:col>
      <xdr:colOff>514350</xdr:colOff>
      <xdr:row>9</xdr:row>
      <xdr:rowOff>295274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6C85236-AE94-42FE-BB2F-A28986AA41F6}"/>
            </a:ext>
          </a:extLst>
        </xdr:cNvPr>
        <xdr:cNvSpPr/>
      </xdr:nvSpPr>
      <xdr:spPr>
        <a:xfrm>
          <a:off x="6162674" y="1600199"/>
          <a:ext cx="3514726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258925</xdr:colOff>
      <xdr:row>6</xdr:row>
      <xdr:rowOff>141028</xdr:rowOff>
    </xdr:from>
    <xdr:to>
      <xdr:col>3</xdr:col>
      <xdr:colOff>25559</xdr:colOff>
      <xdr:row>11</xdr:row>
      <xdr:rowOff>201969</xdr:rowOff>
    </xdr:to>
    <xdr:sp macro="" textlink="">
      <xdr:nvSpPr>
        <xdr:cNvPr id="7" name="Colchete Esquerdo 6">
          <a:extLst>
            <a:ext uri="{FF2B5EF4-FFF2-40B4-BE49-F238E27FC236}">
              <a16:creationId xmlns:a16="http://schemas.microsoft.com/office/drawing/2014/main" id="{6691007C-00A9-4E09-A275-079F26D091E2}"/>
            </a:ext>
          </a:extLst>
        </xdr:cNvPr>
        <xdr:cNvSpPr/>
      </xdr:nvSpPr>
      <xdr:spPr>
        <a:xfrm>
          <a:off x="2154400" y="1264978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249205</xdr:colOff>
      <xdr:row>11</xdr:row>
      <xdr:rowOff>198178</xdr:rowOff>
    </xdr:from>
    <xdr:to>
      <xdr:col>3</xdr:col>
      <xdr:colOff>15839</xdr:colOff>
      <xdr:row>16</xdr:row>
      <xdr:rowOff>125769</xdr:rowOff>
    </xdr:to>
    <xdr:sp macro="" textlink="">
      <xdr:nvSpPr>
        <xdr:cNvPr id="59" name="Colchete Esquerdo 58">
          <a:extLst>
            <a:ext uri="{FF2B5EF4-FFF2-40B4-BE49-F238E27FC236}">
              <a16:creationId xmlns:a16="http://schemas.microsoft.com/office/drawing/2014/main" id="{6C3BBA2A-F535-44BC-87B0-4029B3790930}"/>
            </a:ext>
          </a:extLst>
        </xdr:cNvPr>
        <xdr:cNvSpPr/>
      </xdr:nvSpPr>
      <xdr:spPr>
        <a:xfrm>
          <a:off x="2144680" y="2512753"/>
          <a:ext cx="109534" cy="12515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257175</xdr:colOff>
      <xdr:row>16</xdr:row>
      <xdr:rowOff>121978</xdr:rowOff>
    </xdr:from>
    <xdr:to>
      <xdr:col>3</xdr:col>
      <xdr:colOff>26336</xdr:colOff>
      <xdr:row>22</xdr:row>
      <xdr:rowOff>95250</xdr:rowOff>
    </xdr:to>
    <xdr:sp macro="" textlink="">
      <xdr:nvSpPr>
        <xdr:cNvPr id="61" name="Colchete Esquerdo 60">
          <a:extLst>
            <a:ext uri="{FF2B5EF4-FFF2-40B4-BE49-F238E27FC236}">
              <a16:creationId xmlns:a16="http://schemas.microsoft.com/office/drawing/2014/main" id="{B56F0D78-0196-4597-9288-937F56A73B1F}"/>
            </a:ext>
          </a:extLst>
        </xdr:cNvPr>
        <xdr:cNvSpPr/>
      </xdr:nvSpPr>
      <xdr:spPr>
        <a:xfrm>
          <a:off x="2152650" y="3760528"/>
          <a:ext cx="112061" cy="1049597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7</xdr:row>
      <xdr:rowOff>39851</xdr:rowOff>
    </xdr:from>
    <xdr:to>
      <xdr:col>0</xdr:col>
      <xdr:colOff>1543050</xdr:colOff>
      <xdr:row>11</xdr:row>
      <xdr:rowOff>180975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4570F44A-C581-4967-9A46-C7F6EC13377A}"/>
            </a:ext>
          </a:extLst>
        </xdr:cNvPr>
        <xdr:cNvSpPr/>
      </xdr:nvSpPr>
      <xdr:spPr>
        <a:xfrm>
          <a:off x="0" y="1344776"/>
          <a:ext cx="1543050" cy="1150774"/>
        </a:xfrm>
        <a:prstGeom prst="rect">
          <a:avLst/>
        </a:prstGeom>
        <a:noFill/>
        <a:ln>
          <a:solidFill>
            <a:srgbClr val="22C55E"/>
          </a:solidFill>
        </a:ln>
        <a:effectLst>
          <a:glow rad="241300">
            <a:schemeClr val="accent6">
              <a:satMod val="175000"/>
              <a:alpha val="28000"/>
            </a:schemeClr>
          </a:glow>
          <a:outerShdw blurRad="114300" sx="104000" sy="104000" algn="ctr" rotWithShape="0">
            <a:srgbClr val="22C55E">
              <a:alpha val="4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19050</xdr:colOff>
      <xdr:row>5</xdr:row>
      <xdr:rowOff>142875</xdr:rowOff>
    </xdr:from>
    <xdr:to>
      <xdr:col>9</xdr:col>
      <xdr:colOff>419100</xdr:colOff>
      <xdr:row>9</xdr:row>
      <xdr:rowOff>123825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D951E9A6-C670-4FAF-B36B-9BD5F0768C07}"/>
            </a:ext>
          </a:extLst>
        </xdr:cNvPr>
        <xdr:cNvSpPr/>
      </xdr:nvSpPr>
      <xdr:spPr>
        <a:xfrm>
          <a:off x="2257425" y="1047750"/>
          <a:ext cx="2876550" cy="771525"/>
        </a:xfrm>
        <a:prstGeom prst="roundRect">
          <a:avLst>
            <a:gd name="adj" fmla="val 776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51554</xdr:colOff>
      <xdr:row>6</xdr:row>
      <xdr:rowOff>2211</xdr:rowOff>
    </xdr:from>
    <xdr:to>
      <xdr:col>5</xdr:col>
      <xdr:colOff>361949</xdr:colOff>
      <xdr:row>9</xdr:row>
      <xdr:rowOff>62843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2BAAD7E9-C4D8-4E63-BF1A-C477642BD1C7}"/>
            </a:ext>
          </a:extLst>
        </xdr:cNvPr>
        <xdr:cNvSpPr/>
      </xdr:nvSpPr>
      <xdr:spPr>
        <a:xfrm>
          <a:off x="2289929" y="1126161"/>
          <a:ext cx="1681995" cy="63213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FATURAMENTO TOTAL</a:t>
          </a:r>
        </a:p>
      </xdr:txBody>
    </xdr:sp>
    <xdr:clientData/>
  </xdr:twoCellAnchor>
  <xdr:twoCellAnchor>
    <xdr:from>
      <xdr:col>6</xdr:col>
      <xdr:colOff>0</xdr:colOff>
      <xdr:row>6</xdr:row>
      <xdr:rowOff>6567</xdr:rowOff>
    </xdr:from>
    <xdr:to>
      <xdr:col>9</xdr:col>
      <xdr:colOff>378471</xdr:colOff>
      <xdr:row>9</xdr:row>
      <xdr:rowOff>58486</xdr:rowOff>
    </xdr:to>
    <xdr:sp macro="" textlink="C̳álculos!S66">
      <xdr:nvSpPr>
        <xdr:cNvPr id="76" name="Retângulo: Cantos Arredondados 75">
          <a:extLst>
            <a:ext uri="{FF2B5EF4-FFF2-40B4-BE49-F238E27FC236}">
              <a16:creationId xmlns:a16="http://schemas.microsoft.com/office/drawing/2014/main" id="{143A628D-7200-4F59-B798-1D6A5DE28A26}"/>
            </a:ext>
          </a:extLst>
        </xdr:cNvPr>
        <xdr:cNvSpPr/>
      </xdr:nvSpPr>
      <xdr:spPr>
        <a:xfrm>
          <a:off x="3971925" y="1130517"/>
          <a:ext cx="1121421" cy="623419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35298FB-D235-49FF-B86D-F31BDC76BD50}" type="TxLink">
            <a:rPr lang="en-US" sz="12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R$ 7.633,00</a:t>
          </a:fld>
          <a:endParaRPr lang="en-US" sz="12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76201</xdr:colOff>
      <xdr:row>8</xdr:row>
      <xdr:rowOff>76201</xdr:rowOff>
    </xdr:from>
    <xdr:to>
      <xdr:col>5</xdr:col>
      <xdr:colOff>285751</xdr:colOff>
      <xdr:row>9</xdr:row>
      <xdr:rowOff>186668</xdr:rowOff>
    </xdr:to>
    <xdr:sp macro="" textlink="">
      <xdr:nvSpPr>
        <xdr:cNvPr id="120" name="Retângulo: Cantos Arredondados 119">
          <a:extLst>
            <a:ext uri="{FF2B5EF4-FFF2-40B4-BE49-F238E27FC236}">
              <a16:creationId xmlns:a16="http://schemas.microsoft.com/office/drawing/2014/main" id="{3F809F57-192D-4310-B619-CFA53411E1D5}"/>
            </a:ext>
          </a:extLst>
        </xdr:cNvPr>
        <xdr:cNvSpPr/>
      </xdr:nvSpPr>
      <xdr:spPr>
        <a:xfrm>
          <a:off x="2314576" y="1590676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38101</xdr:colOff>
      <xdr:row>9</xdr:row>
      <xdr:rowOff>285750</xdr:rowOff>
    </xdr:from>
    <xdr:to>
      <xdr:col>9</xdr:col>
      <xdr:colOff>438151</xdr:colOff>
      <xdr:row>12</xdr:row>
      <xdr:rowOff>95250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2BCD29C7-3CDD-42CB-ACAC-15E84B82831C}"/>
            </a:ext>
          </a:extLst>
        </xdr:cNvPr>
        <xdr:cNvGrpSpPr/>
      </xdr:nvGrpSpPr>
      <xdr:grpSpPr>
        <a:xfrm>
          <a:off x="2276476" y="1981200"/>
          <a:ext cx="2876550" cy="733425"/>
          <a:chOff x="6047710" y="962246"/>
          <a:chExt cx="3432987" cy="872092"/>
        </a:xfrm>
      </xdr:grpSpPr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EF75101C-0C46-4CB8-BE0A-095AA6BBB8F8}"/>
              </a:ext>
            </a:extLst>
          </xdr:cNvPr>
          <xdr:cNvSpPr/>
        </xdr:nvSpPr>
        <xdr:spPr>
          <a:xfrm>
            <a:off x="6047710" y="962246"/>
            <a:ext cx="3432987" cy="872092"/>
          </a:xfrm>
          <a:prstGeom prst="roundRect">
            <a:avLst>
              <a:gd name="adj" fmla="val 776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D0883CAC-8E7F-433F-A0DE-AB1DF45DF2C6}"/>
              </a:ext>
            </a:extLst>
          </xdr:cNvPr>
          <xdr:cNvSpPr/>
        </xdr:nvSpPr>
        <xdr:spPr>
          <a:xfrm>
            <a:off x="6059076" y="1047973"/>
            <a:ext cx="2068886" cy="69111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aseline="0">
                <a:solidFill>
                  <a:sysClr val="windowText" lastClr="0000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TOTAL DE INSCRIÇÃO (EMPILHAMENTO)</a:t>
            </a:r>
            <a:endParaRPr lang="pt-BR" sz="1200"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U66">
        <xdr:nvSpPr>
          <xdr:cNvPr id="84" name="Retângulo: Cantos Arredondados 83">
            <a:extLst>
              <a:ext uri="{FF2B5EF4-FFF2-40B4-BE49-F238E27FC236}">
                <a16:creationId xmlns:a16="http://schemas.microsoft.com/office/drawing/2014/main" id="{03961B7B-07BF-4BC9-8D6C-49F99414584A}"/>
              </a:ext>
            </a:extLst>
          </xdr:cNvPr>
          <xdr:cNvSpPr/>
        </xdr:nvSpPr>
        <xdr:spPr>
          <a:xfrm>
            <a:off x="8082492" y="1052736"/>
            <a:ext cx="1329535" cy="681589"/>
          </a:xfrm>
          <a:prstGeom prst="round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BD3BC2F-9581-400C-919F-9BF702602A1D}" type="TxLink">
              <a:rPr lang="en-US" sz="12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587</a:t>
            </a:fld>
            <a:endParaRPr lang="en-US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209550</xdr:colOff>
      <xdr:row>13</xdr:row>
      <xdr:rowOff>38100</xdr:rowOff>
    </xdr:from>
    <xdr:to>
      <xdr:col>20</xdr:col>
      <xdr:colOff>602292</xdr:colOff>
      <xdr:row>29</xdr:row>
      <xdr:rowOff>116199</xdr:rowOff>
    </xdr:to>
    <xdr:grpSp>
      <xdr:nvGrpSpPr>
        <xdr:cNvPr id="180" name="Agrupar 179">
          <a:extLst>
            <a:ext uri="{FF2B5EF4-FFF2-40B4-BE49-F238E27FC236}">
              <a16:creationId xmlns:a16="http://schemas.microsoft.com/office/drawing/2014/main" id="{44885142-9249-415F-A95D-70CCCB28A84A}"/>
            </a:ext>
          </a:extLst>
        </xdr:cNvPr>
        <xdr:cNvGrpSpPr/>
      </xdr:nvGrpSpPr>
      <xdr:grpSpPr>
        <a:xfrm>
          <a:off x="1838325" y="2924175"/>
          <a:ext cx="10670217" cy="3335649"/>
          <a:chOff x="1645830" y="3139927"/>
          <a:chExt cx="10670217" cy="3335649"/>
        </a:xfrm>
      </xdr:grpSpPr>
      <xdr:sp macro="" textlink="">
        <xdr:nvSpPr>
          <xdr:cNvPr id="181" name="Retângulo: Cantos Arredondados 180">
            <a:extLst>
              <a:ext uri="{FF2B5EF4-FFF2-40B4-BE49-F238E27FC236}">
                <a16:creationId xmlns:a16="http://schemas.microsoft.com/office/drawing/2014/main" id="{487E7FCF-0E7B-41CC-AC01-A157AB023557}"/>
              </a:ext>
            </a:extLst>
          </xdr:cNvPr>
          <xdr:cNvSpPr/>
        </xdr:nvSpPr>
        <xdr:spPr>
          <a:xfrm>
            <a:off x="1873544" y="3139927"/>
            <a:ext cx="7362383" cy="33669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baseline="0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FATURAMENTOS E INSCRIÇÕES </a:t>
            </a:r>
            <a:r>
              <a:rPr lang="pt-BR" sz="1200" b="1" baseline="0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INDIVIDUAIS DOS PLANOS E EMPILHAMENTOS DE ASSINATURAS</a:t>
            </a:r>
            <a:endParaRPr lang="pt-BR" sz="1100" b="1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2" name="Agrupar 181">
            <a:extLst>
              <a:ext uri="{FF2B5EF4-FFF2-40B4-BE49-F238E27FC236}">
                <a16:creationId xmlns:a16="http://schemas.microsoft.com/office/drawing/2014/main" id="{756CF6F7-37DA-4840-B2F8-217D97F7A5FD}"/>
              </a:ext>
            </a:extLst>
          </xdr:cNvPr>
          <xdr:cNvGrpSpPr/>
        </xdr:nvGrpSpPr>
        <xdr:grpSpPr>
          <a:xfrm>
            <a:off x="1645830" y="3405186"/>
            <a:ext cx="10660692" cy="969131"/>
            <a:chOff x="1724024" y="2195512"/>
            <a:chExt cx="10648951" cy="970681"/>
          </a:xfrm>
        </xdr:grpSpPr>
        <xdr:sp macro="" textlink="">
          <xdr:nvSpPr>
            <xdr:cNvPr id="245" name="Retângulo: Cantos Arredondados 244">
              <a:extLst>
                <a:ext uri="{FF2B5EF4-FFF2-40B4-BE49-F238E27FC236}">
                  <a16:creationId xmlns:a16="http://schemas.microsoft.com/office/drawing/2014/main" id="{267590EB-92DF-4B38-B9A0-DC8C3D5CAA38}"/>
                </a:ext>
              </a:extLst>
            </xdr:cNvPr>
            <xdr:cNvSpPr/>
          </xdr:nvSpPr>
          <xdr:spPr>
            <a:xfrm>
              <a:off x="2143125" y="2257425"/>
              <a:ext cx="10229850" cy="908768"/>
            </a:xfrm>
            <a:prstGeom prst="roundRect">
              <a:avLst>
                <a:gd name="adj" fmla="val 7763"/>
              </a:avLst>
            </a:prstGeom>
            <a:solidFill>
              <a:srgbClr val="E8E6E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6" name="Retângulo: Cantos Arredondados 245">
              <a:extLst>
                <a:ext uri="{FF2B5EF4-FFF2-40B4-BE49-F238E27FC236}">
                  <a16:creationId xmlns:a16="http://schemas.microsoft.com/office/drawing/2014/main" id="{BEAC4C6D-E08C-4674-AE67-A8CB98C7EB6B}"/>
                </a:ext>
              </a:extLst>
            </xdr:cNvPr>
            <xdr:cNvSpPr/>
          </xdr:nvSpPr>
          <xdr:spPr>
            <a:xfrm>
              <a:off x="2314575" y="2531910"/>
              <a:ext cx="3057524" cy="239865"/>
            </a:xfrm>
            <a:prstGeom prst="round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 baseline="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47" name="Retângulo: Cantos Arredondados 246">
              <a:extLst>
                <a:ext uri="{FF2B5EF4-FFF2-40B4-BE49-F238E27FC236}">
                  <a16:creationId xmlns:a16="http://schemas.microsoft.com/office/drawing/2014/main" id="{83AAE7F0-6DBC-4877-B7CD-5FBB67B5C7AB}"/>
                </a:ext>
              </a:extLst>
            </xdr:cNvPr>
            <xdr:cNvSpPr/>
          </xdr:nvSpPr>
          <xdr:spPr>
            <a:xfrm>
              <a:off x="1724024" y="2205037"/>
              <a:ext cx="1693583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CORE</a:t>
              </a:r>
              <a:endParaRPr lang="pt-BR" sz="1100" b="1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48" name="Retângulo: Cantos Arredondados 247">
              <a:extLst>
                <a:ext uri="{FF2B5EF4-FFF2-40B4-BE49-F238E27FC236}">
                  <a16:creationId xmlns:a16="http://schemas.microsoft.com/office/drawing/2014/main" id="{7E69A563-F89F-4F45-B491-E7841F33D51F}"/>
                </a:ext>
              </a:extLst>
            </xdr:cNvPr>
            <xdr:cNvSpPr/>
          </xdr:nvSpPr>
          <xdr:spPr>
            <a:xfrm>
              <a:off x="5219700" y="2195512"/>
              <a:ext cx="1933575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EA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49" name="Retângulo: Cantos Arredondados 248">
              <a:extLst>
                <a:ext uri="{FF2B5EF4-FFF2-40B4-BE49-F238E27FC236}">
                  <a16:creationId xmlns:a16="http://schemas.microsoft.com/office/drawing/2014/main" id="{19375367-CAB8-4333-A566-F823C066683C}"/>
                </a:ext>
              </a:extLst>
            </xdr:cNvPr>
            <xdr:cNvSpPr/>
          </xdr:nvSpPr>
          <xdr:spPr>
            <a:xfrm>
              <a:off x="7610473" y="2205037"/>
              <a:ext cx="2381251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 MANICRAFT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50" name="Retângulo: Cantos Arredondados 249">
              <a:extLst>
                <a:ext uri="{FF2B5EF4-FFF2-40B4-BE49-F238E27FC236}">
                  <a16:creationId xmlns:a16="http://schemas.microsoft.com/office/drawing/2014/main" id="{4B172EDE-EA16-43F3-95DB-2F72522102BC}"/>
                </a:ext>
              </a:extLst>
            </xdr:cNvPr>
            <xdr:cNvSpPr/>
          </xdr:nvSpPr>
          <xdr:spPr>
            <a:xfrm>
              <a:off x="2305049" y="2817660"/>
              <a:ext cx="3076575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INSCRIÇÕES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O63">
          <xdr:nvSpPr>
            <xdr:cNvPr id="251" name="Retângulo: Cantos Arredondados 250">
              <a:extLst>
                <a:ext uri="{FF2B5EF4-FFF2-40B4-BE49-F238E27FC236}">
                  <a16:creationId xmlns:a16="http://schemas.microsoft.com/office/drawing/2014/main" id="{7B667729-DC3D-40E1-A095-57EE15DC4E2C}"/>
                </a:ext>
              </a:extLst>
            </xdr:cNvPr>
            <xdr:cNvSpPr/>
          </xdr:nvSpPr>
          <xdr:spPr>
            <a:xfrm>
              <a:off x="4333875" y="2552700"/>
              <a:ext cx="981075" cy="2000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11B53AE-47F4-437F-B265-E9FC21871B26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R$ 505,00</a:t>
              </a:fld>
              <a:endParaRPr lang="en-US" sz="1050" b="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N63">
          <xdr:nvSpPr>
            <xdr:cNvPr id="252" name="Retângulo: Cantos Arredondados 251">
              <a:extLst>
                <a:ext uri="{FF2B5EF4-FFF2-40B4-BE49-F238E27FC236}">
                  <a16:creationId xmlns:a16="http://schemas.microsoft.com/office/drawing/2014/main" id="{61BD5C52-7DB9-437D-8B03-C8FA8EF3D3E0}"/>
                </a:ext>
              </a:extLst>
            </xdr:cNvPr>
            <xdr:cNvSpPr/>
          </xdr:nvSpPr>
          <xdr:spPr>
            <a:xfrm>
              <a:off x="4333875" y="2838450"/>
              <a:ext cx="981075" cy="2000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F9CC277-70AA-4AF0-B1CE-968AD61CE03F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101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53" name="Retângulo: Cantos Arredondados 252">
              <a:extLst>
                <a:ext uri="{FF2B5EF4-FFF2-40B4-BE49-F238E27FC236}">
                  <a16:creationId xmlns:a16="http://schemas.microsoft.com/office/drawing/2014/main" id="{6B225766-39BB-4AD9-826E-4B4D432608FB}"/>
                </a:ext>
              </a:extLst>
            </xdr:cNvPr>
            <xdr:cNvSpPr/>
          </xdr:nvSpPr>
          <xdr:spPr>
            <a:xfrm>
              <a:off x="9896473" y="2205037"/>
              <a:ext cx="1495427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VALOR FINAL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254" name="Agrupar 253">
              <a:extLst>
                <a:ext uri="{FF2B5EF4-FFF2-40B4-BE49-F238E27FC236}">
                  <a16:creationId xmlns:a16="http://schemas.microsoft.com/office/drawing/2014/main" id="{C8C70D73-D2F0-4F46-B948-2049D7C3FE39}"/>
                </a:ext>
              </a:extLst>
            </xdr:cNvPr>
            <xdr:cNvGrpSpPr/>
          </xdr:nvGrpSpPr>
          <xdr:grpSpPr>
            <a:xfrm>
              <a:off x="5581650" y="2522385"/>
              <a:ext cx="2133600" cy="525615"/>
              <a:chOff x="5695950" y="2531910"/>
              <a:chExt cx="2133600" cy="525615"/>
            </a:xfrm>
          </xdr:grpSpPr>
          <xdr:grpSp>
            <xdr:nvGrpSpPr>
              <xdr:cNvPr id="269" name="Agrupar 268">
                <a:extLst>
                  <a:ext uri="{FF2B5EF4-FFF2-40B4-BE49-F238E27FC236}">
                    <a16:creationId xmlns:a16="http://schemas.microsoft.com/office/drawing/2014/main" id="{E8BFD2ED-8B46-4CDD-83FF-59F3E203252E}"/>
                  </a:ext>
                </a:extLst>
              </xdr:cNvPr>
              <xdr:cNvGrpSpPr/>
            </xdr:nvGrpSpPr>
            <xdr:grpSpPr>
              <a:xfrm>
                <a:off x="5695950" y="2531910"/>
                <a:ext cx="2133600" cy="239865"/>
                <a:chOff x="5695950" y="2531910"/>
                <a:chExt cx="2133600" cy="239865"/>
              </a:xfrm>
            </xdr:grpSpPr>
            <xdr:sp macro="" textlink="">
              <xdr:nvSpPr>
                <xdr:cNvPr id="273" name="Retângulo: Cantos Arredondados 272">
                  <a:extLst>
                    <a:ext uri="{FF2B5EF4-FFF2-40B4-BE49-F238E27FC236}">
                      <a16:creationId xmlns:a16="http://schemas.microsoft.com/office/drawing/2014/main" id="{CEC76977-DD44-46BC-A83A-9F0EA1F34156}"/>
                    </a:ext>
                  </a:extLst>
                </xdr:cNvPr>
                <xdr:cNvSpPr/>
              </xdr:nvSpPr>
              <xdr:spPr>
                <a:xfrm>
                  <a:off x="569595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38">
              <xdr:nvSpPr>
                <xdr:cNvPr id="274" name="Retângulo: Cantos Arredondados 273">
                  <a:extLst>
                    <a:ext uri="{FF2B5EF4-FFF2-40B4-BE49-F238E27FC236}">
                      <a16:creationId xmlns:a16="http://schemas.microsoft.com/office/drawing/2014/main" id="{8BD2441D-5BE9-4257-89D3-1D567550EE7B}"/>
                    </a:ext>
                  </a:extLst>
                </xdr:cNvPr>
                <xdr:cNvSpPr/>
              </xdr:nvSpPr>
              <xdr:spPr>
                <a:xfrm>
                  <a:off x="6800850" y="2562225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A0E7C65-D715-4547-874B-B7A7D9CF5325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70" name="Agrupar 269">
                <a:extLst>
                  <a:ext uri="{FF2B5EF4-FFF2-40B4-BE49-F238E27FC236}">
                    <a16:creationId xmlns:a16="http://schemas.microsoft.com/office/drawing/2014/main" id="{E0B31D30-A929-4260-86DA-822584650F13}"/>
                  </a:ext>
                </a:extLst>
              </xdr:cNvPr>
              <xdr:cNvGrpSpPr/>
            </xdr:nvGrpSpPr>
            <xdr:grpSpPr>
              <a:xfrm>
                <a:off x="5695950" y="2817660"/>
                <a:ext cx="2133600" cy="239865"/>
                <a:chOff x="5695950" y="2817660"/>
                <a:chExt cx="2133600" cy="239865"/>
              </a:xfrm>
            </xdr:grpSpPr>
            <xdr:sp macro="" textlink="">
              <xdr:nvSpPr>
                <xdr:cNvPr id="271" name="Retângulo: Cantos Arredondados 270">
                  <a:extLst>
                    <a:ext uri="{FF2B5EF4-FFF2-40B4-BE49-F238E27FC236}">
                      <a16:creationId xmlns:a16="http://schemas.microsoft.com/office/drawing/2014/main" id="{28E979E9-E63C-4A7D-A674-75296CF728CD}"/>
                    </a:ext>
                  </a:extLst>
                </xdr:cNvPr>
                <xdr:cNvSpPr/>
              </xdr:nvSpPr>
              <xdr:spPr>
                <a:xfrm>
                  <a:off x="569595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72" name="Retângulo: Cantos Arredondados 271">
                  <a:extLst>
                    <a:ext uri="{FF2B5EF4-FFF2-40B4-BE49-F238E27FC236}">
                      <a16:creationId xmlns:a16="http://schemas.microsoft.com/office/drawing/2014/main" id="{C6B9E3AB-611F-46B8-BC7C-BD7FCA122587}"/>
                    </a:ext>
                  </a:extLst>
                </xdr:cNvPr>
                <xdr:cNvSpPr/>
              </xdr:nvSpPr>
              <xdr:spPr>
                <a:xfrm>
                  <a:off x="6800850" y="2847975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1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0</a:t>
                  </a:r>
                </a:p>
              </xdr:txBody>
            </xdr:sp>
          </xdr:grpSp>
        </xdr:grpSp>
        <xdr:grpSp>
          <xdr:nvGrpSpPr>
            <xdr:cNvPr id="255" name="Agrupar 254">
              <a:extLst>
                <a:ext uri="{FF2B5EF4-FFF2-40B4-BE49-F238E27FC236}">
                  <a16:creationId xmlns:a16="http://schemas.microsoft.com/office/drawing/2014/main" id="{B43CDA06-DA88-4563-9D43-526A4B1F777B}"/>
                </a:ext>
              </a:extLst>
            </xdr:cNvPr>
            <xdr:cNvGrpSpPr/>
          </xdr:nvGrpSpPr>
          <xdr:grpSpPr>
            <a:xfrm>
              <a:off x="7867650" y="2522385"/>
              <a:ext cx="2133600" cy="525615"/>
              <a:chOff x="8039100" y="2531910"/>
              <a:chExt cx="2133600" cy="525615"/>
            </a:xfrm>
          </xdr:grpSpPr>
          <xdr:grpSp>
            <xdr:nvGrpSpPr>
              <xdr:cNvPr id="263" name="Agrupar 262">
                <a:extLst>
                  <a:ext uri="{FF2B5EF4-FFF2-40B4-BE49-F238E27FC236}">
                    <a16:creationId xmlns:a16="http://schemas.microsoft.com/office/drawing/2014/main" id="{71D73B3C-23D4-438E-A24A-E9AF719B8243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67" name="Retângulo: Cantos Arredondados 266">
                  <a:extLst>
                    <a:ext uri="{FF2B5EF4-FFF2-40B4-BE49-F238E27FC236}">
                      <a16:creationId xmlns:a16="http://schemas.microsoft.com/office/drawing/2014/main" id="{41306647-0539-4C2A-A731-BD79AE948278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Q63">
              <xdr:nvSpPr>
                <xdr:cNvPr id="268" name="Retângulo: Cantos Arredondados 267">
                  <a:extLst>
                    <a:ext uri="{FF2B5EF4-FFF2-40B4-BE49-F238E27FC236}">
                      <a16:creationId xmlns:a16="http://schemas.microsoft.com/office/drawing/2014/main" id="{E1F9A626-AB2B-40E0-8F7A-385A421B401B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6289B5C-4D08-47FD-802F-50C2A83F07EF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64" name="Agrupar 263">
                <a:extLst>
                  <a:ext uri="{FF2B5EF4-FFF2-40B4-BE49-F238E27FC236}">
                    <a16:creationId xmlns:a16="http://schemas.microsoft.com/office/drawing/2014/main" id="{28BACA4B-E7EA-46D1-AA91-C66A698A9946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65" name="Retângulo: Cantos Arredondados 264">
                  <a:extLst>
                    <a:ext uri="{FF2B5EF4-FFF2-40B4-BE49-F238E27FC236}">
                      <a16:creationId xmlns:a16="http://schemas.microsoft.com/office/drawing/2014/main" id="{7E5EA865-C136-40E7-8BE8-91B1E7AB5A85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66" name="Retângulo: Cantos Arredondados 265">
                  <a:extLst>
                    <a:ext uri="{FF2B5EF4-FFF2-40B4-BE49-F238E27FC236}">
                      <a16:creationId xmlns:a16="http://schemas.microsoft.com/office/drawing/2014/main" id="{642696EB-9DB1-4592-8085-701B602D983B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1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0</a:t>
                  </a:r>
                </a:p>
              </xdr:txBody>
            </xdr:sp>
          </xdr:grpSp>
        </xdr:grpSp>
        <xdr:grpSp>
          <xdr:nvGrpSpPr>
            <xdr:cNvPr id="256" name="Agrupar 255">
              <a:extLst>
                <a:ext uri="{FF2B5EF4-FFF2-40B4-BE49-F238E27FC236}">
                  <a16:creationId xmlns:a16="http://schemas.microsoft.com/office/drawing/2014/main" id="{61955E4E-5613-4181-BB08-E209A4DE0CDF}"/>
                </a:ext>
              </a:extLst>
            </xdr:cNvPr>
            <xdr:cNvGrpSpPr/>
          </xdr:nvGrpSpPr>
          <xdr:grpSpPr>
            <a:xfrm>
              <a:off x="10153650" y="2512860"/>
              <a:ext cx="2133600" cy="525615"/>
              <a:chOff x="8039100" y="2531910"/>
              <a:chExt cx="2133600" cy="525615"/>
            </a:xfrm>
          </xdr:grpSpPr>
          <xdr:grpSp>
            <xdr:nvGrpSpPr>
              <xdr:cNvPr id="257" name="Agrupar 256">
                <a:extLst>
                  <a:ext uri="{FF2B5EF4-FFF2-40B4-BE49-F238E27FC236}">
                    <a16:creationId xmlns:a16="http://schemas.microsoft.com/office/drawing/2014/main" id="{9C273A6F-082F-4657-95EB-694AD45C7B9C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61" name="Retângulo: Cantos Arredondados 260">
                  <a:extLst>
                    <a:ext uri="{FF2B5EF4-FFF2-40B4-BE49-F238E27FC236}">
                      <a16:creationId xmlns:a16="http://schemas.microsoft.com/office/drawing/2014/main" id="{364A0A93-E4DD-4336-AD28-BCF41D1D3436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S63">
              <xdr:nvSpPr>
                <xdr:cNvPr id="262" name="Retângulo: Cantos Arredondados 261">
                  <a:extLst>
                    <a:ext uri="{FF2B5EF4-FFF2-40B4-BE49-F238E27FC236}">
                      <a16:creationId xmlns:a16="http://schemas.microsoft.com/office/drawing/2014/main" id="{B2515DBD-24C5-434C-9112-A78CC87EB720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948F4737-57F9-4395-9481-1FEE9B81E909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R$ 444,00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58" name="Agrupar 257">
                <a:extLst>
                  <a:ext uri="{FF2B5EF4-FFF2-40B4-BE49-F238E27FC236}">
                    <a16:creationId xmlns:a16="http://schemas.microsoft.com/office/drawing/2014/main" id="{D46552F3-9821-4352-8D3B-DEACE18ECAC9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59" name="Retângulo: Cantos Arredondados 258">
                  <a:extLst>
                    <a:ext uri="{FF2B5EF4-FFF2-40B4-BE49-F238E27FC236}">
                      <a16:creationId xmlns:a16="http://schemas.microsoft.com/office/drawing/2014/main" id="{9EE875D3-A144-430A-88D5-7BEFFDC42356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N63">
              <xdr:nvSpPr>
                <xdr:cNvPr id="260" name="Retângulo: Cantos Arredondados 259">
                  <a:extLst>
                    <a:ext uri="{FF2B5EF4-FFF2-40B4-BE49-F238E27FC236}">
                      <a16:creationId xmlns:a16="http://schemas.microsoft.com/office/drawing/2014/main" id="{E18F42DE-ACA9-490B-B66A-3BF64B10CA48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0A8C37B-4238-4A3E-A66E-B49AF908FC3F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101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</xdr:grpSp>
      <xdr:grpSp>
        <xdr:nvGrpSpPr>
          <xdr:cNvPr id="183" name="Agrupar 182">
            <a:extLst>
              <a:ext uri="{FF2B5EF4-FFF2-40B4-BE49-F238E27FC236}">
                <a16:creationId xmlns:a16="http://schemas.microsoft.com/office/drawing/2014/main" id="{E3ED925B-A533-4C95-9EBA-EEA7C44B173A}"/>
              </a:ext>
            </a:extLst>
          </xdr:cNvPr>
          <xdr:cNvGrpSpPr/>
        </xdr:nvGrpSpPr>
        <xdr:grpSpPr>
          <a:xfrm>
            <a:off x="1873544" y="4460911"/>
            <a:ext cx="10442503" cy="973339"/>
            <a:chOff x="1943099" y="2195512"/>
            <a:chExt cx="10429876" cy="970681"/>
          </a:xfrm>
        </xdr:grpSpPr>
        <xdr:sp macro="" textlink="">
          <xdr:nvSpPr>
            <xdr:cNvPr id="215" name="Retângulo: Cantos Arredondados 214">
              <a:extLst>
                <a:ext uri="{FF2B5EF4-FFF2-40B4-BE49-F238E27FC236}">
                  <a16:creationId xmlns:a16="http://schemas.microsoft.com/office/drawing/2014/main" id="{66BAFFD1-83A1-4C89-9432-37FE71A55069}"/>
                </a:ext>
              </a:extLst>
            </xdr:cNvPr>
            <xdr:cNvSpPr/>
          </xdr:nvSpPr>
          <xdr:spPr>
            <a:xfrm>
              <a:off x="2143125" y="2257425"/>
              <a:ext cx="10229850" cy="908768"/>
            </a:xfrm>
            <a:prstGeom prst="roundRect">
              <a:avLst>
                <a:gd name="adj" fmla="val 7763"/>
              </a:avLst>
            </a:prstGeom>
            <a:solidFill>
              <a:srgbClr val="E8E6E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6" name="Retângulo: Cantos Arredondados 215">
              <a:extLst>
                <a:ext uri="{FF2B5EF4-FFF2-40B4-BE49-F238E27FC236}">
                  <a16:creationId xmlns:a16="http://schemas.microsoft.com/office/drawing/2014/main" id="{530CA834-5F99-460D-917A-F9A259D55191}"/>
                </a:ext>
              </a:extLst>
            </xdr:cNvPr>
            <xdr:cNvSpPr/>
          </xdr:nvSpPr>
          <xdr:spPr>
            <a:xfrm>
              <a:off x="2314575" y="2531910"/>
              <a:ext cx="3057524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 baseline="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7" name="Retângulo: Cantos Arredondados 216">
              <a:extLst>
                <a:ext uri="{FF2B5EF4-FFF2-40B4-BE49-F238E27FC236}">
                  <a16:creationId xmlns:a16="http://schemas.microsoft.com/office/drawing/2014/main" id="{8E51A91E-066D-48AB-9382-39FC82088881}"/>
                </a:ext>
              </a:extLst>
            </xdr:cNvPr>
            <xdr:cNvSpPr/>
          </xdr:nvSpPr>
          <xdr:spPr>
            <a:xfrm>
              <a:off x="1943099" y="2205037"/>
              <a:ext cx="1627690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STANDARD</a:t>
              </a:r>
              <a:endParaRPr lang="pt-BR" sz="1100" b="1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8" name="Retângulo: Cantos Arredondados 217">
              <a:extLst>
                <a:ext uri="{FF2B5EF4-FFF2-40B4-BE49-F238E27FC236}">
                  <a16:creationId xmlns:a16="http://schemas.microsoft.com/office/drawing/2014/main" id="{758D6CB8-B6B0-494E-A0BE-15A19052B907}"/>
                </a:ext>
              </a:extLst>
            </xdr:cNvPr>
            <xdr:cNvSpPr/>
          </xdr:nvSpPr>
          <xdr:spPr>
            <a:xfrm>
              <a:off x="5219700" y="2195512"/>
              <a:ext cx="1933575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EA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9" name="Retângulo: Cantos Arredondados 218">
              <a:extLst>
                <a:ext uri="{FF2B5EF4-FFF2-40B4-BE49-F238E27FC236}">
                  <a16:creationId xmlns:a16="http://schemas.microsoft.com/office/drawing/2014/main" id="{21645EE5-92C3-4B87-BD62-1582185956AC}"/>
                </a:ext>
              </a:extLst>
            </xdr:cNvPr>
            <xdr:cNvSpPr/>
          </xdr:nvSpPr>
          <xdr:spPr>
            <a:xfrm>
              <a:off x="7610473" y="2205037"/>
              <a:ext cx="2381251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 MANICRAFT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20" name="Retângulo: Cantos Arredondados 219">
              <a:extLst>
                <a:ext uri="{FF2B5EF4-FFF2-40B4-BE49-F238E27FC236}">
                  <a16:creationId xmlns:a16="http://schemas.microsoft.com/office/drawing/2014/main" id="{179D9226-19C7-43D9-96E7-190DB4AA8BBC}"/>
                </a:ext>
              </a:extLst>
            </xdr:cNvPr>
            <xdr:cNvSpPr/>
          </xdr:nvSpPr>
          <xdr:spPr>
            <a:xfrm>
              <a:off x="2305049" y="2817660"/>
              <a:ext cx="3076575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INSCRIÇÕES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O64">
          <xdr:nvSpPr>
            <xdr:cNvPr id="221" name="Retângulo: Cantos Arredondados 220">
              <a:extLst>
                <a:ext uri="{FF2B5EF4-FFF2-40B4-BE49-F238E27FC236}">
                  <a16:creationId xmlns:a16="http://schemas.microsoft.com/office/drawing/2014/main" id="{1E7B300E-ABFF-41DB-B36B-70BC2533504F}"/>
                </a:ext>
              </a:extLst>
            </xdr:cNvPr>
            <xdr:cNvSpPr/>
          </xdr:nvSpPr>
          <xdr:spPr>
            <a:xfrm>
              <a:off x="4333875" y="2552700"/>
              <a:ext cx="981075" cy="2000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4558C4B-C742-44CC-BFA3-00D9794E9342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R$ 960,00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N64">
          <xdr:nvSpPr>
            <xdr:cNvPr id="222" name="Retângulo: Cantos Arredondados 221">
              <a:extLst>
                <a:ext uri="{FF2B5EF4-FFF2-40B4-BE49-F238E27FC236}">
                  <a16:creationId xmlns:a16="http://schemas.microsoft.com/office/drawing/2014/main" id="{48342DF8-88AD-4CA7-AB88-CDF08A31874D}"/>
                </a:ext>
              </a:extLst>
            </xdr:cNvPr>
            <xdr:cNvSpPr/>
          </xdr:nvSpPr>
          <xdr:spPr>
            <a:xfrm>
              <a:off x="4333875" y="2838450"/>
              <a:ext cx="981075" cy="2000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2BDE10C-2D8F-4977-A041-A5D5143EEE5C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96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23" name="Retângulo: Cantos Arredondados 222">
              <a:extLst>
                <a:ext uri="{FF2B5EF4-FFF2-40B4-BE49-F238E27FC236}">
                  <a16:creationId xmlns:a16="http://schemas.microsoft.com/office/drawing/2014/main" id="{A61507A9-7D5E-4954-8251-BE53D4554964}"/>
                </a:ext>
              </a:extLst>
            </xdr:cNvPr>
            <xdr:cNvSpPr/>
          </xdr:nvSpPr>
          <xdr:spPr>
            <a:xfrm>
              <a:off x="9896473" y="2205037"/>
              <a:ext cx="1495427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VALOR FINAL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224" name="Agrupar 223">
              <a:extLst>
                <a:ext uri="{FF2B5EF4-FFF2-40B4-BE49-F238E27FC236}">
                  <a16:creationId xmlns:a16="http://schemas.microsoft.com/office/drawing/2014/main" id="{95C950F1-69A4-4ADD-A6A6-CE79B6763CBD}"/>
                </a:ext>
              </a:extLst>
            </xdr:cNvPr>
            <xdr:cNvGrpSpPr/>
          </xdr:nvGrpSpPr>
          <xdr:grpSpPr>
            <a:xfrm>
              <a:off x="5581650" y="2522385"/>
              <a:ext cx="2133600" cy="525615"/>
              <a:chOff x="5695950" y="2531910"/>
              <a:chExt cx="2133600" cy="525615"/>
            </a:xfrm>
          </xdr:grpSpPr>
          <xdr:grpSp>
            <xdr:nvGrpSpPr>
              <xdr:cNvPr id="239" name="Agrupar 238">
                <a:extLst>
                  <a:ext uri="{FF2B5EF4-FFF2-40B4-BE49-F238E27FC236}">
                    <a16:creationId xmlns:a16="http://schemas.microsoft.com/office/drawing/2014/main" id="{540DCA3A-DA08-4206-BD43-6119D4E36A21}"/>
                  </a:ext>
                </a:extLst>
              </xdr:cNvPr>
              <xdr:cNvGrpSpPr/>
            </xdr:nvGrpSpPr>
            <xdr:grpSpPr>
              <a:xfrm>
                <a:off x="5695950" y="2531910"/>
                <a:ext cx="2133600" cy="239865"/>
                <a:chOff x="5695950" y="2531910"/>
                <a:chExt cx="2133600" cy="239865"/>
              </a:xfrm>
            </xdr:grpSpPr>
            <xdr:sp macro="" textlink="">
              <xdr:nvSpPr>
                <xdr:cNvPr id="243" name="Retângulo: Cantos Arredondados 242">
                  <a:extLst>
                    <a:ext uri="{FF2B5EF4-FFF2-40B4-BE49-F238E27FC236}">
                      <a16:creationId xmlns:a16="http://schemas.microsoft.com/office/drawing/2014/main" id="{B38EEE9D-4903-4EF9-ABD5-94DE3AC5F226}"/>
                    </a:ext>
                  </a:extLst>
                </xdr:cNvPr>
                <xdr:cNvSpPr/>
              </xdr:nvSpPr>
              <xdr:spPr>
                <a:xfrm>
                  <a:off x="569595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39">
              <xdr:nvSpPr>
                <xdr:cNvPr id="244" name="Retângulo: Cantos Arredondados 243">
                  <a:extLst>
                    <a:ext uri="{FF2B5EF4-FFF2-40B4-BE49-F238E27FC236}">
                      <a16:creationId xmlns:a16="http://schemas.microsoft.com/office/drawing/2014/main" id="{2E505352-A197-4F4E-BB9B-B11830BD87D2}"/>
                    </a:ext>
                  </a:extLst>
                </xdr:cNvPr>
                <xdr:cNvSpPr/>
              </xdr:nvSpPr>
              <xdr:spPr>
                <a:xfrm>
                  <a:off x="6800850" y="2562225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0F52E26C-8238-4D0E-9606-60415F17A9BC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40" name="Agrupar 239">
                <a:extLst>
                  <a:ext uri="{FF2B5EF4-FFF2-40B4-BE49-F238E27FC236}">
                    <a16:creationId xmlns:a16="http://schemas.microsoft.com/office/drawing/2014/main" id="{E4FB0ED3-B848-45B7-9B95-077D275D2328}"/>
                  </a:ext>
                </a:extLst>
              </xdr:cNvPr>
              <xdr:cNvGrpSpPr/>
            </xdr:nvGrpSpPr>
            <xdr:grpSpPr>
              <a:xfrm>
                <a:off x="5695950" y="2817660"/>
                <a:ext cx="2133600" cy="239865"/>
                <a:chOff x="5695950" y="2817660"/>
                <a:chExt cx="2133600" cy="239865"/>
              </a:xfrm>
            </xdr:grpSpPr>
            <xdr:sp macro="" textlink="">
              <xdr:nvSpPr>
                <xdr:cNvPr id="241" name="Retângulo: Cantos Arredondados 240">
                  <a:extLst>
                    <a:ext uri="{FF2B5EF4-FFF2-40B4-BE49-F238E27FC236}">
                      <a16:creationId xmlns:a16="http://schemas.microsoft.com/office/drawing/2014/main" id="{7C9D286B-9A0E-4100-8073-63EE0FCDEE51}"/>
                    </a:ext>
                  </a:extLst>
                </xdr:cNvPr>
                <xdr:cNvSpPr/>
              </xdr:nvSpPr>
              <xdr:spPr>
                <a:xfrm>
                  <a:off x="569595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242" name="Retângulo: Cantos Arredondados 241">
                  <a:extLst>
                    <a:ext uri="{FF2B5EF4-FFF2-40B4-BE49-F238E27FC236}">
                      <a16:creationId xmlns:a16="http://schemas.microsoft.com/office/drawing/2014/main" id="{7797B6E5-947C-4537-9C94-B3AF31A4915D}"/>
                    </a:ext>
                  </a:extLst>
                </xdr:cNvPr>
                <xdr:cNvSpPr/>
              </xdr:nvSpPr>
              <xdr:spPr>
                <a:xfrm>
                  <a:off x="6800850" y="2847975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1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0</a:t>
                  </a:r>
                </a:p>
              </xdr:txBody>
            </xdr:sp>
          </xdr:grpSp>
        </xdr:grpSp>
        <xdr:grpSp>
          <xdr:nvGrpSpPr>
            <xdr:cNvPr id="225" name="Agrupar 224">
              <a:extLst>
                <a:ext uri="{FF2B5EF4-FFF2-40B4-BE49-F238E27FC236}">
                  <a16:creationId xmlns:a16="http://schemas.microsoft.com/office/drawing/2014/main" id="{6169563C-DBA0-4CB7-A875-84B73C7DA5E6}"/>
                </a:ext>
              </a:extLst>
            </xdr:cNvPr>
            <xdr:cNvGrpSpPr/>
          </xdr:nvGrpSpPr>
          <xdr:grpSpPr>
            <a:xfrm>
              <a:off x="7867650" y="2522385"/>
              <a:ext cx="2133600" cy="525615"/>
              <a:chOff x="8039100" y="2531910"/>
              <a:chExt cx="2133600" cy="525615"/>
            </a:xfrm>
          </xdr:grpSpPr>
          <xdr:grpSp>
            <xdr:nvGrpSpPr>
              <xdr:cNvPr id="233" name="Agrupar 232">
                <a:extLst>
                  <a:ext uri="{FF2B5EF4-FFF2-40B4-BE49-F238E27FC236}">
                    <a16:creationId xmlns:a16="http://schemas.microsoft.com/office/drawing/2014/main" id="{32B0926E-F347-4888-B216-B1E79E09E048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37" name="Retângulo: Cantos Arredondados 236">
                  <a:extLst>
                    <a:ext uri="{FF2B5EF4-FFF2-40B4-BE49-F238E27FC236}">
                      <a16:creationId xmlns:a16="http://schemas.microsoft.com/office/drawing/2014/main" id="{503E528E-DAFD-4527-BE91-CE110C65AC94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54">
              <xdr:nvSpPr>
                <xdr:cNvPr id="238" name="Retângulo: Cantos Arredondados 237">
                  <a:extLst>
                    <a:ext uri="{FF2B5EF4-FFF2-40B4-BE49-F238E27FC236}">
                      <a16:creationId xmlns:a16="http://schemas.microsoft.com/office/drawing/2014/main" id="{C1CC86CA-54FF-4AFE-8188-43F044AEEC12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CB77051-08D7-418E-A94A-9F2CA42800EA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R$ 1.920,00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34" name="Agrupar 233">
                <a:extLst>
                  <a:ext uri="{FF2B5EF4-FFF2-40B4-BE49-F238E27FC236}">
                    <a16:creationId xmlns:a16="http://schemas.microsoft.com/office/drawing/2014/main" id="{258EB422-DD9B-41B5-A3B1-DD2717070A92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35" name="Retângulo: Cantos Arredondados 234">
                  <a:extLst>
                    <a:ext uri="{FF2B5EF4-FFF2-40B4-BE49-F238E27FC236}">
                      <a16:creationId xmlns:a16="http://schemas.microsoft.com/office/drawing/2014/main" id="{67AB3940-9B9A-4D28-9059-98E3C1B10217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N54">
              <xdr:nvSpPr>
                <xdr:cNvPr id="236" name="Retângulo: Cantos Arredondados 235">
                  <a:extLst>
                    <a:ext uri="{FF2B5EF4-FFF2-40B4-BE49-F238E27FC236}">
                      <a16:creationId xmlns:a16="http://schemas.microsoft.com/office/drawing/2014/main" id="{C74AAB76-922D-4F16-8B6C-9CDD6CCA6FBF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B69194D7-1C99-4DCA-BD96-68CC73BD3C43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96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  <xdr:grpSp>
          <xdr:nvGrpSpPr>
            <xdr:cNvPr id="226" name="Agrupar 225">
              <a:extLst>
                <a:ext uri="{FF2B5EF4-FFF2-40B4-BE49-F238E27FC236}">
                  <a16:creationId xmlns:a16="http://schemas.microsoft.com/office/drawing/2014/main" id="{58BB693C-677C-449C-9F5E-EB74346003C5}"/>
                </a:ext>
              </a:extLst>
            </xdr:cNvPr>
            <xdr:cNvGrpSpPr/>
          </xdr:nvGrpSpPr>
          <xdr:grpSpPr>
            <a:xfrm>
              <a:off x="10153650" y="2512860"/>
              <a:ext cx="2133600" cy="525615"/>
              <a:chOff x="8039100" y="2531910"/>
              <a:chExt cx="2133600" cy="525615"/>
            </a:xfrm>
          </xdr:grpSpPr>
          <xdr:grpSp>
            <xdr:nvGrpSpPr>
              <xdr:cNvPr id="227" name="Agrupar 226">
                <a:extLst>
                  <a:ext uri="{FF2B5EF4-FFF2-40B4-BE49-F238E27FC236}">
                    <a16:creationId xmlns:a16="http://schemas.microsoft.com/office/drawing/2014/main" id="{67600E84-F590-4506-8AD7-5C801517F9CB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31" name="Retângulo: Cantos Arredondados 230">
                  <a:extLst>
                    <a:ext uri="{FF2B5EF4-FFF2-40B4-BE49-F238E27FC236}">
                      <a16:creationId xmlns:a16="http://schemas.microsoft.com/office/drawing/2014/main" id="{041EAC82-1EFC-4036-A65C-5BFD8DFD7947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S64">
              <xdr:nvSpPr>
                <xdr:cNvPr id="232" name="Retângulo: Cantos Arredondados 231">
                  <a:extLst>
                    <a:ext uri="{FF2B5EF4-FFF2-40B4-BE49-F238E27FC236}">
                      <a16:creationId xmlns:a16="http://schemas.microsoft.com/office/drawing/2014/main" id="{115270D7-268F-4EDC-B82A-96C6FB37669C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6ED26B3-F9F4-4316-AA2A-58581A612C75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R$ 1.801,00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28" name="Agrupar 227">
                <a:extLst>
                  <a:ext uri="{FF2B5EF4-FFF2-40B4-BE49-F238E27FC236}">
                    <a16:creationId xmlns:a16="http://schemas.microsoft.com/office/drawing/2014/main" id="{7A3786AB-2C82-4C85-BDF9-94C7230AEC98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29" name="Retângulo: Cantos Arredondados 228">
                  <a:extLst>
                    <a:ext uri="{FF2B5EF4-FFF2-40B4-BE49-F238E27FC236}">
                      <a16:creationId xmlns:a16="http://schemas.microsoft.com/office/drawing/2014/main" id="{3B801C83-595E-4ADD-820F-7B63E4F0DC55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U64">
              <xdr:nvSpPr>
                <xdr:cNvPr id="230" name="Retângulo: Cantos Arredondados 229">
                  <a:extLst>
                    <a:ext uri="{FF2B5EF4-FFF2-40B4-BE49-F238E27FC236}">
                      <a16:creationId xmlns:a16="http://schemas.microsoft.com/office/drawing/2014/main" id="{8A72AEFA-E621-42E5-8E0E-F26753FD4EEF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F8096B79-B7A1-4D1D-81C7-8F4C4DA25511}" type="TxLink">
                    <a:rPr lang="en-US" sz="1200" b="0" i="0" u="none" strike="noStrike">
                      <a:solidFill>
                        <a:srgbClr val="000000"/>
                      </a:solidFill>
                      <a:latin typeface="Aptos Narrow"/>
                      <a:cs typeface="Segoe UI" panose="020B0502040204020203" pitchFamily="34" charset="0"/>
                    </a:rPr>
                    <a:pPr algn="ctr"/>
                    <a:t>192</a:t>
                  </a:fld>
                  <a:endParaRPr lang="en-US" sz="12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</xdr:grpSp>
      <xdr:grpSp>
        <xdr:nvGrpSpPr>
          <xdr:cNvPr id="184" name="Agrupar 183">
            <a:extLst>
              <a:ext uri="{FF2B5EF4-FFF2-40B4-BE49-F238E27FC236}">
                <a16:creationId xmlns:a16="http://schemas.microsoft.com/office/drawing/2014/main" id="{CFA12E88-1DA0-4AB1-A8E4-CE0C60F463A2}"/>
              </a:ext>
            </a:extLst>
          </xdr:cNvPr>
          <xdr:cNvGrpSpPr/>
        </xdr:nvGrpSpPr>
        <xdr:grpSpPr>
          <a:xfrm>
            <a:off x="1779180" y="5520844"/>
            <a:ext cx="10536867" cy="954732"/>
            <a:chOff x="1847849" y="2195512"/>
            <a:chExt cx="10525126" cy="970681"/>
          </a:xfrm>
        </xdr:grpSpPr>
        <xdr:sp macro="" textlink="">
          <xdr:nvSpPr>
            <xdr:cNvPr id="185" name="Retângulo: Cantos Arredondados 184">
              <a:extLst>
                <a:ext uri="{FF2B5EF4-FFF2-40B4-BE49-F238E27FC236}">
                  <a16:creationId xmlns:a16="http://schemas.microsoft.com/office/drawing/2014/main" id="{E8A69856-4F77-4911-B66D-697CC3ECE1BD}"/>
                </a:ext>
              </a:extLst>
            </xdr:cNvPr>
            <xdr:cNvSpPr/>
          </xdr:nvSpPr>
          <xdr:spPr>
            <a:xfrm>
              <a:off x="2152650" y="2257425"/>
              <a:ext cx="10220325" cy="908768"/>
            </a:xfrm>
            <a:prstGeom prst="roundRect">
              <a:avLst>
                <a:gd name="adj" fmla="val 7763"/>
              </a:avLst>
            </a:prstGeom>
            <a:solidFill>
              <a:srgbClr val="E8E6E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6" name="Retângulo: Cantos Arredondados 185">
              <a:extLst>
                <a:ext uri="{FF2B5EF4-FFF2-40B4-BE49-F238E27FC236}">
                  <a16:creationId xmlns:a16="http://schemas.microsoft.com/office/drawing/2014/main" id="{A8B751C4-154D-4C3D-942D-CB88EFC8638D}"/>
                </a:ext>
              </a:extLst>
            </xdr:cNvPr>
            <xdr:cNvSpPr/>
          </xdr:nvSpPr>
          <xdr:spPr>
            <a:xfrm>
              <a:off x="2314575" y="2531910"/>
              <a:ext cx="3057524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 baseline="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FATURAMENTO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7" name="Retângulo: Cantos Arredondados 186">
              <a:extLst>
                <a:ext uri="{FF2B5EF4-FFF2-40B4-BE49-F238E27FC236}">
                  <a16:creationId xmlns:a16="http://schemas.microsoft.com/office/drawing/2014/main" id="{A5D8B492-DB8F-40EF-AA36-BFE1F251D444}"/>
                </a:ext>
              </a:extLst>
            </xdr:cNvPr>
            <xdr:cNvSpPr/>
          </xdr:nvSpPr>
          <xdr:spPr>
            <a:xfrm>
              <a:off x="1847849" y="2205036"/>
              <a:ext cx="1722104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ULTIMATE</a:t>
              </a:r>
              <a:endParaRPr lang="pt-BR" sz="1100" b="1">
                <a:solidFill>
                  <a:schemeClr val="bg1"/>
                </a:solidFill>
                <a:effectLst>
                  <a:glow rad="139700">
                    <a:schemeClr val="accent4">
                      <a:satMod val="175000"/>
                      <a:alpha val="40000"/>
                    </a:schemeClr>
                  </a:glow>
                  <a:outerShdw blurRad="50800" dist="38100" algn="l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8" name="Retângulo: Cantos Arredondados 187">
              <a:extLst>
                <a:ext uri="{FF2B5EF4-FFF2-40B4-BE49-F238E27FC236}">
                  <a16:creationId xmlns:a16="http://schemas.microsoft.com/office/drawing/2014/main" id="{18B5C138-209D-4DB6-BFA4-B0BC8019DE77}"/>
                </a:ext>
              </a:extLst>
            </xdr:cNvPr>
            <xdr:cNvSpPr/>
          </xdr:nvSpPr>
          <xdr:spPr>
            <a:xfrm>
              <a:off x="5219700" y="2195512"/>
              <a:ext cx="1933575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EA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9" name="Retângulo: Cantos Arredondados 188">
              <a:extLst>
                <a:ext uri="{FF2B5EF4-FFF2-40B4-BE49-F238E27FC236}">
                  <a16:creationId xmlns:a16="http://schemas.microsoft.com/office/drawing/2014/main" id="{10493EDE-BC43-4FB0-8361-1B14CF4A1F15}"/>
                </a:ext>
              </a:extLst>
            </xdr:cNvPr>
            <xdr:cNvSpPr/>
          </xdr:nvSpPr>
          <xdr:spPr>
            <a:xfrm>
              <a:off x="7610473" y="2205037"/>
              <a:ext cx="2381251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 MANICRAFT SEASON PASS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0" name="Retângulo: Cantos Arredondados 189">
              <a:extLst>
                <a:ext uri="{FF2B5EF4-FFF2-40B4-BE49-F238E27FC236}">
                  <a16:creationId xmlns:a16="http://schemas.microsoft.com/office/drawing/2014/main" id="{35EE7BCA-A150-4E3D-B814-06B32D8C346D}"/>
                </a:ext>
              </a:extLst>
            </xdr:cNvPr>
            <xdr:cNvSpPr/>
          </xdr:nvSpPr>
          <xdr:spPr>
            <a:xfrm>
              <a:off x="2305049" y="2817660"/>
              <a:ext cx="3076575" cy="239865"/>
            </a:xfrm>
            <a:prstGeom prst="roundRect">
              <a:avLst/>
            </a:prstGeom>
            <a:solidFill>
              <a:srgbClr val="9BC84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50"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INSCRIÇÕES</a:t>
              </a:r>
              <a:endParaRPr lang="en-US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O65">
          <xdr:nvSpPr>
            <xdr:cNvPr id="191" name="Retângulo: Cantos Arredondados 190">
              <a:extLst>
                <a:ext uri="{FF2B5EF4-FFF2-40B4-BE49-F238E27FC236}">
                  <a16:creationId xmlns:a16="http://schemas.microsoft.com/office/drawing/2014/main" id="{7BDBFCFF-7ACB-4744-A0E6-9AA0E3A00A1D}"/>
                </a:ext>
              </a:extLst>
            </xdr:cNvPr>
            <xdr:cNvSpPr/>
          </xdr:nvSpPr>
          <xdr:spPr>
            <a:xfrm>
              <a:off x="4333875" y="2552700"/>
              <a:ext cx="981075" cy="2000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5D9CB9C-B4F3-4770-B3ED-85189EC1330F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R$ 1.470,00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N65">
          <xdr:nvSpPr>
            <xdr:cNvPr id="192" name="Retângulo: Cantos Arredondados 191">
              <a:extLst>
                <a:ext uri="{FF2B5EF4-FFF2-40B4-BE49-F238E27FC236}">
                  <a16:creationId xmlns:a16="http://schemas.microsoft.com/office/drawing/2014/main" id="{089F2324-2C90-4245-8072-4622C0977240}"/>
                </a:ext>
              </a:extLst>
            </xdr:cNvPr>
            <xdr:cNvSpPr/>
          </xdr:nvSpPr>
          <xdr:spPr>
            <a:xfrm>
              <a:off x="4333875" y="2838450"/>
              <a:ext cx="981075" cy="2000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E8B971C-74EE-4429-9BD2-88F3C943ABD9}" type="TxLink">
                <a:rPr lang="en-US" sz="1100" b="0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98</a:t>
              </a:fld>
              <a:endParaRPr lang="en-US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3" name="Retângulo: Cantos Arredondados 192">
              <a:extLst>
                <a:ext uri="{FF2B5EF4-FFF2-40B4-BE49-F238E27FC236}">
                  <a16:creationId xmlns:a16="http://schemas.microsoft.com/office/drawing/2014/main" id="{742F1249-1A3E-4C6E-8DA6-1F4468C37678}"/>
                </a:ext>
              </a:extLst>
            </xdr:cNvPr>
            <xdr:cNvSpPr/>
          </xdr:nvSpPr>
          <xdr:spPr>
            <a:xfrm>
              <a:off x="9896473" y="2205037"/>
              <a:ext cx="1495427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VALOR FINAL</a:t>
              </a:r>
              <a:endPara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194" name="Agrupar 193">
              <a:extLst>
                <a:ext uri="{FF2B5EF4-FFF2-40B4-BE49-F238E27FC236}">
                  <a16:creationId xmlns:a16="http://schemas.microsoft.com/office/drawing/2014/main" id="{4A5E2A4B-1EC9-49E1-AD6B-C1E883E0FF48}"/>
                </a:ext>
              </a:extLst>
            </xdr:cNvPr>
            <xdr:cNvGrpSpPr/>
          </xdr:nvGrpSpPr>
          <xdr:grpSpPr>
            <a:xfrm>
              <a:off x="5581650" y="2522385"/>
              <a:ext cx="2133600" cy="525615"/>
              <a:chOff x="5695950" y="2531910"/>
              <a:chExt cx="2133600" cy="525615"/>
            </a:xfrm>
          </xdr:grpSpPr>
          <xdr:grpSp>
            <xdr:nvGrpSpPr>
              <xdr:cNvPr id="209" name="Agrupar 208">
                <a:extLst>
                  <a:ext uri="{FF2B5EF4-FFF2-40B4-BE49-F238E27FC236}">
                    <a16:creationId xmlns:a16="http://schemas.microsoft.com/office/drawing/2014/main" id="{99D5B6B3-0FF0-4C90-94ED-6DA72C6CFAF9}"/>
                  </a:ext>
                </a:extLst>
              </xdr:cNvPr>
              <xdr:cNvGrpSpPr/>
            </xdr:nvGrpSpPr>
            <xdr:grpSpPr>
              <a:xfrm>
                <a:off x="5695950" y="2531910"/>
                <a:ext cx="2133600" cy="239865"/>
                <a:chOff x="5695950" y="2531910"/>
                <a:chExt cx="2133600" cy="239865"/>
              </a:xfrm>
            </xdr:grpSpPr>
            <xdr:sp macro="" textlink="">
              <xdr:nvSpPr>
                <xdr:cNvPr id="213" name="Retângulo: Cantos Arredondados 212">
                  <a:extLst>
                    <a:ext uri="{FF2B5EF4-FFF2-40B4-BE49-F238E27FC236}">
                      <a16:creationId xmlns:a16="http://schemas.microsoft.com/office/drawing/2014/main" id="{A4040F66-0147-4FC5-AB53-CF3EB20FC8E8}"/>
                    </a:ext>
                  </a:extLst>
                </xdr:cNvPr>
                <xdr:cNvSpPr/>
              </xdr:nvSpPr>
              <xdr:spPr>
                <a:xfrm>
                  <a:off x="569595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41">
              <xdr:nvSpPr>
                <xdr:cNvPr id="214" name="Retângulo: Cantos Arredondados 213">
                  <a:extLst>
                    <a:ext uri="{FF2B5EF4-FFF2-40B4-BE49-F238E27FC236}">
                      <a16:creationId xmlns:a16="http://schemas.microsoft.com/office/drawing/2014/main" id="{70225567-5ADC-4DED-BC44-E4B0A69488D5}"/>
                    </a:ext>
                  </a:extLst>
                </xdr:cNvPr>
                <xdr:cNvSpPr/>
              </xdr:nvSpPr>
              <xdr:spPr>
                <a:xfrm>
                  <a:off x="6800850" y="2562225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99E709D9-2964-48DF-99D3-4C98C5BF8191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R$ 2.940,00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10" name="Agrupar 209">
                <a:extLst>
                  <a:ext uri="{FF2B5EF4-FFF2-40B4-BE49-F238E27FC236}">
                    <a16:creationId xmlns:a16="http://schemas.microsoft.com/office/drawing/2014/main" id="{A070F51A-B1B2-40DF-94BA-837486345644}"/>
                  </a:ext>
                </a:extLst>
              </xdr:cNvPr>
              <xdr:cNvGrpSpPr/>
            </xdr:nvGrpSpPr>
            <xdr:grpSpPr>
              <a:xfrm>
                <a:off x="5695950" y="2817660"/>
                <a:ext cx="2133600" cy="239865"/>
                <a:chOff x="5695950" y="2817660"/>
                <a:chExt cx="2133600" cy="239865"/>
              </a:xfrm>
            </xdr:grpSpPr>
            <xdr:sp macro="" textlink="">
              <xdr:nvSpPr>
                <xdr:cNvPr id="211" name="Retângulo: Cantos Arredondados 210">
                  <a:extLst>
                    <a:ext uri="{FF2B5EF4-FFF2-40B4-BE49-F238E27FC236}">
                      <a16:creationId xmlns:a16="http://schemas.microsoft.com/office/drawing/2014/main" id="{71C1EBA9-C623-4D54-8FB1-3FE5DC396BFD}"/>
                    </a:ext>
                  </a:extLst>
                </xdr:cNvPr>
                <xdr:cNvSpPr/>
              </xdr:nvSpPr>
              <xdr:spPr>
                <a:xfrm>
                  <a:off x="569595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N41">
              <xdr:nvSpPr>
                <xdr:cNvPr id="212" name="Retângulo: Cantos Arredondados 211">
                  <a:extLst>
                    <a:ext uri="{FF2B5EF4-FFF2-40B4-BE49-F238E27FC236}">
                      <a16:creationId xmlns:a16="http://schemas.microsoft.com/office/drawing/2014/main" id="{C0458EE1-1CF0-4B93-9C78-83CDFD75CA0D}"/>
                    </a:ext>
                  </a:extLst>
                </xdr:cNvPr>
                <xdr:cNvSpPr/>
              </xdr:nvSpPr>
              <xdr:spPr>
                <a:xfrm>
                  <a:off x="6800850" y="2847975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2FADF007-2556-4A33-87E2-2758C555A36B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98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  <xdr:grpSp>
          <xdr:nvGrpSpPr>
            <xdr:cNvPr id="195" name="Agrupar 194">
              <a:extLst>
                <a:ext uri="{FF2B5EF4-FFF2-40B4-BE49-F238E27FC236}">
                  <a16:creationId xmlns:a16="http://schemas.microsoft.com/office/drawing/2014/main" id="{A25A82E9-A298-4700-BBD8-89506A268A9F}"/>
                </a:ext>
              </a:extLst>
            </xdr:cNvPr>
            <xdr:cNvGrpSpPr/>
          </xdr:nvGrpSpPr>
          <xdr:grpSpPr>
            <a:xfrm>
              <a:off x="7867650" y="2522385"/>
              <a:ext cx="2133600" cy="525615"/>
              <a:chOff x="8039100" y="2531910"/>
              <a:chExt cx="2133600" cy="525615"/>
            </a:xfrm>
          </xdr:grpSpPr>
          <xdr:grpSp>
            <xdr:nvGrpSpPr>
              <xdr:cNvPr id="203" name="Agrupar 202">
                <a:extLst>
                  <a:ext uri="{FF2B5EF4-FFF2-40B4-BE49-F238E27FC236}">
                    <a16:creationId xmlns:a16="http://schemas.microsoft.com/office/drawing/2014/main" id="{D2A15A1C-50E0-45EA-85CE-D809A542B23A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07" name="Retângulo: Cantos Arredondados 206">
                  <a:extLst>
                    <a:ext uri="{FF2B5EF4-FFF2-40B4-BE49-F238E27FC236}">
                      <a16:creationId xmlns:a16="http://schemas.microsoft.com/office/drawing/2014/main" id="{9AD90958-CC61-4059-B311-01E04F200146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O55">
              <xdr:nvSpPr>
                <xdr:cNvPr id="208" name="Retângulo: Cantos Arredondados 207">
                  <a:extLst>
                    <a:ext uri="{FF2B5EF4-FFF2-40B4-BE49-F238E27FC236}">
                      <a16:creationId xmlns:a16="http://schemas.microsoft.com/office/drawing/2014/main" id="{019A23D5-58C8-4DEC-B4A6-68832AE6B1DF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826CDD26-A8A1-4C2B-8A7C-17D655898AF9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R$ 1.960,00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204" name="Agrupar 203">
                <a:extLst>
                  <a:ext uri="{FF2B5EF4-FFF2-40B4-BE49-F238E27FC236}">
                    <a16:creationId xmlns:a16="http://schemas.microsoft.com/office/drawing/2014/main" id="{C903C079-5ED3-4576-892D-641C1C28DE0D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205" name="Retângulo: Cantos Arredondados 204">
                  <a:extLst>
                    <a:ext uri="{FF2B5EF4-FFF2-40B4-BE49-F238E27FC236}">
                      <a16:creationId xmlns:a16="http://schemas.microsoft.com/office/drawing/2014/main" id="{41A7F585-A60D-4807-832B-27F0C02440C8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N55">
              <xdr:nvSpPr>
                <xdr:cNvPr id="206" name="Retângulo: Cantos Arredondados 205">
                  <a:extLst>
                    <a:ext uri="{FF2B5EF4-FFF2-40B4-BE49-F238E27FC236}">
                      <a16:creationId xmlns:a16="http://schemas.microsoft.com/office/drawing/2014/main" id="{8ACB5AC8-C8F7-4F96-B952-B9C476F5BBA1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2239BED3-173E-47E9-802F-E53E263CDF38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98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  <xdr:grpSp>
          <xdr:nvGrpSpPr>
            <xdr:cNvPr id="196" name="Agrupar 195">
              <a:extLst>
                <a:ext uri="{FF2B5EF4-FFF2-40B4-BE49-F238E27FC236}">
                  <a16:creationId xmlns:a16="http://schemas.microsoft.com/office/drawing/2014/main" id="{1E35EA30-7A3B-4702-8513-056CAC2CEEF9}"/>
                </a:ext>
              </a:extLst>
            </xdr:cNvPr>
            <xdr:cNvGrpSpPr/>
          </xdr:nvGrpSpPr>
          <xdr:grpSpPr>
            <a:xfrm>
              <a:off x="10153650" y="2512860"/>
              <a:ext cx="2133600" cy="525615"/>
              <a:chOff x="8039100" y="2531910"/>
              <a:chExt cx="2133600" cy="525615"/>
            </a:xfrm>
          </xdr:grpSpPr>
          <xdr:grpSp>
            <xdr:nvGrpSpPr>
              <xdr:cNvPr id="197" name="Agrupar 196">
                <a:extLst>
                  <a:ext uri="{FF2B5EF4-FFF2-40B4-BE49-F238E27FC236}">
                    <a16:creationId xmlns:a16="http://schemas.microsoft.com/office/drawing/2014/main" id="{A325021D-F9A0-4268-A8D6-D2E84C25BAA4}"/>
                  </a:ext>
                </a:extLst>
              </xdr:cNvPr>
              <xdr:cNvGrpSpPr/>
            </xdr:nvGrpSpPr>
            <xdr:grpSpPr>
              <a:xfrm>
                <a:off x="8039100" y="2531910"/>
                <a:ext cx="2133600" cy="239865"/>
                <a:chOff x="8039100" y="2531910"/>
                <a:chExt cx="2133600" cy="239865"/>
              </a:xfrm>
            </xdr:grpSpPr>
            <xdr:sp macro="" textlink="">
              <xdr:nvSpPr>
                <xdr:cNvPr id="201" name="Retângulo: Cantos Arredondados 200">
                  <a:extLst>
                    <a:ext uri="{FF2B5EF4-FFF2-40B4-BE49-F238E27FC236}">
                      <a16:creationId xmlns:a16="http://schemas.microsoft.com/office/drawing/2014/main" id="{B103C1B7-4ED9-47D4-B8B1-8B0B78323051}"/>
                    </a:ext>
                  </a:extLst>
                </xdr:cNvPr>
                <xdr:cNvSpPr/>
              </xdr:nvSpPr>
              <xdr:spPr>
                <a:xfrm>
                  <a:off x="8039100" y="253191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FATURAMENTO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S65">
              <xdr:nvSpPr>
                <xdr:cNvPr id="202" name="Retângulo: Cantos Arredondados 201">
                  <a:extLst>
                    <a:ext uri="{FF2B5EF4-FFF2-40B4-BE49-F238E27FC236}">
                      <a16:creationId xmlns:a16="http://schemas.microsoft.com/office/drawing/2014/main" id="{0018755C-B546-41E6-9161-59FB5A68AC33}"/>
                    </a:ext>
                  </a:extLst>
                </xdr:cNvPr>
                <xdr:cNvSpPr/>
              </xdr:nvSpPr>
              <xdr:spPr>
                <a:xfrm>
                  <a:off x="9163050" y="2552700"/>
                  <a:ext cx="981075" cy="2000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6953B0C3-63A3-4D46-B528-BF1C3AF491AF}" type="TxLink">
                    <a:rPr lang="en-US" sz="1100" b="0" i="0" u="none" strike="noStrike">
                      <a:solidFill>
                        <a:srgbClr val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pPr algn="ctr"/>
                    <a:t>R$ 5.388,00</a:t>
                  </a:fld>
                  <a:endParaRPr lang="en-US" sz="11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198" name="Agrupar 197">
                <a:extLst>
                  <a:ext uri="{FF2B5EF4-FFF2-40B4-BE49-F238E27FC236}">
                    <a16:creationId xmlns:a16="http://schemas.microsoft.com/office/drawing/2014/main" id="{443F0E76-EAA5-4697-BA60-380C1C9E848B}"/>
                  </a:ext>
                </a:extLst>
              </xdr:cNvPr>
              <xdr:cNvGrpSpPr/>
            </xdr:nvGrpSpPr>
            <xdr:grpSpPr>
              <a:xfrm>
                <a:off x="8039100" y="2817660"/>
                <a:ext cx="2133600" cy="239865"/>
                <a:chOff x="8039100" y="2817660"/>
                <a:chExt cx="2133600" cy="239865"/>
              </a:xfrm>
            </xdr:grpSpPr>
            <xdr:sp macro="" textlink="">
              <xdr:nvSpPr>
                <xdr:cNvPr id="199" name="Retângulo: Cantos Arredondados 198">
                  <a:extLst>
                    <a:ext uri="{FF2B5EF4-FFF2-40B4-BE49-F238E27FC236}">
                      <a16:creationId xmlns:a16="http://schemas.microsoft.com/office/drawing/2014/main" id="{02B4F603-4B63-4A4F-BAC4-CC8A14D8A721}"/>
                    </a:ext>
                  </a:extLst>
                </xdr:cNvPr>
                <xdr:cNvSpPr/>
              </xdr:nvSpPr>
              <xdr:spPr>
                <a:xfrm>
                  <a:off x="8039100" y="2817660"/>
                  <a:ext cx="2133600" cy="239865"/>
                </a:xfrm>
                <a:prstGeom prst="roundRect">
                  <a:avLst/>
                </a:prstGeom>
                <a:solidFill>
                  <a:srgbClr val="9BC84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05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INSCRIÇÕES</a:t>
                  </a:r>
                  <a:endParaRPr lang="en-US" sz="105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U65">
              <xdr:nvSpPr>
                <xdr:cNvPr id="200" name="Retângulo: Cantos Arredondados 199">
                  <a:extLst>
                    <a:ext uri="{FF2B5EF4-FFF2-40B4-BE49-F238E27FC236}">
                      <a16:creationId xmlns:a16="http://schemas.microsoft.com/office/drawing/2014/main" id="{ADA8AD61-5EB9-45C2-B8EF-619E255B4FF7}"/>
                    </a:ext>
                  </a:extLst>
                </xdr:cNvPr>
                <xdr:cNvSpPr/>
              </xdr:nvSpPr>
              <xdr:spPr>
                <a:xfrm>
                  <a:off x="9163050" y="2838450"/>
                  <a:ext cx="981075" cy="2000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D5FD5666-F4AD-4C1E-AB72-890DEF08DCF0}" type="TxLink">
                    <a:rPr lang="en-US" sz="1200" b="0" i="0" u="none" strike="noStrike">
                      <a:solidFill>
                        <a:srgbClr val="000000"/>
                      </a:solidFill>
                      <a:latin typeface="Aptos Narrow"/>
                      <a:cs typeface="Segoe UI" panose="020B0502040204020203" pitchFamily="34" charset="0"/>
                    </a:rPr>
                    <a:pPr algn="ctr"/>
                    <a:t>294</a:t>
                  </a:fld>
                  <a:endParaRPr lang="en-US" sz="1200"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</xdr:grpSp>
    </xdr:grpSp>
    <xdr:clientData/>
  </xdr:twoCellAnchor>
  <xdr:twoCellAnchor>
    <xdr:from>
      <xdr:col>18</xdr:col>
      <xdr:colOff>561976</xdr:colOff>
      <xdr:row>24</xdr:row>
      <xdr:rowOff>171451</xdr:rowOff>
    </xdr:from>
    <xdr:to>
      <xdr:col>21</xdr:col>
      <xdr:colOff>85726</xdr:colOff>
      <xdr:row>26</xdr:row>
      <xdr:rowOff>24743</xdr:rowOff>
    </xdr:to>
    <xdr:sp macro="" textlink="">
      <xdr:nvSpPr>
        <xdr:cNvPr id="121" name="Retângulo: Cantos Arredondados 120">
          <a:extLst>
            <a:ext uri="{FF2B5EF4-FFF2-40B4-BE49-F238E27FC236}">
              <a16:creationId xmlns:a16="http://schemas.microsoft.com/office/drawing/2014/main" id="{BA07D09A-76B0-443B-8488-E28511E99A2C}"/>
            </a:ext>
          </a:extLst>
        </xdr:cNvPr>
        <xdr:cNvSpPr/>
      </xdr:nvSpPr>
      <xdr:spPr>
        <a:xfrm>
          <a:off x="11096626" y="5334001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533401</xdr:colOff>
      <xdr:row>19</xdr:row>
      <xdr:rowOff>104776</xdr:rowOff>
    </xdr:from>
    <xdr:to>
      <xdr:col>21</xdr:col>
      <xdr:colOff>57151</xdr:colOff>
      <xdr:row>21</xdr:row>
      <xdr:rowOff>34268</xdr:rowOff>
    </xdr:to>
    <xdr:sp macro="" textlink="">
      <xdr:nvSpPr>
        <xdr:cNvPr id="313" name="Retângulo: Cantos Arredondados 312">
          <a:extLst>
            <a:ext uri="{FF2B5EF4-FFF2-40B4-BE49-F238E27FC236}">
              <a16:creationId xmlns:a16="http://schemas.microsoft.com/office/drawing/2014/main" id="{F9916F14-726E-4B2F-96C6-F47C0B46F3A4}"/>
            </a:ext>
          </a:extLst>
        </xdr:cNvPr>
        <xdr:cNvSpPr/>
      </xdr:nvSpPr>
      <xdr:spPr>
        <a:xfrm>
          <a:off x="11068051" y="4276726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504826</xdr:colOff>
      <xdr:row>14</xdr:row>
      <xdr:rowOff>142876</xdr:rowOff>
    </xdr:from>
    <xdr:to>
      <xdr:col>21</xdr:col>
      <xdr:colOff>28576</xdr:colOff>
      <xdr:row>15</xdr:row>
      <xdr:rowOff>129518</xdr:rowOff>
    </xdr:to>
    <xdr:sp macro="" textlink="">
      <xdr:nvSpPr>
        <xdr:cNvPr id="314" name="Retângulo: Cantos Arredondados 313">
          <a:extLst>
            <a:ext uri="{FF2B5EF4-FFF2-40B4-BE49-F238E27FC236}">
              <a16:creationId xmlns:a16="http://schemas.microsoft.com/office/drawing/2014/main" id="{6E74E8EE-B811-414A-A0B2-784640BCC3F2}"/>
            </a:ext>
          </a:extLst>
        </xdr:cNvPr>
        <xdr:cNvSpPr/>
      </xdr:nvSpPr>
      <xdr:spPr>
        <a:xfrm>
          <a:off x="11039476" y="3209926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APLICADO</a:t>
          </a:r>
          <a:endParaRPr lang="pt-BR" sz="800">
            <a:solidFill>
              <a:srgbClr val="22C55E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257175</xdr:colOff>
      <xdr:row>22</xdr:row>
      <xdr:rowOff>102928</xdr:rowOff>
    </xdr:from>
    <xdr:to>
      <xdr:col>3</xdr:col>
      <xdr:colOff>26336</xdr:colOff>
      <xdr:row>27</xdr:row>
      <xdr:rowOff>85725</xdr:rowOff>
    </xdr:to>
    <xdr:sp macro="" textlink="">
      <xdr:nvSpPr>
        <xdr:cNvPr id="315" name="Colchete Esquerdo 314">
          <a:extLst>
            <a:ext uri="{FF2B5EF4-FFF2-40B4-BE49-F238E27FC236}">
              <a16:creationId xmlns:a16="http://schemas.microsoft.com/office/drawing/2014/main" id="{96817E44-0EC4-4030-972E-F7821EEBA270}"/>
            </a:ext>
          </a:extLst>
        </xdr:cNvPr>
        <xdr:cNvSpPr/>
      </xdr:nvSpPr>
      <xdr:spPr>
        <a:xfrm>
          <a:off x="2152650" y="4817803"/>
          <a:ext cx="112061" cy="1049597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10</xdr:col>
      <xdr:colOff>200023</xdr:colOff>
      <xdr:row>5</xdr:row>
      <xdr:rowOff>142875</xdr:rowOff>
    </xdr:from>
    <xdr:to>
      <xdr:col>19</xdr:col>
      <xdr:colOff>571500</xdr:colOff>
      <xdr:row>12</xdr:row>
      <xdr:rowOff>80775</xdr:rowOff>
    </xdr:to>
    <xdr:graphicFrame macro="">
      <xdr:nvGraphicFramePr>
        <xdr:cNvPr id="123" name="Gráfico 122">
          <a:extLst>
            <a:ext uri="{FF2B5EF4-FFF2-40B4-BE49-F238E27FC236}">
              <a16:creationId xmlns:a16="http://schemas.microsoft.com/office/drawing/2014/main" id="{2537B3DD-6B93-4F63-9416-7290E0ED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190500</xdr:rowOff>
    </xdr:from>
    <xdr:to>
      <xdr:col>1</xdr:col>
      <xdr:colOff>0</xdr:colOff>
      <xdr:row>24</xdr:row>
      <xdr:rowOff>189077</xdr:rowOff>
    </xdr:to>
    <xdr:sp macro="" textlink="">
      <xdr:nvSpPr>
        <xdr:cNvPr id="125" name="Retângulo: Cantos Arredondados 1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2EFC6B-AA45-420C-8441-724C1A9D97D0}"/>
            </a:ext>
          </a:extLst>
        </xdr:cNvPr>
        <xdr:cNvSpPr/>
      </xdr:nvSpPr>
      <xdr:spPr>
        <a:xfrm>
          <a:off x="0" y="5095875"/>
          <a:ext cx="1628775" cy="25575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RETORNAR</a:t>
          </a:r>
        </a:p>
      </xdr:txBody>
    </xdr:sp>
    <xdr:clientData/>
  </xdr:twoCellAnchor>
  <xdr:twoCellAnchor>
    <xdr:from>
      <xdr:col>0</xdr:col>
      <xdr:colOff>0</xdr:colOff>
      <xdr:row>25</xdr:row>
      <xdr:rowOff>19050</xdr:rowOff>
    </xdr:from>
    <xdr:to>
      <xdr:col>1</xdr:col>
      <xdr:colOff>0</xdr:colOff>
      <xdr:row>26</xdr:row>
      <xdr:rowOff>93827</xdr:rowOff>
    </xdr:to>
    <xdr:sp macro="" textlink="">
      <xdr:nvSpPr>
        <xdr:cNvPr id="122" name="Retângulo: Cantos Arredondados 1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EB02E71-FCBA-4005-88FD-19D9D63BD2C9}"/>
            </a:ext>
          </a:extLst>
        </xdr:cNvPr>
        <xdr:cNvSpPr/>
      </xdr:nvSpPr>
      <xdr:spPr>
        <a:xfrm>
          <a:off x="0" y="5438775"/>
          <a:ext cx="1628775" cy="25575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TELA</a:t>
          </a:r>
          <a:r>
            <a:rPr lang="pt-BR" sz="1000" b="1" baseline="0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 INICIAL</a:t>
          </a:r>
          <a:endParaRPr lang="pt-BR" sz="1000" b="1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66676</xdr:colOff>
      <xdr:row>13</xdr:row>
      <xdr:rowOff>114300</xdr:rowOff>
    </xdr:from>
    <xdr:to>
      <xdr:col>19</xdr:col>
      <xdr:colOff>638175</xdr:colOff>
      <xdr:row>25</xdr:row>
      <xdr:rowOff>85725</xdr:rowOff>
    </xdr:to>
    <xdr:graphicFrame macro="">
      <xdr:nvGraphicFramePr>
        <xdr:cNvPr id="202" name="Gráfico 201">
          <a:extLst>
            <a:ext uri="{FF2B5EF4-FFF2-40B4-BE49-F238E27FC236}">
              <a16:creationId xmlns:a16="http://schemas.microsoft.com/office/drawing/2014/main" id="{22B9E4BC-4805-41E8-898A-494E62091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458277</xdr:colOff>
      <xdr:row>0</xdr:row>
      <xdr:rowOff>139390</xdr:rowOff>
    </xdr:from>
    <xdr:to>
      <xdr:col>0</xdr:col>
      <xdr:colOff>1201692</xdr:colOff>
      <xdr:row>4</xdr:row>
      <xdr:rowOff>81310</xdr:rowOff>
    </xdr:to>
    <xdr:sp macro="" textlink="">
      <xdr:nvSpPr>
        <xdr:cNvPr id="3" name="Fluxograma: Conector 2">
          <a:extLst>
            <a:ext uri="{FF2B5EF4-FFF2-40B4-BE49-F238E27FC236}">
              <a16:creationId xmlns:a16="http://schemas.microsoft.com/office/drawing/2014/main" id="{C05E409C-45D1-44F0-BD4D-128DCEF5273A}"/>
            </a:ext>
          </a:extLst>
        </xdr:cNvPr>
        <xdr:cNvSpPr/>
      </xdr:nvSpPr>
      <xdr:spPr>
        <a:xfrm>
          <a:off x="458277" y="139390"/>
          <a:ext cx="743415" cy="665820"/>
        </a:xfrm>
        <a:prstGeom prst="flowChartConnector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137532</xdr:colOff>
      <xdr:row>0</xdr:row>
      <xdr:rowOff>99260</xdr:rowOff>
    </xdr:from>
    <xdr:to>
      <xdr:col>7</xdr:col>
      <xdr:colOff>190500</xdr:colOff>
      <xdr:row>4</xdr:row>
      <xdr:rowOff>146956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87BC0E5-36DC-4F6E-92E8-F99D1684B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007" y="99260"/>
          <a:ext cx="2329443" cy="771596"/>
        </a:xfrm>
        <a:prstGeom prst="rect">
          <a:avLst/>
        </a:prstGeom>
      </xdr:spPr>
    </xdr:pic>
    <xdr:clientData/>
  </xdr:twoCellAnchor>
  <xdr:twoCellAnchor>
    <xdr:from>
      <xdr:col>4</xdr:col>
      <xdr:colOff>490787</xdr:colOff>
      <xdr:row>1</xdr:row>
      <xdr:rowOff>98250</xdr:rowOff>
    </xdr:from>
    <xdr:to>
      <xdr:col>18</xdr:col>
      <xdr:colOff>171450</xdr:colOff>
      <xdr:row>3</xdr:row>
      <xdr:rowOff>109866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DE6C6F4-A012-46B4-ABCB-4A6D83568E92}"/>
            </a:ext>
          </a:extLst>
        </xdr:cNvPr>
        <xdr:cNvSpPr/>
      </xdr:nvSpPr>
      <xdr:spPr>
        <a:xfrm>
          <a:off x="3414962" y="279225"/>
          <a:ext cx="7291138" cy="3735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200" b="1" baseline="0">
              <a:solidFill>
                <a:schemeClr val="bg1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GAME PASS RESULTADOS DE VENDAS 2024</a:t>
          </a:r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247649</xdr:colOff>
      <xdr:row>8</xdr:row>
      <xdr:rowOff>85724</xdr:rowOff>
    </xdr:from>
    <xdr:to>
      <xdr:col>16</xdr:col>
      <xdr:colOff>514350</xdr:colOff>
      <xdr:row>9</xdr:row>
      <xdr:rowOff>295274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F46708A-9437-4845-B1A9-5006421B355C}"/>
            </a:ext>
          </a:extLst>
        </xdr:cNvPr>
        <xdr:cNvSpPr/>
      </xdr:nvSpPr>
      <xdr:spPr>
        <a:xfrm>
          <a:off x="6162674" y="1600199"/>
          <a:ext cx="3514726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200" b="1">
            <a:solidFill>
              <a:schemeClr val="bg1"/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</xdr:colOff>
      <xdr:row>9</xdr:row>
      <xdr:rowOff>116051</xdr:rowOff>
    </xdr:from>
    <xdr:to>
      <xdr:col>0</xdr:col>
      <xdr:colOff>1552575</xdr:colOff>
      <xdr:row>13</xdr:row>
      <xdr:rowOff>76200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C8C1DD6C-F6F2-4295-ACAD-CA7D06DB0EEC}"/>
            </a:ext>
          </a:extLst>
        </xdr:cNvPr>
        <xdr:cNvSpPr/>
      </xdr:nvSpPr>
      <xdr:spPr>
        <a:xfrm>
          <a:off x="9525" y="1808439"/>
          <a:ext cx="1543050" cy="1142270"/>
        </a:xfrm>
        <a:prstGeom prst="rect">
          <a:avLst/>
        </a:prstGeom>
        <a:noFill/>
        <a:ln>
          <a:solidFill>
            <a:srgbClr val="22C55E"/>
          </a:solidFill>
        </a:ln>
        <a:effectLst>
          <a:glow rad="241300">
            <a:schemeClr val="accent6">
              <a:satMod val="175000"/>
              <a:alpha val="28000"/>
            </a:schemeClr>
          </a:glow>
          <a:outerShdw blurRad="114300" sx="104000" sy="104000" algn="ctr" rotWithShape="0">
            <a:srgbClr val="22C55E">
              <a:alpha val="4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19050</xdr:colOff>
      <xdr:row>5</xdr:row>
      <xdr:rowOff>142875</xdr:rowOff>
    </xdr:from>
    <xdr:to>
      <xdr:col>9</xdr:col>
      <xdr:colOff>419100</xdr:colOff>
      <xdr:row>9</xdr:row>
      <xdr:rowOff>123825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8CC2ACE-7A87-4236-82EA-547102E34B1D}"/>
            </a:ext>
          </a:extLst>
        </xdr:cNvPr>
        <xdr:cNvSpPr/>
      </xdr:nvSpPr>
      <xdr:spPr>
        <a:xfrm>
          <a:off x="2257425" y="1047750"/>
          <a:ext cx="2876550" cy="771525"/>
        </a:xfrm>
        <a:prstGeom prst="roundRect">
          <a:avLst>
            <a:gd name="adj" fmla="val 776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51554</xdr:colOff>
      <xdr:row>6</xdr:row>
      <xdr:rowOff>2211</xdr:rowOff>
    </xdr:from>
    <xdr:to>
      <xdr:col>5</xdr:col>
      <xdr:colOff>361949</xdr:colOff>
      <xdr:row>8</xdr:row>
      <xdr:rowOff>142875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F6D6AC4-3DA9-44E0-97C3-D450AB3A6CB5}"/>
            </a:ext>
          </a:extLst>
        </xdr:cNvPr>
        <xdr:cNvSpPr/>
      </xdr:nvSpPr>
      <xdr:spPr>
        <a:xfrm>
          <a:off x="2289929" y="1107111"/>
          <a:ext cx="1681995" cy="55023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FATURAMENTO TOTAL</a:t>
          </a:r>
        </a:p>
      </xdr:txBody>
    </xdr:sp>
    <xdr:clientData/>
  </xdr:twoCellAnchor>
  <xdr:twoCellAnchor>
    <xdr:from>
      <xdr:col>5</xdr:col>
      <xdr:colOff>238125</xdr:colOff>
      <xdr:row>6</xdr:row>
      <xdr:rowOff>6567</xdr:rowOff>
    </xdr:from>
    <xdr:to>
      <xdr:col>9</xdr:col>
      <xdr:colOff>378471</xdr:colOff>
      <xdr:row>9</xdr:row>
      <xdr:rowOff>58486</xdr:rowOff>
    </xdr:to>
    <xdr:sp macro="" textlink="C̳álculos!T113">
      <xdr:nvSpPr>
        <xdr:cNvPr id="14" name="Retângulo: Cantos Arredondados 13">
          <a:extLst>
            <a:ext uri="{FF2B5EF4-FFF2-40B4-BE49-F238E27FC236}">
              <a16:creationId xmlns:a16="http://schemas.microsoft.com/office/drawing/2014/main" id="{0A374A50-80EF-4EA9-9F38-820C4C5251B9}"/>
            </a:ext>
          </a:extLst>
        </xdr:cNvPr>
        <xdr:cNvSpPr/>
      </xdr:nvSpPr>
      <xdr:spPr>
        <a:xfrm>
          <a:off x="3852522" y="1103643"/>
          <a:ext cx="1254431" cy="647231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B02C0E7-F32C-4982-86BF-B372C00366FA}" type="TxLink">
            <a:rPr lang="en-US" sz="14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R$ 7.633,00</a:t>
          </a:fld>
          <a:endParaRPr lang="en-US" sz="16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38101</xdr:colOff>
      <xdr:row>7</xdr:row>
      <xdr:rowOff>200026</xdr:rowOff>
    </xdr:from>
    <xdr:to>
      <xdr:col>5</xdr:col>
      <xdr:colOff>247651</xdr:colOff>
      <xdr:row>9</xdr:row>
      <xdr:rowOff>100943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F4E076D-42DD-4373-8A07-3D800A290786}"/>
            </a:ext>
          </a:extLst>
        </xdr:cNvPr>
        <xdr:cNvSpPr/>
      </xdr:nvSpPr>
      <xdr:spPr>
        <a:xfrm>
          <a:off x="2276476" y="1504951"/>
          <a:ext cx="1581150" cy="2914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DESCONTO</a:t>
          </a:r>
          <a:r>
            <a:rPr lang="pt-BR" sz="800" baseline="0">
              <a:solidFill>
                <a:srgbClr val="22C55E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800" baseline="0"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APLICADO</a:t>
          </a:r>
          <a:endParaRPr lang="pt-BR" sz="800">
            <a:solidFill>
              <a:schemeClr val="tx1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419101</xdr:colOff>
      <xdr:row>0</xdr:row>
      <xdr:rowOff>114300</xdr:rowOff>
    </xdr:from>
    <xdr:to>
      <xdr:col>0</xdr:col>
      <xdr:colOff>1209675</xdr:colOff>
      <xdr:row>4</xdr:row>
      <xdr:rowOff>95250</xdr:rowOff>
    </xdr:to>
    <xdr:sp macro="" textlink="">
      <xdr:nvSpPr>
        <xdr:cNvPr id="121" name="Elipse 120">
          <a:extLst>
            <a:ext uri="{FF2B5EF4-FFF2-40B4-BE49-F238E27FC236}">
              <a16:creationId xmlns:a16="http://schemas.microsoft.com/office/drawing/2014/main" id="{16C040C3-88A0-4D3E-ABE3-38BD916BA519}"/>
            </a:ext>
          </a:extLst>
        </xdr:cNvPr>
        <xdr:cNvSpPr/>
      </xdr:nvSpPr>
      <xdr:spPr>
        <a:xfrm>
          <a:off x="419101" y="114300"/>
          <a:ext cx="790574" cy="704850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15</xdr:col>
      <xdr:colOff>304801</xdr:colOff>
      <xdr:row>5</xdr:row>
      <xdr:rowOff>133350</xdr:rowOff>
    </xdr:from>
    <xdr:to>
      <xdr:col>19</xdr:col>
      <xdr:colOff>581026</xdr:colOff>
      <xdr:row>9</xdr:row>
      <xdr:rowOff>114300</xdr:rowOff>
    </xdr:to>
    <xdr:grpSp>
      <xdr:nvGrpSpPr>
        <xdr:cNvPr id="127" name="Agrupar 126">
          <a:extLst>
            <a:ext uri="{FF2B5EF4-FFF2-40B4-BE49-F238E27FC236}">
              <a16:creationId xmlns:a16="http://schemas.microsoft.com/office/drawing/2014/main" id="{826CBA03-A815-4B13-A6CD-42655DCDA23D}"/>
            </a:ext>
          </a:extLst>
        </xdr:cNvPr>
        <xdr:cNvGrpSpPr/>
      </xdr:nvGrpSpPr>
      <xdr:grpSpPr>
        <a:xfrm>
          <a:off x="8782051" y="1038225"/>
          <a:ext cx="3019425" cy="771525"/>
          <a:chOff x="8801101" y="1000125"/>
          <a:chExt cx="3019425" cy="781050"/>
        </a:xfrm>
      </xdr:grpSpPr>
      <xdr:grpSp>
        <xdr:nvGrpSpPr>
          <xdr:cNvPr id="122" name="Agrupar 121">
            <a:extLst>
              <a:ext uri="{FF2B5EF4-FFF2-40B4-BE49-F238E27FC236}">
                <a16:creationId xmlns:a16="http://schemas.microsoft.com/office/drawing/2014/main" id="{6E15FC74-DD18-44D0-8693-B048BB17D127}"/>
              </a:ext>
            </a:extLst>
          </xdr:cNvPr>
          <xdr:cNvGrpSpPr/>
        </xdr:nvGrpSpPr>
        <xdr:grpSpPr>
          <a:xfrm>
            <a:off x="8943976" y="1000125"/>
            <a:ext cx="2876550" cy="781050"/>
            <a:chOff x="6047710" y="962246"/>
            <a:chExt cx="3432987" cy="872092"/>
          </a:xfrm>
        </xdr:grpSpPr>
        <xdr:sp macro="" textlink="">
          <xdr:nvSpPr>
            <xdr:cNvPr id="123" name="Retângulo: Cantos Arredondados 122">
              <a:extLst>
                <a:ext uri="{FF2B5EF4-FFF2-40B4-BE49-F238E27FC236}">
                  <a16:creationId xmlns:a16="http://schemas.microsoft.com/office/drawing/2014/main" id="{275539DB-F50F-49B1-B243-BA2EDC92DE22}"/>
                </a:ext>
              </a:extLst>
            </xdr:cNvPr>
            <xdr:cNvSpPr/>
          </xdr:nvSpPr>
          <xdr:spPr>
            <a:xfrm>
              <a:off x="6047710" y="962246"/>
              <a:ext cx="3432987" cy="872092"/>
            </a:xfrm>
            <a:prstGeom prst="roundRect">
              <a:avLst>
                <a:gd name="adj" fmla="val 776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4" name="Retângulo: Cantos Arredondados 123">
              <a:extLst>
                <a:ext uri="{FF2B5EF4-FFF2-40B4-BE49-F238E27FC236}">
                  <a16:creationId xmlns:a16="http://schemas.microsoft.com/office/drawing/2014/main" id="{5CE9A2C8-76C9-46BA-8813-0366AD02554A}"/>
                </a:ext>
              </a:extLst>
            </xdr:cNvPr>
            <xdr:cNvSpPr/>
          </xdr:nvSpPr>
          <xdr:spPr>
            <a:xfrm>
              <a:off x="6059076" y="1047974"/>
              <a:ext cx="2068886" cy="6141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>
                  <a:solidFill>
                    <a:sysClr val="windowText" lastClr="0000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TICKET MÉDIO</a:t>
              </a:r>
            </a:p>
          </xdr:txBody>
        </xdr:sp>
        <xdr:sp macro="" textlink="C̳álculos!A88">
          <xdr:nvSpPr>
            <xdr:cNvPr id="125" name="Retângulo: Cantos Arredondados 124">
              <a:extLst>
                <a:ext uri="{FF2B5EF4-FFF2-40B4-BE49-F238E27FC236}">
                  <a16:creationId xmlns:a16="http://schemas.microsoft.com/office/drawing/2014/main" id="{1F1046D3-9E14-4CF1-B1E4-C67976F9F5E6}"/>
                </a:ext>
              </a:extLst>
            </xdr:cNvPr>
            <xdr:cNvSpPr/>
          </xdr:nvSpPr>
          <xdr:spPr>
            <a:xfrm>
              <a:off x="8082492" y="1052736"/>
              <a:ext cx="1329535" cy="681589"/>
            </a:xfrm>
            <a:prstGeom prst="roundRect">
              <a:avLst/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1B1D31F-EBFC-42B3-BC23-E2B8DFA49DA4}" type="TxLink">
                <a:rPr lang="en-US" sz="14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R$ 13,00</a:t>
              </a:fld>
              <a:endParaRPr lang="en-US" sz="20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126" name="Retângulo: Cantos Arredondados 125">
            <a:extLst>
              <a:ext uri="{FF2B5EF4-FFF2-40B4-BE49-F238E27FC236}">
                <a16:creationId xmlns:a16="http://schemas.microsoft.com/office/drawing/2014/main" id="{D84DA2A9-D3CD-4AD5-8887-6DA5A24AA45A}"/>
              </a:ext>
            </a:extLst>
          </xdr:cNvPr>
          <xdr:cNvSpPr/>
        </xdr:nvSpPr>
        <xdr:spPr>
          <a:xfrm>
            <a:off x="8801101" y="1476376"/>
            <a:ext cx="2009774" cy="29144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EMPILHAMENTO</a:t>
            </a:r>
            <a:r>
              <a:rPr lang="pt-BR" sz="800" baseline="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 DE ASSINATURAS</a:t>
            </a:r>
            <a:endParaRPr lang="pt-BR" sz="800"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228601</xdr:colOff>
      <xdr:row>5</xdr:row>
      <xdr:rowOff>133350</xdr:rowOff>
    </xdr:from>
    <xdr:to>
      <xdr:col>15</xdr:col>
      <xdr:colOff>1</xdr:colOff>
      <xdr:row>9</xdr:row>
      <xdr:rowOff>114300</xdr:rowOff>
    </xdr:to>
    <xdr:grpSp>
      <xdr:nvGrpSpPr>
        <xdr:cNvPr id="128" name="Agrupar 127">
          <a:extLst>
            <a:ext uri="{FF2B5EF4-FFF2-40B4-BE49-F238E27FC236}">
              <a16:creationId xmlns:a16="http://schemas.microsoft.com/office/drawing/2014/main" id="{4786AC9E-A79E-4BC2-8633-808D585EE599}"/>
            </a:ext>
          </a:extLst>
        </xdr:cNvPr>
        <xdr:cNvGrpSpPr/>
      </xdr:nvGrpSpPr>
      <xdr:grpSpPr>
        <a:xfrm>
          <a:off x="5457826" y="1038225"/>
          <a:ext cx="3019425" cy="771525"/>
          <a:chOff x="8801101" y="1000125"/>
          <a:chExt cx="3019425" cy="781050"/>
        </a:xfrm>
      </xdr:grpSpPr>
      <xdr:grpSp>
        <xdr:nvGrpSpPr>
          <xdr:cNvPr id="129" name="Agrupar 128">
            <a:extLst>
              <a:ext uri="{FF2B5EF4-FFF2-40B4-BE49-F238E27FC236}">
                <a16:creationId xmlns:a16="http://schemas.microsoft.com/office/drawing/2014/main" id="{76CCEDD4-B136-4FAF-8C2D-8E0BB905F046}"/>
              </a:ext>
            </a:extLst>
          </xdr:cNvPr>
          <xdr:cNvGrpSpPr/>
        </xdr:nvGrpSpPr>
        <xdr:grpSpPr>
          <a:xfrm>
            <a:off x="8943976" y="1000125"/>
            <a:ext cx="2876550" cy="781050"/>
            <a:chOff x="6047710" y="962246"/>
            <a:chExt cx="3432987" cy="872092"/>
          </a:xfrm>
        </xdr:grpSpPr>
        <xdr:sp macro="" textlink="">
          <xdr:nvSpPr>
            <xdr:cNvPr id="131" name="Retângulo: Cantos Arredondados 130">
              <a:extLst>
                <a:ext uri="{FF2B5EF4-FFF2-40B4-BE49-F238E27FC236}">
                  <a16:creationId xmlns:a16="http://schemas.microsoft.com/office/drawing/2014/main" id="{AC792D44-95EF-425C-9202-4A7191428FA4}"/>
                </a:ext>
              </a:extLst>
            </xdr:cNvPr>
            <xdr:cNvSpPr/>
          </xdr:nvSpPr>
          <xdr:spPr>
            <a:xfrm>
              <a:off x="6047710" y="962246"/>
              <a:ext cx="3432987" cy="872092"/>
            </a:xfrm>
            <a:prstGeom prst="roundRect">
              <a:avLst>
                <a:gd name="adj" fmla="val 776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2" name="Retângulo: Cantos Arredondados 131">
              <a:extLst>
                <a:ext uri="{FF2B5EF4-FFF2-40B4-BE49-F238E27FC236}">
                  <a16:creationId xmlns:a16="http://schemas.microsoft.com/office/drawing/2014/main" id="{5C73A971-6E4C-4CFD-A404-A8CEF7B9536D}"/>
                </a:ext>
              </a:extLst>
            </xdr:cNvPr>
            <xdr:cNvSpPr/>
          </xdr:nvSpPr>
          <xdr:spPr>
            <a:xfrm>
              <a:off x="6059076" y="1047973"/>
              <a:ext cx="2068886" cy="5818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>
                  <a:solidFill>
                    <a:sysClr val="windowText" lastClr="0000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aseline="0">
                  <a:solidFill>
                    <a:sysClr val="windowText" lastClr="0000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 DE INSCRIÇÃO</a:t>
              </a:r>
              <a:endParaRPr lang="pt-BR" sz="1200">
                <a:solidFill>
                  <a:sysClr val="windowText" lastClr="0000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S121">
          <xdr:nvSpPr>
            <xdr:cNvPr id="133" name="Retângulo: Cantos Arredondados 132">
              <a:extLst>
                <a:ext uri="{FF2B5EF4-FFF2-40B4-BE49-F238E27FC236}">
                  <a16:creationId xmlns:a16="http://schemas.microsoft.com/office/drawing/2014/main" id="{1C6D1331-6A59-41B2-84DE-AE3C83933663}"/>
                </a:ext>
              </a:extLst>
            </xdr:cNvPr>
            <xdr:cNvSpPr/>
          </xdr:nvSpPr>
          <xdr:spPr>
            <a:xfrm>
              <a:off x="8082492" y="1052736"/>
              <a:ext cx="1329535" cy="681589"/>
            </a:xfrm>
            <a:prstGeom prst="roundRect">
              <a:avLst/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3E62872-BBBA-4BBE-9706-766FFCFA8A32}" type="TxLink">
                <a:rPr lang="en-US" sz="14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587</a:t>
              </a:fld>
              <a:endParaRPr lang="en-US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130" name="Retângulo: Cantos Arredondados 129">
            <a:extLst>
              <a:ext uri="{FF2B5EF4-FFF2-40B4-BE49-F238E27FC236}">
                <a16:creationId xmlns:a16="http://schemas.microsoft.com/office/drawing/2014/main" id="{4D7BB05A-5C6F-43A5-AE65-B0BEDFB73261}"/>
              </a:ext>
            </a:extLst>
          </xdr:cNvPr>
          <xdr:cNvSpPr/>
        </xdr:nvSpPr>
        <xdr:spPr>
          <a:xfrm>
            <a:off x="8801101" y="1476376"/>
            <a:ext cx="2009774" cy="29144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EMPILHAMENTO</a:t>
            </a:r>
            <a:r>
              <a:rPr lang="pt-BR" sz="800" baseline="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 DE ASSINATURAS</a:t>
            </a:r>
            <a:endParaRPr lang="pt-BR" sz="800"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15</xdr:col>
      <xdr:colOff>464359</xdr:colOff>
      <xdr:row>14</xdr:row>
      <xdr:rowOff>170370</xdr:rowOff>
    </xdr:from>
    <xdr:to>
      <xdr:col>19</xdr:col>
      <xdr:colOff>583152</xdr:colOff>
      <xdr:row>17</xdr:row>
      <xdr:rowOff>85728</xdr:rowOff>
    </xdr:to>
    <xdr:grpSp>
      <xdr:nvGrpSpPr>
        <xdr:cNvPr id="144" name="Agrupar 143">
          <a:extLst>
            <a:ext uri="{FF2B5EF4-FFF2-40B4-BE49-F238E27FC236}">
              <a16:creationId xmlns:a16="http://schemas.microsoft.com/office/drawing/2014/main" id="{460E6592-262A-4D3B-9E43-5F45DC19D525}"/>
            </a:ext>
          </a:extLst>
        </xdr:cNvPr>
        <xdr:cNvGrpSpPr/>
      </xdr:nvGrpSpPr>
      <xdr:grpSpPr>
        <a:xfrm>
          <a:off x="8941609" y="3237420"/>
          <a:ext cx="2861993" cy="715458"/>
          <a:chOff x="2257425" y="2200276"/>
          <a:chExt cx="2867025" cy="715993"/>
        </a:xfrm>
      </xdr:grpSpPr>
      <xdr:sp macro="" textlink="">
        <xdr:nvSpPr>
          <xdr:cNvPr id="85" name="Retângulo: Cantos Arredondados 84">
            <a:extLst>
              <a:ext uri="{FF2B5EF4-FFF2-40B4-BE49-F238E27FC236}">
                <a16:creationId xmlns:a16="http://schemas.microsoft.com/office/drawing/2014/main" id="{0ECEDCBE-4A3E-4236-9E97-6D49124E05B4}"/>
              </a:ext>
            </a:extLst>
          </xdr:cNvPr>
          <xdr:cNvSpPr/>
        </xdr:nvSpPr>
        <xdr:spPr>
          <a:xfrm>
            <a:off x="2257425" y="2200276"/>
            <a:ext cx="2867025" cy="715993"/>
          </a:xfrm>
          <a:prstGeom prst="roundRect">
            <a:avLst>
              <a:gd name="adj" fmla="val 7763"/>
            </a:avLst>
          </a:prstGeom>
          <a:solidFill>
            <a:srgbClr val="E8E6E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̳álculos!O143">
        <xdr:nvSpPr>
          <xdr:cNvPr id="86" name="Retângulo: Cantos Arredondados 85">
            <a:extLst>
              <a:ext uri="{FF2B5EF4-FFF2-40B4-BE49-F238E27FC236}">
                <a16:creationId xmlns:a16="http://schemas.microsoft.com/office/drawing/2014/main" id="{AC9D764C-4CE8-46BD-BA08-E4D9E9E1C2E8}"/>
              </a:ext>
            </a:extLst>
          </xdr:cNvPr>
          <xdr:cNvSpPr/>
        </xdr:nvSpPr>
        <xdr:spPr>
          <a:xfrm>
            <a:off x="2384749" y="260137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ED6ECEB1-E151-4C6A-900B-BD8B62FEF49B}" type="TxLink">
              <a:rPr lang="en-US" sz="12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out</a:t>
            </a:fld>
            <a:endParaRPr lang="en-US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43">
        <xdr:nvSpPr>
          <xdr:cNvPr id="91" name="Retângulo: Cantos Arredondados 90">
            <a:extLst>
              <a:ext uri="{FF2B5EF4-FFF2-40B4-BE49-F238E27FC236}">
                <a16:creationId xmlns:a16="http://schemas.microsoft.com/office/drawing/2014/main" id="{9148BC47-606B-4CCD-BE85-96CBC9182E45}"/>
              </a:ext>
            </a:extLst>
          </xdr:cNvPr>
          <xdr:cNvSpPr/>
        </xdr:nvSpPr>
        <xdr:spPr>
          <a:xfrm>
            <a:off x="4108724" y="2622127"/>
            <a:ext cx="837592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60DD7E0-5BEE-4F4C-8BA0-C28090AB9CEC}" type="TxLink">
              <a:rPr lang="en-US" sz="105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R$ 832,00</a:t>
            </a:fld>
            <a:endParaRPr lang="en-US" sz="1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35" name="Retângulo: Cantos Arredondados 134">
            <a:extLst>
              <a:ext uri="{FF2B5EF4-FFF2-40B4-BE49-F238E27FC236}">
                <a16:creationId xmlns:a16="http://schemas.microsoft.com/office/drawing/2014/main" id="{C3F01C94-9E54-4C12-9C9F-B076D162FF1B}"/>
              </a:ext>
            </a:extLst>
          </xdr:cNvPr>
          <xdr:cNvSpPr/>
        </xdr:nvSpPr>
        <xdr:spPr>
          <a:xfrm>
            <a:off x="2394274" y="2306095"/>
            <a:ext cx="2610358" cy="2394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MÊS MAIS LUCRATIVO</a:t>
            </a:r>
            <a:endParaRPr lang="en-US" sz="105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9525</xdr:colOff>
      <xdr:row>9</xdr:row>
      <xdr:rowOff>201868</xdr:rowOff>
    </xdr:from>
    <xdr:to>
      <xdr:col>9</xdr:col>
      <xdr:colOff>400050</xdr:colOff>
      <xdr:row>13</xdr:row>
      <xdr:rowOff>11368</xdr:rowOff>
    </xdr:to>
    <xdr:grpSp>
      <xdr:nvGrpSpPr>
        <xdr:cNvPr id="146" name="Agrupar 145">
          <a:extLst>
            <a:ext uri="{FF2B5EF4-FFF2-40B4-BE49-F238E27FC236}">
              <a16:creationId xmlns:a16="http://schemas.microsoft.com/office/drawing/2014/main" id="{A5B7E2FB-EE10-4AAC-B892-5C5EEC2FCA8A}"/>
            </a:ext>
          </a:extLst>
        </xdr:cNvPr>
        <xdr:cNvGrpSpPr/>
      </xdr:nvGrpSpPr>
      <xdr:grpSpPr>
        <a:xfrm>
          <a:off x="2247900" y="1897318"/>
          <a:ext cx="2867025" cy="1000125"/>
          <a:chOff x="5457825" y="2143125"/>
          <a:chExt cx="2867025" cy="1000125"/>
        </a:xfrm>
      </xdr:grpSpPr>
      <xdr:sp macro="" textlink="">
        <xdr:nvSpPr>
          <xdr:cNvPr id="147" name="Retângulo: Cantos Arredondados 146">
            <a:extLst>
              <a:ext uri="{FF2B5EF4-FFF2-40B4-BE49-F238E27FC236}">
                <a16:creationId xmlns:a16="http://schemas.microsoft.com/office/drawing/2014/main" id="{714420EA-555E-474B-BE4B-236F21959D61}"/>
              </a:ext>
            </a:extLst>
          </xdr:cNvPr>
          <xdr:cNvSpPr/>
        </xdr:nvSpPr>
        <xdr:spPr>
          <a:xfrm>
            <a:off x="5457825" y="2143125"/>
            <a:ext cx="2867025" cy="1000125"/>
          </a:xfrm>
          <a:prstGeom prst="roundRect">
            <a:avLst>
              <a:gd name="adj" fmla="val 7763"/>
            </a:avLst>
          </a:prstGeom>
          <a:solidFill>
            <a:srgbClr val="3939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8" name="Retângulo: Cantos Arredondados 147">
            <a:extLst>
              <a:ext uri="{FF2B5EF4-FFF2-40B4-BE49-F238E27FC236}">
                <a16:creationId xmlns:a16="http://schemas.microsoft.com/office/drawing/2014/main" id="{37ED467B-9D26-42B3-A96A-4ABFB710262E}"/>
              </a:ext>
            </a:extLst>
          </xdr:cNvPr>
          <xdr:cNvSpPr/>
        </xdr:nvSpPr>
        <xdr:spPr>
          <a:xfrm>
            <a:off x="5585149" y="254422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49" name="Retângulo: Cantos Arredondados 148">
            <a:extLst>
              <a:ext uri="{FF2B5EF4-FFF2-40B4-BE49-F238E27FC236}">
                <a16:creationId xmlns:a16="http://schemas.microsoft.com/office/drawing/2014/main" id="{FAD8D89A-CDCB-42A0-AF86-B37EF6FBF1F7}"/>
              </a:ext>
            </a:extLst>
          </xdr:cNvPr>
          <xdr:cNvSpPr/>
        </xdr:nvSpPr>
        <xdr:spPr>
          <a:xfrm>
            <a:off x="5577017" y="2829514"/>
            <a:ext cx="2626623" cy="239482"/>
          </a:xfrm>
          <a:prstGeom prst="round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MINECRAFT</a:t>
            </a:r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O121">
        <xdr:nvSpPr>
          <xdr:cNvPr id="150" name="Retângulo: Cantos Arredondados 149">
            <a:extLst>
              <a:ext uri="{FF2B5EF4-FFF2-40B4-BE49-F238E27FC236}">
                <a16:creationId xmlns:a16="http://schemas.microsoft.com/office/drawing/2014/main" id="{B190348A-0EF0-4851-84E3-976F97B6240C}"/>
              </a:ext>
            </a:extLst>
          </xdr:cNvPr>
          <xdr:cNvSpPr/>
        </xdr:nvSpPr>
        <xdr:spPr>
          <a:xfrm>
            <a:off x="7257831" y="2564977"/>
            <a:ext cx="888887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0B70E03-6E6D-433B-B4D1-47D40B31503B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R$ 2.940,00</a:t>
            </a:fld>
            <a:endParaRPr lang="en-US" sz="10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P121">
        <xdr:nvSpPr>
          <xdr:cNvPr id="151" name="Retângulo: Cantos Arredondados 150">
            <a:extLst>
              <a:ext uri="{FF2B5EF4-FFF2-40B4-BE49-F238E27FC236}">
                <a16:creationId xmlns:a16="http://schemas.microsoft.com/office/drawing/2014/main" id="{C1F6DA42-C751-42FF-9274-3E87318E923D}"/>
              </a:ext>
            </a:extLst>
          </xdr:cNvPr>
          <xdr:cNvSpPr/>
        </xdr:nvSpPr>
        <xdr:spPr>
          <a:xfrm>
            <a:off x="7257831" y="2850270"/>
            <a:ext cx="888887" cy="19970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B885C48-C480-413F-87C2-590685B78AF2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R$ 3.880,00</a:t>
            </a:fld>
            <a:endParaRPr lang="en-US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Retângulo: Cantos Arredondados 151">
            <a:extLst>
              <a:ext uri="{FF2B5EF4-FFF2-40B4-BE49-F238E27FC236}">
                <a16:creationId xmlns:a16="http://schemas.microsoft.com/office/drawing/2014/main" id="{232B1DAE-FD7D-4586-B4E0-F199540098A9}"/>
              </a:ext>
            </a:extLst>
          </xdr:cNvPr>
          <xdr:cNvSpPr/>
        </xdr:nvSpPr>
        <xdr:spPr>
          <a:xfrm>
            <a:off x="5594674" y="2248945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XBOX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21">
        <xdr:nvSpPr>
          <xdr:cNvPr id="153" name="Retângulo: Cantos Arredondados 152">
            <a:extLst>
              <a:ext uri="{FF2B5EF4-FFF2-40B4-BE49-F238E27FC236}">
                <a16:creationId xmlns:a16="http://schemas.microsoft.com/office/drawing/2014/main" id="{B656CEFC-0320-43AC-87E0-A0BD49FCE824}"/>
              </a:ext>
            </a:extLst>
          </xdr:cNvPr>
          <xdr:cNvSpPr/>
        </xdr:nvSpPr>
        <xdr:spPr>
          <a:xfrm>
            <a:off x="7262555" y="2269702"/>
            <a:ext cx="893685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0D683CA-BA34-4059-A55B-51D568166B7B}" type="TxLink">
              <a:rPr lang="en-US" sz="1050" b="0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R$ 2.935,00</a:t>
            </a:fld>
            <a:endParaRPr lang="en-US" sz="10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354538</xdr:colOff>
      <xdr:row>9</xdr:row>
      <xdr:rowOff>201868</xdr:rowOff>
    </xdr:from>
    <xdr:to>
      <xdr:col>14</xdr:col>
      <xdr:colOff>483894</xdr:colOff>
      <xdr:row>13</xdr:row>
      <xdr:rowOff>11368</xdr:rowOff>
    </xdr:to>
    <xdr:grpSp>
      <xdr:nvGrpSpPr>
        <xdr:cNvPr id="162" name="Agrupar 161">
          <a:extLst>
            <a:ext uri="{FF2B5EF4-FFF2-40B4-BE49-F238E27FC236}">
              <a16:creationId xmlns:a16="http://schemas.microsoft.com/office/drawing/2014/main" id="{A8C82019-32FB-4031-A385-35747A7ECE4E}"/>
            </a:ext>
          </a:extLst>
        </xdr:cNvPr>
        <xdr:cNvGrpSpPr/>
      </xdr:nvGrpSpPr>
      <xdr:grpSpPr>
        <a:xfrm>
          <a:off x="5583763" y="1897318"/>
          <a:ext cx="2872556" cy="1000125"/>
          <a:chOff x="5457825" y="2143125"/>
          <a:chExt cx="2867025" cy="1000125"/>
        </a:xfrm>
      </xdr:grpSpPr>
      <xdr:sp macro="" textlink="">
        <xdr:nvSpPr>
          <xdr:cNvPr id="163" name="Retângulo: Cantos Arredondados 162">
            <a:extLst>
              <a:ext uri="{FF2B5EF4-FFF2-40B4-BE49-F238E27FC236}">
                <a16:creationId xmlns:a16="http://schemas.microsoft.com/office/drawing/2014/main" id="{F0B45B75-3D9C-411A-8CE1-510814375A5D}"/>
              </a:ext>
            </a:extLst>
          </xdr:cNvPr>
          <xdr:cNvSpPr/>
        </xdr:nvSpPr>
        <xdr:spPr>
          <a:xfrm>
            <a:off x="5457825" y="2143125"/>
            <a:ext cx="2867025" cy="1000125"/>
          </a:xfrm>
          <a:prstGeom prst="roundRect">
            <a:avLst>
              <a:gd name="adj" fmla="val 7763"/>
            </a:avLst>
          </a:prstGeom>
          <a:solidFill>
            <a:srgbClr val="3939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Retângulo: Cantos Arredondados 163">
            <a:extLst>
              <a:ext uri="{FF2B5EF4-FFF2-40B4-BE49-F238E27FC236}">
                <a16:creationId xmlns:a16="http://schemas.microsoft.com/office/drawing/2014/main" id="{16D3D9D5-4689-41A6-B979-A6C3B1519497}"/>
              </a:ext>
            </a:extLst>
          </xdr:cNvPr>
          <xdr:cNvSpPr/>
        </xdr:nvSpPr>
        <xdr:spPr>
          <a:xfrm>
            <a:off x="5585149" y="254422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65" name="Retângulo: Cantos Arredondados 164">
            <a:extLst>
              <a:ext uri="{FF2B5EF4-FFF2-40B4-BE49-F238E27FC236}">
                <a16:creationId xmlns:a16="http://schemas.microsoft.com/office/drawing/2014/main" id="{39674C23-FEBD-461B-83C7-60FC8114C5E6}"/>
              </a:ext>
            </a:extLst>
          </xdr:cNvPr>
          <xdr:cNvSpPr/>
        </xdr:nvSpPr>
        <xdr:spPr>
          <a:xfrm>
            <a:off x="5577017" y="2829514"/>
            <a:ext cx="2626623" cy="239482"/>
          </a:xfrm>
          <a:prstGeom prst="round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MINECRAFT</a:t>
            </a:r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33">
        <xdr:nvSpPr>
          <xdr:cNvPr id="166" name="Retângulo: Cantos Arredondados 165">
            <a:extLst>
              <a:ext uri="{FF2B5EF4-FFF2-40B4-BE49-F238E27FC236}">
                <a16:creationId xmlns:a16="http://schemas.microsoft.com/office/drawing/2014/main" id="{AE13B344-942B-42C3-A02D-36EE8362DF93}"/>
              </a:ext>
            </a:extLst>
          </xdr:cNvPr>
          <xdr:cNvSpPr/>
        </xdr:nvSpPr>
        <xdr:spPr>
          <a:xfrm>
            <a:off x="7257831" y="2564977"/>
            <a:ext cx="888887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E341153-5FD3-4CED-BE0F-4CC785DBCC98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98</a:t>
            </a:fld>
            <a:endParaRPr lang="en-US" sz="10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27">
        <xdr:nvSpPr>
          <xdr:cNvPr id="167" name="Retângulo: Cantos Arredondados 166">
            <a:extLst>
              <a:ext uri="{FF2B5EF4-FFF2-40B4-BE49-F238E27FC236}">
                <a16:creationId xmlns:a16="http://schemas.microsoft.com/office/drawing/2014/main" id="{1043796B-BFCE-46FF-9465-99921FF8BF1A}"/>
              </a:ext>
            </a:extLst>
          </xdr:cNvPr>
          <xdr:cNvSpPr/>
        </xdr:nvSpPr>
        <xdr:spPr>
          <a:xfrm>
            <a:off x="7257831" y="2850270"/>
            <a:ext cx="888887" cy="19970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C5014CB-12FB-4145-81D2-2B55BCB02096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194</a:t>
            </a:fld>
            <a:endParaRPr lang="en-US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68" name="Retângulo: Cantos Arredondados 167">
            <a:extLst>
              <a:ext uri="{FF2B5EF4-FFF2-40B4-BE49-F238E27FC236}">
                <a16:creationId xmlns:a16="http://schemas.microsoft.com/office/drawing/2014/main" id="{3D164A73-5460-41A1-AE60-C3E74C190F3B}"/>
              </a:ext>
            </a:extLst>
          </xdr:cNvPr>
          <xdr:cNvSpPr/>
        </xdr:nvSpPr>
        <xdr:spPr>
          <a:xfrm>
            <a:off x="5594674" y="2248945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XBOX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M139">
        <xdr:nvSpPr>
          <xdr:cNvPr id="169" name="Retângulo: Cantos Arredondados 168">
            <a:extLst>
              <a:ext uri="{FF2B5EF4-FFF2-40B4-BE49-F238E27FC236}">
                <a16:creationId xmlns:a16="http://schemas.microsoft.com/office/drawing/2014/main" id="{FB090A5E-E89E-44BB-A11C-73F933E2D5C5}"/>
              </a:ext>
            </a:extLst>
          </xdr:cNvPr>
          <xdr:cNvSpPr/>
        </xdr:nvSpPr>
        <xdr:spPr>
          <a:xfrm>
            <a:off x="7262555" y="2269702"/>
            <a:ext cx="893685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3FC5649-4612-4B73-8DCD-88AF5133045C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295</a:t>
            </a:fld>
            <a:endParaRPr lang="en-US" sz="10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15</xdr:col>
      <xdr:colOff>447368</xdr:colOff>
      <xdr:row>9</xdr:row>
      <xdr:rowOff>201868</xdr:rowOff>
    </xdr:from>
    <xdr:to>
      <xdr:col>19</xdr:col>
      <xdr:colOff>576723</xdr:colOff>
      <xdr:row>13</xdr:row>
      <xdr:rowOff>11368</xdr:rowOff>
    </xdr:to>
    <xdr:grpSp>
      <xdr:nvGrpSpPr>
        <xdr:cNvPr id="170" name="Agrupar 169">
          <a:extLst>
            <a:ext uri="{FF2B5EF4-FFF2-40B4-BE49-F238E27FC236}">
              <a16:creationId xmlns:a16="http://schemas.microsoft.com/office/drawing/2014/main" id="{367DA8CB-23AB-410B-8DE9-0BBA4A8B291A}"/>
            </a:ext>
          </a:extLst>
        </xdr:cNvPr>
        <xdr:cNvGrpSpPr/>
      </xdr:nvGrpSpPr>
      <xdr:grpSpPr>
        <a:xfrm>
          <a:off x="8924618" y="1897318"/>
          <a:ext cx="2872555" cy="1000125"/>
          <a:chOff x="5457825" y="2143125"/>
          <a:chExt cx="2867025" cy="1000125"/>
        </a:xfrm>
      </xdr:grpSpPr>
      <xdr:sp macro="" textlink="">
        <xdr:nvSpPr>
          <xdr:cNvPr id="171" name="Retângulo: Cantos Arredondados 170">
            <a:extLst>
              <a:ext uri="{FF2B5EF4-FFF2-40B4-BE49-F238E27FC236}">
                <a16:creationId xmlns:a16="http://schemas.microsoft.com/office/drawing/2014/main" id="{92EB8B2B-1B29-4B64-959E-DF076A7AEE36}"/>
              </a:ext>
            </a:extLst>
          </xdr:cNvPr>
          <xdr:cNvSpPr/>
        </xdr:nvSpPr>
        <xdr:spPr>
          <a:xfrm>
            <a:off x="5457825" y="2143125"/>
            <a:ext cx="2867025" cy="1000125"/>
          </a:xfrm>
          <a:prstGeom prst="roundRect">
            <a:avLst>
              <a:gd name="adj" fmla="val 7763"/>
            </a:avLst>
          </a:prstGeom>
          <a:solidFill>
            <a:srgbClr val="39393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2" name="Retângulo: Cantos Arredondados 171">
            <a:extLst>
              <a:ext uri="{FF2B5EF4-FFF2-40B4-BE49-F238E27FC236}">
                <a16:creationId xmlns:a16="http://schemas.microsoft.com/office/drawing/2014/main" id="{406A3352-0E26-4840-87D5-FD5AC7DF24C6}"/>
              </a:ext>
            </a:extLst>
          </xdr:cNvPr>
          <xdr:cNvSpPr/>
        </xdr:nvSpPr>
        <xdr:spPr>
          <a:xfrm>
            <a:off x="5585149" y="254422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3" name="Retângulo: Cantos Arredondados 172">
            <a:extLst>
              <a:ext uri="{FF2B5EF4-FFF2-40B4-BE49-F238E27FC236}">
                <a16:creationId xmlns:a16="http://schemas.microsoft.com/office/drawing/2014/main" id="{C440DA56-7049-4DAF-BD5A-FF72EB892B87}"/>
              </a:ext>
            </a:extLst>
          </xdr:cNvPr>
          <xdr:cNvSpPr/>
        </xdr:nvSpPr>
        <xdr:spPr>
          <a:xfrm>
            <a:off x="5577017" y="2829514"/>
            <a:ext cx="2626623" cy="239482"/>
          </a:xfrm>
          <a:prstGeom prst="round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MINECRAFT</a:t>
            </a:r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Q95">
        <xdr:nvSpPr>
          <xdr:cNvPr id="174" name="Retângulo: Cantos Arredondados 173">
            <a:extLst>
              <a:ext uri="{FF2B5EF4-FFF2-40B4-BE49-F238E27FC236}">
                <a16:creationId xmlns:a16="http://schemas.microsoft.com/office/drawing/2014/main" id="{6F15B3D6-80F5-49EA-8820-4D435906227A}"/>
              </a:ext>
            </a:extLst>
          </xdr:cNvPr>
          <xdr:cNvSpPr/>
        </xdr:nvSpPr>
        <xdr:spPr>
          <a:xfrm>
            <a:off x="7257831" y="2564977"/>
            <a:ext cx="888887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EBAA202-E87C-4F0B-B9D3-51DEE2BE5F0C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R$ 30,00</a:t>
            </a:fld>
            <a:endParaRPr lang="en-US" b="0">
              <a:cs typeface="Segoe UI" panose="020B0502040204020203" pitchFamily="34" charset="0"/>
            </a:endParaRPr>
          </a:p>
        </xdr:txBody>
      </xdr:sp>
      <xdr:sp macro="" textlink="C̳álculos!M101">
        <xdr:nvSpPr>
          <xdr:cNvPr id="175" name="Retângulo: Cantos Arredondados 174">
            <a:extLst>
              <a:ext uri="{FF2B5EF4-FFF2-40B4-BE49-F238E27FC236}">
                <a16:creationId xmlns:a16="http://schemas.microsoft.com/office/drawing/2014/main" id="{511295FC-A3AE-4DE6-B72E-F61B2326D9E0}"/>
              </a:ext>
            </a:extLst>
          </xdr:cNvPr>
          <xdr:cNvSpPr/>
        </xdr:nvSpPr>
        <xdr:spPr>
          <a:xfrm>
            <a:off x="7257831" y="2850270"/>
            <a:ext cx="888887" cy="19970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62C138C-7D8B-4B1E-BFF9-1D27B97B60BC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R$ 20,00</a:t>
            </a:fld>
            <a:endParaRPr lang="en-US">
              <a:cs typeface="Segoe UI" panose="020B0502040204020203" pitchFamily="34" charset="0"/>
            </a:endParaRPr>
          </a:p>
        </xdr:txBody>
      </xdr:sp>
      <xdr:sp macro="" textlink="">
        <xdr:nvSpPr>
          <xdr:cNvPr id="176" name="Retângulo: Cantos Arredondados 175">
            <a:extLst>
              <a:ext uri="{FF2B5EF4-FFF2-40B4-BE49-F238E27FC236}">
                <a16:creationId xmlns:a16="http://schemas.microsoft.com/office/drawing/2014/main" id="{427C6562-BE4F-468A-A87D-5A2BA558ECC3}"/>
              </a:ext>
            </a:extLst>
          </xdr:cNvPr>
          <xdr:cNvSpPr/>
        </xdr:nvSpPr>
        <xdr:spPr>
          <a:xfrm>
            <a:off x="5594674" y="2248945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XBOX PASS</a:t>
            </a:r>
            <a:endParaRPr lang="en-US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M97">
        <xdr:nvSpPr>
          <xdr:cNvPr id="177" name="Retângulo: Cantos Arredondados 176">
            <a:extLst>
              <a:ext uri="{FF2B5EF4-FFF2-40B4-BE49-F238E27FC236}">
                <a16:creationId xmlns:a16="http://schemas.microsoft.com/office/drawing/2014/main" id="{E73EBC31-032D-4C33-B448-A66FC5EA31D9}"/>
              </a:ext>
            </a:extLst>
          </xdr:cNvPr>
          <xdr:cNvSpPr/>
        </xdr:nvSpPr>
        <xdr:spPr>
          <a:xfrm>
            <a:off x="7262555" y="2269702"/>
            <a:ext cx="893685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58B4EDD-6DA9-4352-BCC0-AAF62635445A}" type="TxLink">
              <a:rPr lang="en-US" sz="1100" b="0" i="0" u="none" strike="noStrike">
                <a:solidFill>
                  <a:srgbClr val="000000"/>
                </a:solidFill>
                <a:latin typeface="Aptos Narrow"/>
                <a:cs typeface="Segoe UI" panose="020B0502040204020203" pitchFamily="34" charset="0"/>
              </a:rPr>
              <a:pPr algn="ctr"/>
              <a:t>R$ 9,95</a:t>
            </a:fld>
            <a:endParaRPr lang="en-US" b="0"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258925</xdr:colOff>
      <xdr:row>6</xdr:row>
      <xdr:rowOff>141028</xdr:rowOff>
    </xdr:from>
    <xdr:to>
      <xdr:col>3</xdr:col>
      <xdr:colOff>149272</xdr:colOff>
      <xdr:row>12</xdr:row>
      <xdr:rowOff>95250</xdr:rowOff>
    </xdr:to>
    <xdr:grpSp>
      <xdr:nvGrpSpPr>
        <xdr:cNvPr id="188" name="Agrupar 187">
          <a:extLst>
            <a:ext uri="{FF2B5EF4-FFF2-40B4-BE49-F238E27FC236}">
              <a16:creationId xmlns:a16="http://schemas.microsoft.com/office/drawing/2014/main" id="{F6F667F8-8311-4A8B-8426-1D346F388A8B}"/>
            </a:ext>
          </a:extLst>
        </xdr:cNvPr>
        <xdr:cNvGrpSpPr/>
      </xdr:nvGrpSpPr>
      <xdr:grpSpPr>
        <a:xfrm>
          <a:off x="2154400" y="1245928"/>
          <a:ext cx="233247" cy="1468697"/>
          <a:chOff x="2153263" y="1246354"/>
          <a:chExt cx="239191" cy="1471825"/>
        </a:xfrm>
      </xdr:grpSpPr>
      <xdr:sp macro="" textlink="">
        <xdr:nvSpPr>
          <xdr:cNvPr id="118" name="Colchete Esquerdo 117">
            <a:extLst>
              <a:ext uri="{FF2B5EF4-FFF2-40B4-BE49-F238E27FC236}">
                <a16:creationId xmlns:a16="http://schemas.microsoft.com/office/drawing/2014/main" id="{5A1D65F8-5AC2-4323-A8E8-94E1ECDED779}"/>
              </a:ext>
            </a:extLst>
          </xdr:cNvPr>
          <xdr:cNvSpPr/>
        </xdr:nvSpPr>
        <xdr:spPr>
          <a:xfrm>
            <a:off x="2277628" y="2105493"/>
            <a:ext cx="114826" cy="310435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187" name="Colchete Esquerdo 186">
            <a:extLst>
              <a:ext uri="{FF2B5EF4-FFF2-40B4-BE49-F238E27FC236}">
                <a16:creationId xmlns:a16="http://schemas.microsoft.com/office/drawing/2014/main" id="{497498B4-0FF2-4439-823D-98A97201A3C9}"/>
              </a:ext>
            </a:extLst>
          </xdr:cNvPr>
          <xdr:cNvSpPr/>
        </xdr:nvSpPr>
        <xdr:spPr>
          <a:xfrm>
            <a:off x="2278180" y="2411095"/>
            <a:ext cx="110871" cy="307084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8" name="Colchete Esquerdo 7">
            <a:extLst>
              <a:ext uri="{FF2B5EF4-FFF2-40B4-BE49-F238E27FC236}">
                <a16:creationId xmlns:a16="http://schemas.microsoft.com/office/drawing/2014/main" id="{8FAB7639-79B8-4CC4-9991-60DA6BE0EE00}"/>
              </a:ext>
            </a:extLst>
          </xdr:cNvPr>
          <xdr:cNvSpPr/>
        </xdr:nvSpPr>
        <xdr:spPr>
          <a:xfrm>
            <a:off x="2153263" y="1246354"/>
            <a:ext cx="145547" cy="1169574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236058</xdr:colOff>
      <xdr:row>6</xdr:row>
      <xdr:rowOff>112193</xdr:rowOff>
    </xdr:from>
    <xdr:to>
      <xdr:col>10</xdr:col>
      <xdr:colOff>475249</xdr:colOff>
      <xdr:row>12</xdr:row>
      <xdr:rowOff>66415</xdr:rowOff>
    </xdr:to>
    <xdr:grpSp>
      <xdr:nvGrpSpPr>
        <xdr:cNvPr id="189" name="Agrupar 188">
          <a:extLst>
            <a:ext uri="{FF2B5EF4-FFF2-40B4-BE49-F238E27FC236}">
              <a16:creationId xmlns:a16="http://schemas.microsoft.com/office/drawing/2014/main" id="{F94FF0C9-43F0-4DD8-916D-2014EECC741D}"/>
            </a:ext>
          </a:extLst>
        </xdr:cNvPr>
        <xdr:cNvGrpSpPr/>
      </xdr:nvGrpSpPr>
      <xdr:grpSpPr>
        <a:xfrm>
          <a:off x="5465283" y="1217093"/>
          <a:ext cx="239191" cy="1468697"/>
          <a:chOff x="2153263" y="1246354"/>
          <a:chExt cx="239191" cy="1471825"/>
        </a:xfrm>
      </xdr:grpSpPr>
      <xdr:sp macro="" textlink="">
        <xdr:nvSpPr>
          <xdr:cNvPr id="190" name="Colchete Esquerdo 189">
            <a:extLst>
              <a:ext uri="{FF2B5EF4-FFF2-40B4-BE49-F238E27FC236}">
                <a16:creationId xmlns:a16="http://schemas.microsoft.com/office/drawing/2014/main" id="{C3572D57-4645-49D8-8310-DF8D7751727F}"/>
              </a:ext>
            </a:extLst>
          </xdr:cNvPr>
          <xdr:cNvSpPr/>
        </xdr:nvSpPr>
        <xdr:spPr>
          <a:xfrm>
            <a:off x="2277628" y="2105493"/>
            <a:ext cx="114826" cy="310435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191" name="Colchete Esquerdo 190">
            <a:extLst>
              <a:ext uri="{FF2B5EF4-FFF2-40B4-BE49-F238E27FC236}">
                <a16:creationId xmlns:a16="http://schemas.microsoft.com/office/drawing/2014/main" id="{3DA19A0A-A4E5-4DB1-83FA-7C705B1FD0FD}"/>
              </a:ext>
            </a:extLst>
          </xdr:cNvPr>
          <xdr:cNvSpPr/>
        </xdr:nvSpPr>
        <xdr:spPr>
          <a:xfrm>
            <a:off x="2274226" y="2411095"/>
            <a:ext cx="114826" cy="307084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192" name="Colchete Esquerdo 191">
            <a:extLst>
              <a:ext uri="{FF2B5EF4-FFF2-40B4-BE49-F238E27FC236}">
                <a16:creationId xmlns:a16="http://schemas.microsoft.com/office/drawing/2014/main" id="{1CBBA65D-D72A-48A8-AEB6-21CF4567EDA9}"/>
              </a:ext>
            </a:extLst>
          </xdr:cNvPr>
          <xdr:cNvSpPr/>
        </xdr:nvSpPr>
        <xdr:spPr>
          <a:xfrm>
            <a:off x="2153263" y="1246354"/>
            <a:ext cx="145547" cy="1169574"/>
          </a:xfrm>
          <a:prstGeom prst="leftBracke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442843</xdr:colOff>
      <xdr:row>9</xdr:row>
      <xdr:rowOff>391579</xdr:rowOff>
    </xdr:from>
    <xdr:to>
      <xdr:col>15</xdr:col>
      <xdr:colOff>575094</xdr:colOff>
      <xdr:row>11</xdr:row>
      <xdr:rowOff>80308</xdr:rowOff>
    </xdr:to>
    <xdr:sp macro="" textlink="">
      <xdr:nvSpPr>
        <xdr:cNvPr id="194" name="Colchete Esquerdo 193">
          <a:extLst>
            <a:ext uri="{FF2B5EF4-FFF2-40B4-BE49-F238E27FC236}">
              <a16:creationId xmlns:a16="http://schemas.microsoft.com/office/drawing/2014/main" id="{9D22FFF2-5629-4A46-B333-AA341BA4F9BC}"/>
            </a:ext>
          </a:extLst>
        </xdr:cNvPr>
        <xdr:cNvSpPr/>
      </xdr:nvSpPr>
      <xdr:spPr>
        <a:xfrm>
          <a:off x="8914884" y="2095661"/>
          <a:ext cx="132251" cy="306366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446484</xdr:colOff>
      <xdr:row>11</xdr:row>
      <xdr:rowOff>75501</xdr:rowOff>
    </xdr:from>
    <xdr:to>
      <xdr:col>15</xdr:col>
      <xdr:colOff>571294</xdr:colOff>
      <xdr:row>12</xdr:row>
      <xdr:rowOff>75401</xdr:rowOff>
    </xdr:to>
    <xdr:sp macro="" textlink="">
      <xdr:nvSpPr>
        <xdr:cNvPr id="195" name="Colchete Esquerdo 194">
          <a:extLst>
            <a:ext uri="{FF2B5EF4-FFF2-40B4-BE49-F238E27FC236}">
              <a16:creationId xmlns:a16="http://schemas.microsoft.com/office/drawing/2014/main" id="{C262CA1E-E117-44A6-827E-B04AD65E192E}"/>
            </a:ext>
          </a:extLst>
        </xdr:cNvPr>
        <xdr:cNvSpPr/>
      </xdr:nvSpPr>
      <xdr:spPr>
        <a:xfrm>
          <a:off x="8918525" y="2397220"/>
          <a:ext cx="124810" cy="304997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302870</xdr:colOff>
      <xdr:row>6</xdr:row>
      <xdr:rowOff>121179</xdr:rowOff>
    </xdr:from>
    <xdr:to>
      <xdr:col>15</xdr:col>
      <xdr:colOff>470504</xdr:colOff>
      <xdr:row>11</xdr:row>
      <xdr:rowOff>80308</xdr:rowOff>
    </xdr:to>
    <xdr:sp macro="" textlink="">
      <xdr:nvSpPr>
        <xdr:cNvPr id="196" name="Colchete Esquerdo 195">
          <a:extLst>
            <a:ext uri="{FF2B5EF4-FFF2-40B4-BE49-F238E27FC236}">
              <a16:creationId xmlns:a16="http://schemas.microsoft.com/office/drawing/2014/main" id="{0FC17A1D-F026-4D34-AE57-7FD37AB202AD}"/>
            </a:ext>
          </a:extLst>
        </xdr:cNvPr>
        <xdr:cNvSpPr/>
      </xdr:nvSpPr>
      <xdr:spPr>
        <a:xfrm>
          <a:off x="8774911" y="1233669"/>
          <a:ext cx="167634" cy="1168358"/>
        </a:xfrm>
        <a:prstGeom prst="leftBracket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85724</xdr:colOff>
      <xdr:row>12</xdr:row>
      <xdr:rowOff>76200</xdr:rowOff>
    </xdr:from>
    <xdr:to>
      <xdr:col>0</xdr:col>
      <xdr:colOff>1600199</xdr:colOff>
      <xdr:row>22</xdr:row>
      <xdr:rowOff>177801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9" name="Meses">
              <a:extLst>
                <a:ext uri="{FF2B5EF4-FFF2-40B4-BE49-F238E27FC236}">
                  <a16:creationId xmlns:a16="http://schemas.microsoft.com/office/drawing/2014/main" id="{8157ED27-EB9F-486A-8993-6E44C1127B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2695575"/>
              <a:ext cx="1514475" cy="2197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7</xdr:row>
      <xdr:rowOff>104774</xdr:rowOff>
    </xdr:from>
    <xdr:to>
      <xdr:col>0</xdr:col>
      <xdr:colOff>1552575</xdr:colOff>
      <xdr:row>11</xdr:row>
      <xdr:rowOff>276225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1" name="Plan">
              <a:extLst>
                <a:ext uri="{FF2B5EF4-FFF2-40B4-BE49-F238E27FC236}">
                  <a16:creationId xmlns:a16="http://schemas.microsoft.com/office/drawing/2014/main" id="{C0D7364B-2660-45FF-9F75-8359ACC7F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409699"/>
              <a:ext cx="1438275" cy="1181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15</xdr:col>
      <xdr:colOff>473884</xdr:colOff>
      <xdr:row>19</xdr:row>
      <xdr:rowOff>27495</xdr:rowOff>
    </xdr:from>
    <xdr:to>
      <xdr:col>19</xdr:col>
      <xdr:colOff>592677</xdr:colOff>
      <xdr:row>23</xdr:row>
      <xdr:rowOff>9528</xdr:rowOff>
    </xdr:to>
    <xdr:grpSp>
      <xdr:nvGrpSpPr>
        <xdr:cNvPr id="80" name="Agrupar 79">
          <a:extLst>
            <a:ext uri="{FF2B5EF4-FFF2-40B4-BE49-F238E27FC236}">
              <a16:creationId xmlns:a16="http://schemas.microsoft.com/office/drawing/2014/main" id="{2495851E-00DE-4C57-8ECB-531B1AD4932F}"/>
            </a:ext>
          </a:extLst>
        </xdr:cNvPr>
        <xdr:cNvGrpSpPr/>
      </xdr:nvGrpSpPr>
      <xdr:grpSpPr>
        <a:xfrm>
          <a:off x="8951134" y="4199445"/>
          <a:ext cx="2861993" cy="715458"/>
          <a:chOff x="2257425" y="2200276"/>
          <a:chExt cx="2867025" cy="715993"/>
        </a:xfrm>
      </xdr:grpSpPr>
      <xdr:sp macro="" textlink="">
        <xdr:nvSpPr>
          <xdr:cNvPr id="81" name="Retângulo: Cantos Arredondados 80">
            <a:extLst>
              <a:ext uri="{FF2B5EF4-FFF2-40B4-BE49-F238E27FC236}">
                <a16:creationId xmlns:a16="http://schemas.microsoft.com/office/drawing/2014/main" id="{D390A15C-FD70-4E73-96BC-83C2431066F3}"/>
              </a:ext>
            </a:extLst>
          </xdr:cNvPr>
          <xdr:cNvSpPr/>
        </xdr:nvSpPr>
        <xdr:spPr>
          <a:xfrm>
            <a:off x="2257425" y="2200276"/>
            <a:ext cx="2867025" cy="715993"/>
          </a:xfrm>
          <a:prstGeom prst="roundRect">
            <a:avLst>
              <a:gd name="adj" fmla="val 7763"/>
            </a:avLst>
          </a:prstGeom>
          <a:solidFill>
            <a:srgbClr val="E8E6E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̳álculos!O147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B131117D-C9D0-4ECF-8A68-4AEEBE140FD1}"/>
              </a:ext>
            </a:extLst>
          </xdr:cNvPr>
          <xdr:cNvSpPr/>
        </xdr:nvSpPr>
        <xdr:spPr>
          <a:xfrm>
            <a:off x="2384749" y="2601370"/>
            <a:ext cx="2610358" cy="239482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E6858B0-B957-499D-A3CA-8F049F4E03DD}" type="TxLink">
              <a:rPr lang="en-US" sz="12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jan</a:t>
            </a:fld>
            <a:endParaRPr lang="en-US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N147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B205DA15-62A8-4285-9004-1809FFAB19F0}"/>
              </a:ext>
            </a:extLst>
          </xdr:cNvPr>
          <xdr:cNvSpPr/>
        </xdr:nvSpPr>
        <xdr:spPr>
          <a:xfrm>
            <a:off x="4108724" y="2622127"/>
            <a:ext cx="837592" cy="1997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A711268-9D71-4F74-8A90-002E64F2C9DE}" type="TxLink">
              <a:rPr lang="en-US" sz="105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R$ 65,00</a:t>
            </a:fld>
            <a:endParaRPr lang="en-US" sz="105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84" name="Retângulo: Cantos Arredondados 83">
            <a:extLst>
              <a:ext uri="{FF2B5EF4-FFF2-40B4-BE49-F238E27FC236}">
                <a16:creationId xmlns:a16="http://schemas.microsoft.com/office/drawing/2014/main" id="{629EFA6D-5863-4A23-B38B-A9DCEBDF16EE}"/>
              </a:ext>
            </a:extLst>
          </xdr:cNvPr>
          <xdr:cNvSpPr/>
        </xdr:nvSpPr>
        <xdr:spPr>
          <a:xfrm>
            <a:off x="2394274" y="2306095"/>
            <a:ext cx="2610358" cy="2394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MÊS MENOS LUCRATIVO</a:t>
            </a:r>
            <a:endParaRPr lang="en-US" sz="105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76200</xdr:colOff>
      <xdr:row>23</xdr:row>
      <xdr:rowOff>95250</xdr:rowOff>
    </xdr:from>
    <xdr:to>
      <xdr:col>0</xdr:col>
      <xdr:colOff>1533525</xdr:colOff>
      <xdr:row>29</xdr:row>
      <xdr:rowOff>19050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B317339-61F7-4973-9E26-E0F48DD1C81D}"/>
            </a:ext>
          </a:extLst>
        </xdr:cNvPr>
        <xdr:cNvGrpSpPr/>
      </xdr:nvGrpSpPr>
      <xdr:grpSpPr>
        <a:xfrm>
          <a:off x="76200" y="5000625"/>
          <a:ext cx="1457325" cy="1162050"/>
          <a:chOff x="76200" y="5000625"/>
          <a:chExt cx="1457325" cy="1162050"/>
        </a:xfrm>
      </xdr:grpSpPr>
      <xdr:sp macro="" textlink="EXTRA!A7">
        <xdr:nvSpPr>
          <xdr:cNvPr id="90" name="Balão de Fala: Retângulo 89">
            <a:extLst>
              <a:ext uri="{FF2B5EF4-FFF2-40B4-BE49-F238E27FC236}">
                <a16:creationId xmlns:a16="http://schemas.microsoft.com/office/drawing/2014/main" id="{587E5EF9-65D4-4530-BE9B-95BC976D16E9}"/>
              </a:ext>
            </a:extLst>
          </xdr:cNvPr>
          <xdr:cNvSpPr/>
        </xdr:nvSpPr>
        <xdr:spPr>
          <a:xfrm>
            <a:off x="85725" y="5210175"/>
            <a:ext cx="1438275" cy="952500"/>
          </a:xfrm>
          <a:prstGeom prst="wedgeRectCallou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CEFC11-ABCB-4078-91B3-F1C4C72068BA}" type="TxLink">
              <a:rPr lang="en-US" sz="1100" b="0" i="0" u="none" strike="noStrike">
                <a:solidFill>
                  <a:srgbClr val="000000"/>
                </a:solidFill>
                <a:latin typeface="Aptos Narrow"/>
              </a:rPr>
              <a:pPr algn="ctr"/>
              <a:t>O plano Ultimate representa 33,2% do total das assinaturas e 70,6% do faturamento total.</a:t>
            </a:fld>
            <a:endParaRPr lang="pt-BR" sz="1100"/>
          </a:p>
        </xdr:txBody>
      </xdr:sp>
      <xdr:sp macro="" textlink="">
        <xdr:nvSpPr>
          <xdr:cNvPr id="88" name="Retângulo: Cantos Arredondados 87">
            <a:extLst>
              <a:ext uri="{FF2B5EF4-FFF2-40B4-BE49-F238E27FC236}">
                <a16:creationId xmlns:a16="http://schemas.microsoft.com/office/drawing/2014/main" id="{2BB605BC-6D78-401F-9F1F-B79E94BE8330}"/>
              </a:ext>
            </a:extLst>
          </xdr:cNvPr>
          <xdr:cNvSpPr/>
        </xdr:nvSpPr>
        <xdr:spPr>
          <a:xfrm>
            <a:off x="76200" y="5000625"/>
            <a:ext cx="1457325" cy="2571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Insights Atual</a:t>
            </a:r>
          </a:p>
        </xdr:txBody>
      </xdr:sp>
    </xdr:grpSp>
    <xdr:clientData/>
  </xdr:twoCellAnchor>
  <xdr:twoCellAnchor>
    <xdr:from>
      <xdr:col>0</xdr:col>
      <xdr:colOff>0</xdr:colOff>
      <xdr:row>31</xdr:row>
      <xdr:rowOff>0</xdr:rowOff>
    </xdr:from>
    <xdr:to>
      <xdr:col>1</xdr:col>
      <xdr:colOff>0</xdr:colOff>
      <xdr:row>32</xdr:row>
      <xdr:rowOff>74777</xdr:rowOff>
    </xdr:to>
    <xdr:sp macro="" textlink="">
      <xdr:nvSpPr>
        <xdr:cNvPr id="76" name="Retângulo: Cantos Arredondados 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156167-7C66-4379-BC3A-3B55579831CE}"/>
            </a:ext>
          </a:extLst>
        </xdr:cNvPr>
        <xdr:cNvSpPr/>
      </xdr:nvSpPr>
      <xdr:spPr>
        <a:xfrm>
          <a:off x="0" y="6505575"/>
          <a:ext cx="1628775" cy="25575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TELA</a:t>
          </a:r>
          <a:r>
            <a:rPr lang="pt-BR" sz="1000" b="1" baseline="0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rPr>
            <a:t> INICIAL</a:t>
          </a:r>
          <a:endParaRPr lang="pt-BR" sz="1000" b="1">
            <a:solidFill>
              <a:schemeClr val="bg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leDado" refreshedDate="45834.44344560185" createdVersion="7" refreshedVersion="7" minRefreshableVersion="3" recordCount="295" xr:uid="{334A5CE6-B696-44FB-9DEE-B4FF83D02856}">
  <cacheSource type="worksheet">
    <worksheetSource name="Tabela1"/>
  </cacheSource>
  <cacheFields count="16">
    <cacheField name="Subscriber ID" numFmtId="1">
      <sharedItems containsSemiMixedTypes="0" containsString="0" containsNumber="1" containsInteger="1" minValue="3231" maxValue="3525" count="295">
        <n v="3245"/>
        <n v="3246"/>
        <n v="3268"/>
        <n v="3276"/>
        <n v="3289"/>
        <n v="3321"/>
        <n v="3324"/>
        <n v="3349"/>
        <n v="3351"/>
        <n v="3359"/>
        <n v="3362"/>
        <n v="3363"/>
        <n v="3372"/>
        <n v="3391"/>
        <n v="3397"/>
        <n v="3401"/>
        <n v="3415"/>
        <n v="3421"/>
        <n v="3424"/>
        <n v="3426"/>
        <n v="3428"/>
        <n v="3445"/>
        <n v="3452"/>
        <n v="3453"/>
        <n v="3460"/>
        <n v="3473"/>
        <n v="3503"/>
        <n v="3515"/>
        <n v="3516"/>
        <n v="3517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9"/>
        <n v="3270"/>
        <n v="3271"/>
        <n v="3272"/>
        <n v="3273"/>
        <n v="3274"/>
        <n v="3275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2"/>
        <n v="3323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50"/>
        <n v="3352"/>
        <n v="3353"/>
        <n v="3354"/>
        <n v="3355"/>
        <n v="3356"/>
        <n v="3357"/>
        <n v="3358"/>
        <n v="3360"/>
        <n v="3361"/>
        <n v="3364"/>
        <n v="3365"/>
        <n v="3366"/>
        <n v="3367"/>
        <n v="3368"/>
        <n v="3369"/>
        <n v="3370"/>
        <n v="3371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2"/>
        <n v="3393"/>
        <n v="3394"/>
        <n v="3395"/>
        <n v="3396"/>
        <n v="3398"/>
        <n v="3399"/>
        <n v="3400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6"/>
        <n v="3417"/>
        <n v="3418"/>
        <n v="3419"/>
        <n v="3420"/>
        <n v="3422"/>
        <n v="3423"/>
        <n v="3425"/>
        <n v="3427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6"/>
        <n v="3447"/>
        <n v="3448"/>
        <n v="3449"/>
        <n v="3450"/>
        <n v="3451"/>
        <n v="3454"/>
        <n v="3455"/>
        <n v="3456"/>
        <n v="3457"/>
        <n v="3458"/>
        <n v="3459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4"/>
        <n v="3505"/>
        <n v="3506"/>
        <n v="3507"/>
        <n v="3508"/>
        <n v="3509"/>
        <n v="3510"/>
        <n v="3511"/>
        <n v="3512"/>
        <n v="3513"/>
        <n v="3514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Standard"/>
        <s v="Core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3-11T00:00:00"/>
        <d v="2024-03-12T00:00:00"/>
        <d v="2024-04-03T00:00:00"/>
        <d v="2024-04-11T00:00:00"/>
        <d v="2024-04-24T00:00:00"/>
        <d v="2024-05-26T00:00:00"/>
        <d v="2024-05-29T00:00:00"/>
        <d v="2024-06-23T00:00:00"/>
        <d v="2024-06-25T00:00:00"/>
        <d v="2024-07-03T00:00:00"/>
        <d v="2024-07-06T00:00:00"/>
        <d v="2024-07-07T00:00:00"/>
        <d v="2024-07-16T00:00:00"/>
        <d v="2024-08-04T00:00:00"/>
        <d v="2024-08-10T00:00:00"/>
        <d v="2024-08-14T00:00:00"/>
        <d v="2024-08-28T00:00:00"/>
        <d v="2024-09-03T00:00:00"/>
        <d v="2024-09-06T00:00:00"/>
        <d v="2024-09-08T00:00:00"/>
        <d v="2024-09-10T00:00:00"/>
        <d v="2024-09-27T00:00:00"/>
        <d v="2024-10-04T00:00:00"/>
        <d v="2024-10-05T00:00:00"/>
        <d v="2024-10-12T00:00:00"/>
        <d v="2024-10-25T00:00:00"/>
        <d v="2024-11-24T00:00:00"/>
        <d v="2024-12-06T00:00:00"/>
        <d v="2024-12-07T00:00:00"/>
        <d v="2024-12-08T00:00:00"/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7T00:00:00"/>
        <d v="2024-05-28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4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1T00:00:00"/>
        <d v="2024-08-12T00:00:00"/>
        <d v="2024-08-13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9T00:00:00"/>
        <d v="2024-08-30T00:00:00"/>
        <d v="2024-08-31T00:00:00"/>
        <d v="2024-09-01T00:00:00"/>
        <d v="2024-09-02T00:00:00"/>
        <d v="2024-09-04T00:00:00"/>
        <d v="2024-09-05T00:00:00"/>
        <d v="2024-09-07T00:00:00"/>
        <d v="2024-09-09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8T00:00:00"/>
        <d v="2024-09-29T00:00:00"/>
        <d v="2024-09-30T00:00:00"/>
        <d v="2024-10-01T00:00:00"/>
        <d v="2024-10-02T00:00:00"/>
        <d v="2024-10-03T00:00:00"/>
        <d v="2024-10-06T00:00:00"/>
        <d v="2024-10-07T00:00:00"/>
        <d v="2024-10-08T00:00:00"/>
        <d v="2024-10-09T00:00:00"/>
        <d v="2024-10-10T00:00:00"/>
        <d v="2024-10-11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No"/>
        <s v="Yes"/>
      </sharedItems>
    </cacheField>
    <cacheField name="Subscription Price" numFmtId="44">
      <sharedItems containsSemiMixedTypes="0" containsString="0" containsNumber="1" containsInteger="1" minValue="5" maxValue="15" count="3">
        <n v="15"/>
        <n v="10"/>
        <n v="5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57"/>
        <n v="18"/>
        <n v="20"/>
        <n v="60"/>
        <n v="45"/>
        <n v="62"/>
        <n v="4"/>
        <n v="15"/>
        <n v="5"/>
        <n v="50"/>
        <n v="3"/>
        <n v="58"/>
        <n v="28"/>
        <n v="55"/>
        <n v="25"/>
      </sharedItems>
    </cacheField>
    <cacheField name="Subscription stacking" numFmtId="0">
      <sharedItems containsSemiMixedTypes="0" containsString="0" containsNumber="1" containsInteger="1" minValue="1" maxValue="3" count="3">
        <n v="3"/>
        <n v="2"/>
        <n v="1"/>
      </sharedItems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  <cacheField name="Ticket Médio Total" numFmtId="0" formula="'Subscription stacking'/'Total Value'" databaseField="0"/>
  </cacheFields>
  <extLst>
    <ext xmlns:x14="http://schemas.microsoft.com/office/spreadsheetml/2009/9/main" uri="{725AE2AE-9491-48be-B2B4-4EB974FC3084}">
      <x14:pivotCacheDefinition pivotCacheId="1680678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Fernanda Lima"/>
    <x v="0"/>
    <x v="0"/>
    <x v="0"/>
    <x v="0"/>
    <x v="0"/>
    <x v="0"/>
    <x v="0"/>
    <x v="0"/>
    <n v="20"/>
    <n v="8"/>
    <x v="0"/>
    <x v="0"/>
  </r>
  <r>
    <x v="1"/>
    <s v="Caio Pereira"/>
    <x v="1"/>
    <x v="1"/>
    <x v="1"/>
    <x v="1"/>
    <x v="1"/>
    <x v="1"/>
    <x v="1"/>
    <x v="0"/>
    <n v="20"/>
    <n v="12"/>
    <x v="1"/>
    <x v="1"/>
  </r>
  <r>
    <x v="2"/>
    <s v="Carla Dias"/>
    <x v="1"/>
    <x v="2"/>
    <x v="1"/>
    <x v="1"/>
    <x v="1"/>
    <x v="1"/>
    <x v="1"/>
    <x v="0"/>
    <n v="20"/>
    <n v="10"/>
    <x v="2"/>
    <x v="1"/>
  </r>
  <r>
    <x v="3"/>
    <s v="Kléber Oliveira"/>
    <x v="0"/>
    <x v="3"/>
    <x v="1"/>
    <x v="0"/>
    <x v="1"/>
    <x v="0"/>
    <x v="0"/>
    <x v="0"/>
    <n v="20"/>
    <n v="5"/>
    <x v="3"/>
    <x v="0"/>
  </r>
  <r>
    <x v="4"/>
    <s v="Xuxa Meneghel"/>
    <x v="1"/>
    <x v="4"/>
    <x v="0"/>
    <x v="1"/>
    <x v="0"/>
    <x v="1"/>
    <x v="1"/>
    <x v="0"/>
    <n v="20"/>
    <n v="10"/>
    <x v="2"/>
    <x v="1"/>
  </r>
  <r>
    <x v="5"/>
    <s v="Daniela Moura"/>
    <x v="0"/>
    <x v="5"/>
    <x v="1"/>
    <x v="0"/>
    <x v="0"/>
    <x v="0"/>
    <x v="0"/>
    <x v="0"/>
    <n v="20"/>
    <n v="5"/>
    <x v="3"/>
    <x v="0"/>
  </r>
  <r>
    <x v="6"/>
    <s v="Geraldo Ribeiro"/>
    <x v="0"/>
    <x v="6"/>
    <x v="0"/>
    <x v="0"/>
    <x v="2"/>
    <x v="0"/>
    <x v="0"/>
    <x v="0"/>
    <n v="20"/>
    <n v="20"/>
    <x v="4"/>
    <x v="0"/>
  </r>
  <r>
    <x v="7"/>
    <s v="Geraldo Ribeiro"/>
    <x v="0"/>
    <x v="7"/>
    <x v="0"/>
    <x v="0"/>
    <x v="0"/>
    <x v="0"/>
    <x v="0"/>
    <x v="0"/>
    <n v="20"/>
    <n v="3"/>
    <x v="5"/>
    <x v="0"/>
  </r>
  <r>
    <x v="8"/>
    <s v="Íris Santos"/>
    <x v="2"/>
    <x v="8"/>
    <x v="0"/>
    <x v="2"/>
    <x v="0"/>
    <x v="1"/>
    <x v="1"/>
    <x v="1"/>
    <n v="0"/>
    <n v="1"/>
    <x v="6"/>
    <x v="2"/>
  </r>
  <r>
    <x v="9"/>
    <s v="Rafael Torres"/>
    <x v="1"/>
    <x v="9"/>
    <x v="0"/>
    <x v="1"/>
    <x v="0"/>
    <x v="1"/>
    <x v="1"/>
    <x v="0"/>
    <n v="20"/>
    <n v="10"/>
    <x v="2"/>
    <x v="1"/>
  </r>
  <r>
    <x v="10"/>
    <s v="Ursula Silva"/>
    <x v="1"/>
    <x v="10"/>
    <x v="1"/>
    <x v="1"/>
    <x v="1"/>
    <x v="1"/>
    <x v="1"/>
    <x v="0"/>
    <n v="20"/>
    <n v="15"/>
    <x v="7"/>
    <x v="1"/>
  </r>
  <r>
    <x v="11"/>
    <s v="Vanessa Moraes"/>
    <x v="2"/>
    <x v="11"/>
    <x v="0"/>
    <x v="2"/>
    <x v="0"/>
    <x v="1"/>
    <x v="1"/>
    <x v="1"/>
    <n v="0"/>
    <n v="1"/>
    <x v="6"/>
    <x v="2"/>
  </r>
  <r>
    <x v="12"/>
    <s v="Elisa Neves"/>
    <x v="2"/>
    <x v="12"/>
    <x v="1"/>
    <x v="2"/>
    <x v="1"/>
    <x v="1"/>
    <x v="1"/>
    <x v="1"/>
    <n v="0"/>
    <n v="0"/>
    <x v="8"/>
    <x v="2"/>
  </r>
  <r>
    <x v="13"/>
    <s v="Xuxa Meneghel"/>
    <x v="0"/>
    <x v="13"/>
    <x v="0"/>
    <x v="0"/>
    <x v="0"/>
    <x v="0"/>
    <x v="0"/>
    <x v="0"/>
    <n v="20"/>
    <n v="15"/>
    <x v="9"/>
    <x v="0"/>
  </r>
  <r>
    <x v="14"/>
    <s v="Daniela Moura"/>
    <x v="0"/>
    <x v="14"/>
    <x v="0"/>
    <x v="0"/>
    <x v="0"/>
    <x v="0"/>
    <x v="0"/>
    <x v="0"/>
    <n v="20"/>
    <n v="20"/>
    <x v="4"/>
    <x v="0"/>
  </r>
  <r>
    <x v="15"/>
    <s v="Helena Ribeiro"/>
    <x v="1"/>
    <x v="15"/>
    <x v="0"/>
    <x v="1"/>
    <x v="0"/>
    <x v="1"/>
    <x v="1"/>
    <x v="0"/>
    <n v="20"/>
    <n v="10"/>
    <x v="2"/>
    <x v="1"/>
  </r>
  <r>
    <x v="16"/>
    <s v="William Carvalho"/>
    <x v="2"/>
    <x v="16"/>
    <x v="0"/>
    <x v="2"/>
    <x v="0"/>
    <x v="1"/>
    <x v="1"/>
    <x v="1"/>
    <n v="0"/>
    <n v="2"/>
    <x v="10"/>
    <x v="2"/>
  </r>
  <r>
    <x v="17"/>
    <s v="Caio Pereira"/>
    <x v="2"/>
    <x v="17"/>
    <x v="0"/>
    <x v="2"/>
    <x v="0"/>
    <x v="1"/>
    <x v="1"/>
    <x v="1"/>
    <n v="0"/>
    <n v="1"/>
    <x v="6"/>
    <x v="2"/>
  </r>
  <r>
    <x v="18"/>
    <s v="Fernanda Lima"/>
    <x v="2"/>
    <x v="18"/>
    <x v="1"/>
    <x v="2"/>
    <x v="1"/>
    <x v="1"/>
    <x v="1"/>
    <x v="1"/>
    <n v="0"/>
    <n v="0"/>
    <x v="8"/>
    <x v="2"/>
  </r>
  <r>
    <x v="19"/>
    <s v="Helena Ribeiro"/>
    <x v="1"/>
    <x v="19"/>
    <x v="1"/>
    <x v="1"/>
    <x v="2"/>
    <x v="1"/>
    <x v="1"/>
    <x v="0"/>
    <n v="20"/>
    <n v="15"/>
    <x v="7"/>
    <x v="1"/>
  </r>
  <r>
    <x v="20"/>
    <s v="Joana Silveira"/>
    <x v="0"/>
    <x v="20"/>
    <x v="1"/>
    <x v="0"/>
    <x v="1"/>
    <x v="0"/>
    <x v="0"/>
    <x v="0"/>
    <n v="20"/>
    <n v="3"/>
    <x v="5"/>
    <x v="0"/>
  </r>
  <r>
    <x v="21"/>
    <s v="Carla Dias"/>
    <x v="2"/>
    <x v="21"/>
    <x v="0"/>
    <x v="2"/>
    <x v="0"/>
    <x v="1"/>
    <x v="1"/>
    <x v="1"/>
    <n v="0"/>
    <n v="2"/>
    <x v="10"/>
    <x v="2"/>
  </r>
  <r>
    <x v="22"/>
    <s v="Joana Silveira"/>
    <x v="0"/>
    <x v="22"/>
    <x v="1"/>
    <x v="0"/>
    <x v="2"/>
    <x v="0"/>
    <x v="0"/>
    <x v="0"/>
    <n v="20"/>
    <n v="7"/>
    <x v="11"/>
    <x v="0"/>
  </r>
  <r>
    <x v="23"/>
    <s v="Kléber Oliveira"/>
    <x v="1"/>
    <x v="23"/>
    <x v="0"/>
    <x v="1"/>
    <x v="0"/>
    <x v="1"/>
    <x v="1"/>
    <x v="0"/>
    <n v="20"/>
    <n v="10"/>
    <x v="2"/>
    <x v="1"/>
  </r>
  <r>
    <x v="24"/>
    <s v="Rafael Torres"/>
    <x v="2"/>
    <x v="24"/>
    <x v="1"/>
    <x v="2"/>
    <x v="2"/>
    <x v="1"/>
    <x v="1"/>
    <x v="1"/>
    <n v="0"/>
    <n v="0"/>
    <x v="8"/>
    <x v="2"/>
  </r>
  <r>
    <x v="25"/>
    <s v="Elisa Neves"/>
    <x v="0"/>
    <x v="25"/>
    <x v="0"/>
    <x v="0"/>
    <x v="0"/>
    <x v="0"/>
    <x v="0"/>
    <x v="0"/>
    <n v="20"/>
    <n v="3"/>
    <x v="5"/>
    <x v="0"/>
  </r>
  <r>
    <x v="26"/>
    <s v="Íris Santos"/>
    <x v="1"/>
    <x v="26"/>
    <x v="0"/>
    <x v="1"/>
    <x v="0"/>
    <x v="1"/>
    <x v="1"/>
    <x v="0"/>
    <n v="20"/>
    <n v="10"/>
    <x v="2"/>
    <x v="1"/>
  </r>
  <r>
    <x v="27"/>
    <s v="Ursula Silva"/>
    <x v="1"/>
    <x v="27"/>
    <x v="0"/>
    <x v="1"/>
    <x v="0"/>
    <x v="1"/>
    <x v="1"/>
    <x v="0"/>
    <n v="20"/>
    <n v="10"/>
    <x v="2"/>
    <x v="1"/>
  </r>
  <r>
    <x v="28"/>
    <s v="Vanessa Moraes"/>
    <x v="2"/>
    <x v="28"/>
    <x v="1"/>
    <x v="2"/>
    <x v="1"/>
    <x v="1"/>
    <x v="1"/>
    <x v="1"/>
    <n v="0"/>
    <n v="0"/>
    <x v="8"/>
    <x v="2"/>
  </r>
  <r>
    <x v="29"/>
    <s v="William Carvalho"/>
    <x v="0"/>
    <x v="29"/>
    <x v="0"/>
    <x v="0"/>
    <x v="0"/>
    <x v="0"/>
    <x v="0"/>
    <x v="0"/>
    <n v="20"/>
    <n v="20"/>
    <x v="4"/>
    <x v="0"/>
  </r>
  <r>
    <x v="30"/>
    <s v="João Silva"/>
    <x v="0"/>
    <x v="30"/>
    <x v="1"/>
    <x v="0"/>
    <x v="0"/>
    <x v="0"/>
    <x v="0"/>
    <x v="0"/>
    <n v="20"/>
    <n v="5"/>
    <x v="3"/>
    <x v="0"/>
  </r>
  <r>
    <x v="31"/>
    <s v="Maria Oliveira"/>
    <x v="2"/>
    <x v="31"/>
    <x v="0"/>
    <x v="2"/>
    <x v="1"/>
    <x v="1"/>
    <x v="1"/>
    <x v="1"/>
    <n v="0"/>
    <n v="0"/>
    <x v="8"/>
    <x v="2"/>
  </r>
  <r>
    <x v="32"/>
    <s v="Lucas Fernandes"/>
    <x v="1"/>
    <x v="32"/>
    <x v="1"/>
    <x v="1"/>
    <x v="2"/>
    <x v="1"/>
    <x v="1"/>
    <x v="0"/>
    <n v="20"/>
    <n v="10"/>
    <x v="2"/>
    <x v="1"/>
  </r>
  <r>
    <x v="33"/>
    <s v="Ana Souza"/>
    <x v="0"/>
    <x v="33"/>
    <x v="0"/>
    <x v="0"/>
    <x v="0"/>
    <x v="0"/>
    <x v="0"/>
    <x v="0"/>
    <n v="20"/>
    <n v="3"/>
    <x v="5"/>
    <x v="0"/>
  </r>
  <r>
    <x v="34"/>
    <s v="Pedro Gonçalves"/>
    <x v="2"/>
    <x v="34"/>
    <x v="1"/>
    <x v="2"/>
    <x v="0"/>
    <x v="1"/>
    <x v="1"/>
    <x v="1"/>
    <n v="0"/>
    <n v="1"/>
    <x v="6"/>
    <x v="2"/>
  </r>
  <r>
    <x v="35"/>
    <s v="Felipe Costa"/>
    <x v="1"/>
    <x v="35"/>
    <x v="0"/>
    <x v="1"/>
    <x v="0"/>
    <x v="1"/>
    <x v="1"/>
    <x v="0"/>
    <n v="20"/>
    <n v="2"/>
    <x v="12"/>
    <x v="1"/>
  </r>
  <r>
    <x v="36"/>
    <s v="Camila Ribeiro"/>
    <x v="0"/>
    <x v="36"/>
    <x v="1"/>
    <x v="0"/>
    <x v="2"/>
    <x v="0"/>
    <x v="0"/>
    <x v="0"/>
    <n v="20"/>
    <n v="10"/>
    <x v="13"/>
    <x v="0"/>
  </r>
  <r>
    <x v="37"/>
    <s v="André Mendes"/>
    <x v="2"/>
    <x v="37"/>
    <x v="1"/>
    <x v="2"/>
    <x v="1"/>
    <x v="1"/>
    <x v="1"/>
    <x v="1"/>
    <n v="0"/>
    <n v="0"/>
    <x v="8"/>
    <x v="2"/>
  </r>
  <r>
    <x v="38"/>
    <s v="Sofia Almeida"/>
    <x v="0"/>
    <x v="34"/>
    <x v="0"/>
    <x v="0"/>
    <x v="0"/>
    <x v="0"/>
    <x v="0"/>
    <x v="0"/>
    <n v="20"/>
    <n v="5"/>
    <x v="3"/>
    <x v="0"/>
  </r>
  <r>
    <x v="39"/>
    <s v="Bruno Martins"/>
    <x v="1"/>
    <x v="38"/>
    <x v="1"/>
    <x v="1"/>
    <x v="2"/>
    <x v="1"/>
    <x v="1"/>
    <x v="0"/>
    <n v="20"/>
    <n v="15"/>
    <x v="7"/>
    <x v="1"/>
  </r>
  <r>
    <x v="40"/>
    <s v="Rita Castro"/>
    <x v="2"/>
    <x v="39"/>
    <x v="0"/>
    <x v="2"/>
    <x v="0"/>
    <x v="1"/>
    <x v="1"/>
    <x v="1"/>
    <n v="0"/>
    <n v="1"/>
    <x v="6"/>
    <x v="2"/>
  </r>
  <r>
    <x v="41"/>
    <s v="Marco Túlio"/>
    <x v="0"/>
    <x v="40"/>
    <x v="1"/>
    <x v="0"/>
    <x v="1"/>
    <x v="0"/>
    <x v="0"/>
    <x v="0"/>
    <n v="20"/>
    <n v="20"/>
    <x v="4"/>
    <x v="0"/>
  </r>
  <r>
    <x v="42"/>
    <s v="Lívia Silveira"/>
    <x v="1"/>
    <x v="41"/>
    <x v="0"/>
    <x v="1"/>
    <x v="0"/>
    <x v="1"/>
    <x v="1"/>
    <x v="0"/>
    <n v="20"/>
    <n v="10"/>
    <x v="2"/>
    <x v="1"/>
  </r>
  <r>
    <x v="43"/>
    <s v="Diogo Sousa"/>
    <x v="2"/>
    <x v="42"/>
    <x v="1"/>
    <x v="2"/>
    <x v="2"/>
    <x v="1"/>
    <x v="1"/>
    <x v="1"/>
    <n v="0"/>
    <n v="0"/>
    <x v="8"/>
    <x v="2"/>
  </r>
  <r>
    <x v="44"/>
    <s v="Beatriz Gomes"/>
    <x v="2"/>
    <x v="43"/>
    <x v="0"/>
    <x v="2"/>
    <x v="0"/>
    <x v="1"/>
    <x v="1"/>
    <x v="1"/>
    <n v="0"/>
    <n v="2"/>
    <x v="10"/>
    <x v="2"/>
  </r>
  <r>
    <x v="45"/>
    <s v="Cesar Oliveira"/>
    <x v="0"/>
    <x v="44"/>
    <x v="1"/>
    <x v="0"/>
    <x v="2"/>
    <x v="0"/>
    <x v="0"/>
    <x v="0"/>
    <n v="20"/>
    <n v="7"/>
    <x v="11"/>
    <x v="0"/>
  </r>
  <r>
    <x v="46"/>
    <s v="Débora Machado"/>
    <x v="1"/>
    <x v="45"/>
    <x v="0"/>
    <x v="1"/>
    <x v="0"/>
    <x v="1"/>
    <x v="1"/>
    <x v="0"/>
    <n v="20"/>
    <n v="5"/>
    <x v="14"/>
    <x v="1"/>
  </r>
  <r>
    <x v="47"/>
    <s v="Eduardo Vargas"/>
    <x v="2"/>
    <x v="46"/>
    <x v="1"/>
    <x v="2"/>
    <x v="1"/>
    <x v="1"/>
    <x v="1"/>
    <x v="1"/>
    <n v="0"/>
    <n v="0"/>
    <x v="8"/>
    <x v="2"/>
  </r>
  <r>
    <x v="48"/>
    <s v="Gabriela Santos"/>
    <x v="0"/>
    <x v="47"/>
    <x v="0"/>
    <x v="0"/>
    <x v="0"/>
    <x v="0"/>
    <x v="0"/>
    <x v="0"/>
    <n v="20"/>
    <n v="3"/>
    <x v="5"/>
    <x v="0"/>
  </r>
  <r>
    <x v="49"/>
    <s v="Henrique Dias"/>
    <x v="1"/>
    <x v="48"/>
    <x v="1"/>
    <x v="1"/>
    <x v="2"/>
    <x v="1"/>
    <x v="1"/>
    <x v="0"/>
    <n v="20"/>
    <n v="15"/>
    <x v="7"/>
    <x v="1"/>
  </r>
  <r>
    <x v="50"/>
    <s v="Isabela Moreira"/>
    <x v="2"/>
    <x v="49"/>
    <x v="0"/>
    <x v="2"/>
    <x v="0"/>
    <x v="1"/>
    <x v="1"/>
    <x v="1"/>
    <n v="0"/>
    <n v="1"/>
    <x v="6"/>
    <x v="2"/>
  </r>
  <r>
    <x v="51"/>
    <s v="Joaquim Barbosa"/>
    <x v="0"/>
    <x v="50"/>
    <x v="1"/>
    <x v="0"/>
    <x v="1"/>
    <x v="0"/>
    <x v="0"/>
    <x v="0"/>
    <n v="20"/>
    <n v="20"/>
    <x v="4"/>
    <x v="0"/>
  </r>
  <r>
    <x v="52"/>
    <s v="Lara Rocha"/>
    <x v="1"/>
    <x v="51"/>
    <x v="0"/>
    <x v="1"/>
    <x v="0"/>
    <x v="1"/>
    <x v="1"/>
    <x v="0"/>
    <n v="20"/>
    <n v="10"/>
    <x v="2"/>
    <x v="1"/>
  </r>
  <r>
    <x v="53"/>
    <s v="Matheus Silva"/>
    <x v="2"/>
    <x v="52"/>
    <x v="1"/>
    <x v="2"/>
    <x v="2"/>
    <x v="1"/>
    <x v="1"/>
    <x v="1"/>
    <n v="0"/>
    <n v="0"/>
    <x v="8"/>
    <x v="2"/>
  </r>
  <r>
    <x v="54"/>
    <s v="Nicole Costa"/>
    <x v="0"/>
    <x v="53"/>
    <x v="0"/>
    <x v="0"/>
    <x v="0"/>
    <x v="0"/>
    <x v="0"/>
    <x v="0"/>
    <n v="20"/>
    <n v="5"/>
    <x v="3"/>
    <x v="0"/>
  </r>
  <r>
    <x v="55"/>
    <s v="Otávio Mendonça"/>
    <x v="1"/>
    <x v="54"/>
    <x v="1"/>
    <x v="1"/>
    <x v="1"/>
    <x v="1"/>
    <x v="1"/>
    <x v="0"/>
    <n v="20"/>
    <n v="15"/>
    <x v="7"/>
    <x v="1"/>
  </r>
  <r>
    <x v="56"/>
    <s v="Paula Ferreira"/>
    <x v="2"/>
    <x v="55"/>
    <x v="0"/>
    <x v="2"/>
    <x v="0"/>
    <x v="1"/>
    <x v="1"/>
    <x v="1"/>
    <n v="0"/>
    <n v="1"/>
    <x v="6"/>
    <x v="2"/>
  </r>
  <r>
    <x v="57"/>
    <s v="Raquel Alves"/>
    <x v="0"/>
    <x v="56"/>
    <x v="1"/>
    <x v="0"/>
    <x v="2"/>
    <x v="0"/>
    <x v="0"/>
    <x v="0"/>
    <n v="20"/>
    <n v="7"/>
    <x v="11"/>
    <x v="0"/>
  </r>
  <r>
    <x v="58"/>
    <s v="Samuel Pires"/>
    <x v="1"/>
    <x v="57"/>
    <x v="0"/>
    <x v="1"/>
    <x v="0"/>
    <x v="1"/>
    <x v="1"/>
    <x v="0"/>
    <n v="20"/>
    <n v="10"/>
    <x v="2"/>
    <x v="1"/>
  </r>
  <r>
    <x v="59"/>
    <s v="Tânia Barros"/>
    <x v="2"/>
    <x v="58"/>
    <x v="1"/>
    <x v="2"/>
    <x v="1"/>
    <x v="1"/>
    <x v="1"/>
    <x v="1"/>
    <n v="0"/>
    <n v="0"/>
    <x v="8"/>
    <x v="2"/>
  </r>
  <r>
    <x v="60"/>
    <s v="Vinicius Lima"/>
    <x v="0"/>
    <x v="59"/>
    <x v="0"/>
    <x v="0"/>
    <x v="0"/>
    <x v="0"/>
    <x v="0"/>
    <x v="0"/>
    <n v="20"/>
    <n v="3"/>
    <x v="5"/>
    <x v="0"/>
  </r>
  <r>
    <x v="61"/>
    <s v="Yasmin Teixeira"/>
    <x v="1"/>
    <x v="60"/>
    <x v="1"/>
    <x v="1"/>
    <x v="2"/>
    <x v="1"/>
    <x v="1"/>
    <x v="0"/>
    <n v="20"/>
    <n v="15"/>
    <x v="7"/>
    <x v="1"/>
  </r>
  <r>
    <x v="62"/>
    <s v="Zé Carlos"/>
    <x v="2"/>
    <x v="61"/>
    <x v="0"/>
    <x v="2"/>
    <x v="0"/>
    <x v="1"/>
    <x v="1"/>
    <x v="1"/>
    <n v="0"/>
    <n v="1"/>
    <x v="6"/>
    <x v="2"/>
  </r>
  <r>
    <x v="63"/>
    <s v="Amanda Nogueira"/>
    <x v="2"/>
    <x v="62"/>
    <x v="1"/>
    <x v="2"/>
    <x v="0"/>
    <x v="1"/>
    <x v="1"/>
    <x v="1"/>
    <n v="0"/>
    <n v="0"/>
    <x v="8"/>
    <x v="2"/>
  </r>
  <r>
    <x v="64"/>
    <s v="Bruno Cavalheiro"/>
    <x v="0"/>
    <x v="63"/>
    <x v="0"/>
    <x v="0"/>
    <x v="2"/>
    <x v="0"/>
    <x v="0"/>
    <x v="0"/>
    <n v="20"/>
    <n v="7"/>
    <x v="11"/>
    <x v="0"/>
  </r>
  <r>
    <x v="65"/>
    <s v="Diego Fontes"/>
    <x v="2"/>
    <x v="64"/>
    <x v="0"/>
    <x v="2"/>
    <x v="2"/>
    <x v="1"/>
    <x v="1"/>
    <x v="1"/>
    <n v="0"/>
    <n v="1"/>
    <x v="6"/>
    <x v="2"/>
  </r>
  <r>
    <x v="66"/>
    <s v="Eunice Lima"/>
    <x v="0"/>
    <x v="65"/>
    <x v="1"/>
    <x v="0"/>
    <x v="0"/>
    <x v="0"/>
    <x v="0"/>
    <x v="0"/>
    <n v="20"/>
    <n v="15"/>
    <x v="9"/>
    <x v="0"/>
  </r>
  <r>
    <x v="67"/>
    <s v="Fábio Martins"/>
    <x v="1"/>
    <x v="66"/>
    <x v="0"/>
    <x v="1"/>
    <x v="0"/>
    <x v="1"/>
    <x v="1"/>
    <x v="0"/>
    <n v="20"/>
    <n v="5"/>
    <x v="14"/>
    <x v="1"/>
  </r>
  <r>
    <x v="68"/>
    <s v="Gisele Araújo"/>
    <x v="2"/>
    <x v="67"/>
    <x v="1"/>
    <x v="2"/>
    <x v="1"/>
    <x v="1"/>
    <x v="1"/>
    <x v="1"/>
    <n v="0"/>
    <n v="0"/>
    <x v="8"/>
    <x v="2"/>
  </r>
  <r>
    <x v="69"/>
    <s v="Hélio Castro"/>
    <x v="0"/>
    <x v="68"/>
    <x v="0"/>
    <x v="0"/>
    <x v="2"/>
    <x v="0"/>
    <x v="0"/>
    <x v="0"/>
    <n v="20"/>
    <n v="20"/>
    <x v="4"/>
    <x v="0"/>
  </r>
  <r>
    <x v="70"/>
    <s v="Ingrid Menezes"/>
    <x v="1"/>
    <x v="69"/>
    <x v="1"/>
    <x v="1"/>
    <x v="2"/>
    <x v="1"/>
    <x v="1"/>
    <x v="0"/>
    <n v="20"/>
    <n v="12"/>
    <x v="1"/>
    <x v="1"/>
  </r>
  <r>
    <x v="71"/>
    <s v="Jorge Baptista"/>
    <x v="2"/>
    <x v="70"/>
    <x v="0"/>
    <x v="2"/>
    <x v="0"/>
    <x v="1"/>
    <x v="1"/>
    <x v="1"/>
    <n v="0"/>
    <n v="2"/>
    <x v="10"/>
    <x v="2"/>
  </r>
  <r>
    <x v="72"/>
    <s v="Luciana Freitas"/>
    <x v="1"/>
    <x v="71"/>
    <x v="0"/>
    <x v="1"/>
    <x v="0"/>
    <x v="1"/>
    <x v="1"/>
    <x v="0"/>
    <n v="20"/>
    <n v="10"/>
    <x v="2"/>
    <x v="1"/>
  </r>
  <r>
    <x v="73"/>
    <s v="Márcia Eller"/>
    <x v="2"/>
    <x v="72"/>
    <x v="1"/>
    <x v="2"/>
    <x v="2"/>
    <x v="1"/>
    <x v="1"/>
    <x v="1"/>
    <n v="0"/>
    <n v="0"/>
    <x v="8"/>
    <x v="2"/>
  </r>
  <r>
    <x v="74"/>
    <s v="Nilo Peçanha"/>
    <x v="0"/>
    <x v="73"/>
    <x v="0"/>
    <x v="0"/>
    <x v="0"/>
    <x v="0"/>
    <x v="0"/>
    <x v="0"/>
    <n v="20"/>
    <n v="3"/>
    <x v="5"/>
    <x v="0"/>
  </r>
  <r>
    <x v="75"/>
    <s v="Oscar Neves"/>
    <x v="1"/>
    <x v="74"/>
    <x v="1"/>
    <x v="1"/>
    <x v="1"/>
    <x v="1"/>
    <x v="1"/>
    <x v="0"/>
    <n v="20"/>
    <n v="15"/>
    <x v="7"/>
    <x v="1"/>
  </r>
  <r>
    <x v="76"/>
    <s v="Patrícia Soares"/>
    <x v="2"/>
    <x v="75"/>
    <x v="0"/>
    <x v="2"/>
    <x v="0"/>
    <x v="1"/>
    <x v="1"/>
    <x v="1"/>
    <n v="0"/>
    <n v="1"/>
    <x v="6"/>
    <x v="2"/>
  </r>
  <r>
    <x v="77"/>
    <s v="Quirino Gonçalves"/>
    <x v="0"/>
    <x v="76"/>
    <x v="1"/>
    <x v="0"/>
    <x v="2"/>
    <x v="0"/>
    <x v="0"/>
    <x v="0"/>
    <n v="20"/>
    <n v="7"/>
    <x v="11"/>
    <x v="0"/>
  </r>
  <r>
    <x v="78"/>
    <s v="Raul Machado"/>
    <x v="1"/>
    <x v="77"/>
    <x v="0"/>
    <x v="1"/>
    <x v="0"/>
    <x v="1"/>
    <x v="1"/>
    <x v="0"/>
    <n v="20"/>
    <n v="10"/>
    <x v="2"/>
    <x v="1"/>
  </r>
  <r>
    <x v="79"/>
    <s v="Sônia Lobo"/>
    <x v="2"/>
    <x v="78"/>
    <x v="1"/>
    <x v="2"/>
    <x v="1"/>
    <x v="1"/>
    <x v="1"/>
    <x v="1"/>
    <n v="0"/>
    <n v="0"/>
    <x v="8"/>
    <x v="2"/>
  </r>
  <r>
    <x v="80"/>
    <s v="Tiago Ramos"/>
    <x v="0"/>
    <x v="79"/>
    <x v="0"/>
    <x v="0"/>
    <x v="0"/>
    <x v="0"/>
    <x v="0"/>
    <x v="0"/>
    <n v="20"/>
    <n v="20"/>
    <x v="4"/>
    <x v="0"/>
  </r>
  <r>
    <x v="81"/>
    <s v="Ugo Pires"/>
    <x v="1"/>
    <x v="80"/>
    <x v="1"/>
    <x v="1"/>
    <x v="2"/>
    <x v="1"/>
    <x v="1"/>
    <x v="0"/>
    <n v="20"/>
    <n v="15"/>
    <x v="7"/>
    <x v="1"/>
  </r>
  <r>
    <x v="82"/>
    <s v="Valéria Nobre"/>
    <x v="2"/>
    <x v="81"/>
    <x v="0"/>
    <x v="2"/>
    <x v="0"/>
    <x v="1"/>
    <x v="1"/>
    <x v="1"/>
    <n v="0"/>
    <n v="1"/>
    <x v="6"/>
    <x v="2"/>
  </r>
  <r>
    <x v="83"/>
    <s v="William Siqueira"/>
    <x v="0"/>
    <x v="82"/>
    <x v="1"/>
    <x v="0"/>
    <x v="1"/>
    <x v="0"/>
    <x v="0"/>
    <x v="0"/>
    <n v="20"/>
    <n v="3"/>
    <x v="5"/>
    <x v="0"/>
  </r>
  <r>
    <x v="84"/>
    <s v="Yara Figueiredo"/>
    <x v="2"/>
    <x v="83"/>
    <x v="1"/>
    <x v="2"/>
    <x v="2"/>
    <x v="1"/>
    <x v="1"/>
    <x v="1"/>
    <n v="0"/>
    <n v="0"/>
    <x v="8"/>
    <x v="2"/>
  </r>
  <r>
    <x v="85"/>
    <s v="Zacarias Alves"/>
    <x v="0"/>
    <x v="84"/>
    <x v="0"/>
    <x v="0"/>
    <x v="0"/>
    <x v="0"/>
    <x v="0"/>
    <x v="0"/>
    <n v="20"/>
    <n v="5"/>
    <x v="3"/>
    <x v="0"/>
  </r>
  <r>
    <x v="86"/>
    <s v="Amanda Bynes"/>
    <x v="1"/>
    <x v="85"/>
    <x v="1"/>
    <x v="1"/>
    <x v="1"/>
    <x v="1"/>
    <x v="1"/>
    <x v="0"/>
    <n v="20"/>
    <n v="15"/>
    <x v="7"/>
    <x v="1"/>
  </r>
  <r>
    <x v="87"/>
    <s v="Bruno Mars"/>
    <x v="2"/>
    <x v="86"/>
    <x v="0"/>
    <x v="2"/>
    <x v="0"/>
    <x v="1"/>
    <x v="1"/>
    <x v="1"/>
    <n v="0"/>
    <n v="1"/>
    <x v="6"/>
    <x v="2"/>
  </r>
  <r>
    <x v="88"/>
    <s v="Carla Bruni"/>
    <x v="0"/>
    <x v="87"/>
    <x v="1"/>
    <x v="0"/>
    <x v="2"/>
    <x v="0"/>
    <x v="0"/>
    <x v="0"/>
    <n v="20"/>
    <n v="20"/>
    <x v="4"/>
    <x v="0"/>
  </r>
  <r>
    <x v="89"/>
    <s v="Diego Maradona"/>
    <x v="1"/>
    <x v="88"/>
    <x v="0"/>
    <x v="1"/>
    <x v="0"/>
    <x v="1"/>
    <x v="1"/>
    <x v="0"/>
    <n v="20"/>
    <n v="5"/>
    <x v="14"/>
    <x v="1"/>
  </r>
  <r>
    <x v="90"/>
    <s v="Estela Marques"/>
    <x v="2"/>
    <x v="89"/>
    <x v="0"/>
    <x v="2"/>
    <x v="0"/>
    <x v="1"/>
    <x v="1"/>
    <x v="1"/>
    <n v="0"/>
    <n v="0"/>
    <x v="8"/>
    <x v="2"/>
  </r>
  <r>
    <x v="91"/>
    <s v="Fábio Nobre"/>
    <x v="0"/>
    <x v="90"/>
    <x v="1"/>
    <x v="0"/>
    <x v="2"/>
    <x v="0"/>
    <x v="0"/>
    <x v="0"/>
    <n v="20"/>
    <n v="7"/>
    <x v="11"/>
    <x v="0"/>
  </r>
  <r>
    <x v="92"/>
    <s v="Gabriel Oliveira"/>
    <x v="1"/>
    <x v="91"/>
    <x v="0"/>
    <x v="1"/>
    <x v="1"/>
    <x v="1"/>
    <x v="1"/>
    <x v="0"/>
    <n v="20"/>
    <n v="10"/>
    <x v="2"/>
    <x v="1"/>
  </r>
  <r>
    <x v="93"/>
    <s v="Helena Santos"/>
    <x v="2"/>
    <x v="92"/>
    <x v="1"/>
    <x v="2"/>
    <x v="2"/>
    <x v="1"/>
    <x v="1"/>
    <x v="1"/>
    <n v="0"/>
    <n v="1"/>
    <x v="6"/>
    <x v="2"/>
  </r>
  <r>
    <x v="94"/>
    <s v="Ivan Carvalho"/>
    <x v="0"/>
    <x v="93"/>
    <x v="0"/>
    <x v="0"/>
    <x v="0"/>
    <x v="0"/>
    <x v="0"/>
    <x v="0"/>
    <n v="20"/>
    <n v="15"/>
    <x v="9"/>
    <x v="0"/>
  </r>
  <r>
    <x v="95"/>
    <s v="Júlia Ferreira"/>
    <x v="1"/>
    <x v="94"/>
    <x v="1"/>
    <x v="1"/>
    <x v="0"/>
    <x v="1"/>
    <x v="1"/>
    <x v="0"/>
    <n v="20"/>
    <n v="5"/>
    <x v="14"/>
    <x v="1"/>
  </r>
  <r>
    <x v="96"/>
    <s v="Karla Alves"/>
    <x v="2"/>
    <x v="95"/>
    <x v="0"/>
    <x v="2"/>
    <x v="1"/>
    <x v="1"/>
    <x v="1"/>
    <x v="1"/>
    <n v="0"/>
    <n v="0"/>
    <x v="8"/>
    <x v="2"/>
  </r>
  <r>
    <x v="97"/>
    <s v="Lucas Mendes"/>
    <x v="0"/>
    <x v="96"/>
    <x v="1"/>
    <x v="0"/>
    <x v="2"/>
    <x v="0"/>
    <x v="0"/>
    <x v="0"/>
    <n v="20"/>
    <n v="20"/>
    <x v="4"/>
    <x v="0"/>
  </r>
  <r>
    <x v="98"/>
    <s v="Mônica Gomes"/>
    <x v="1"/>
    <x v="97"/>
    <x v="0"/>
    <x v="1"/>
    <x v="2"/>
    <x v="1"/>
    <x v="1"/>
    <x v="0"/>
    <n v="20"/>
    <n v="12"/>
    <x v="1"/>
    <x v="1"/>
  </r>
  <r>
    <x v="99"/>
    <s v="Norberto Queiroz"/>
    <x v="2"/>
    <x v="98"/>
    <x v="1"/>
    <x v="2"/>
    <x v="0"/>
    <x v="1"/>
    <x v="1"/>
    <x v="1"/>
    <n v="0"/>
    <n v="2"/>
    <x v="10"/>
    <x v="2"/>
  </r>
  <r>
    <x v="100"/>
    <s v="Otávio Barros"/>
    <x v="0"/>
    <x v="99"/>
    <x v="0"/>
    <x v="0"/>
    <x v="1"/>
    <x v="0"/>
    <x v="0"/>
    <x v="0"/>
    <n v="20"/>
    <n v="5"/>
    <x v="3"/>
    <x v="0"/>
  </r>
  <r>
    <x v="101"/>
    <s v="Paula Vieira"/>
    <x v="1"/>
    <x v="100"/>
    <x v="1"/>
    <x v="1"/>
    <x v="0"/>
    <x v="1"/>
    <x v="1"/>
    <x v="0"/>
    <n v="20"/>
    <n v="10"/>
    <x v="2"/>
    <x v="1"/>
  </r>
  <r>
    <x v="102"/>
    <s v="Quentin Ramos"/>
    <x v="2"/>
    <x v="101"/>
    <x v="0"/>
    <x v="2"/>
    <x v="2"/>
    <x v="1"/>
    <x v="1"/>
    <x v="1"/>
    <n v="0"/>
    <n v="0"/>
    <x v="8"/>
    <x v="2"/>
  </r>
  <r>
    <x v="103"/>
    <s v="Raquel Novaes"/>
    <x v="0"/>
    <x v="102"/>
    <x v="1"/>
    <x v="0"/>
    <x v="0"/>
    <x v="0"/>
    <x v="0"/>
    <x v="0"/>
    <n v="20"/>
    <n v="3"/>
    <x v="5"/>
    <x v="0"/>
  </r>
  <r>
    <x v="104"/>
    <s v="Samantha Lopes"/>
    <x v="1"/>
    <x v="103"/>
    <x v="0"/>
    <x v="1"/>
    <x v="1"/>
    <x v="1"/>
    <x v="1"/>
    <x v="0"/>
    <n v="20"/>
    <n v="15"/>
    <x v="7"/>
    <x v="1"/>
  </r>
  <r>
    <x v="105"/>
    <s v="Tiago Martins"/>
    <x v="2"/>
    <x v="104"/>
    <x v="1"/>
    <x v="2"/>
    <x v="0"/>
    <x v="1"/>
    <x v="1"/>
    <x v="1"/>
    <n v="0"/>
    <n v="1"/>
    <x v="6"/>
    <x v="2"/>
  </r>
  <r>
    <x v="106"/>
    <s v="Ulysses Guimarães"/>
    <x v="0"/>
    <x v="105"/>
    <x v="0"/>
    <x v="0"/>
    <x v="2"/>
    <x v="0"/>
    <x v="0"/>
    <x v="0"/>
    <n v="20"/>
    <n v="7"/>
    <x v="11"/>
    <x v="0"/>
  </r>
  <r>
    <x v="107"/>
    <s v="Vanessa Silva"/>
    <x v="1"/>
    <x v="106"/>
    <x v="1"/>
    <x v="1"/>
    <x v="0"/>
    <x v="1"/>
    <x v="1"/>
    <x v="0"/>
    <n v="20"/>
    <n v="10"/>
    <x v="2"/>
    <x v="1"/>
  </r>
  <r>
    <x v="108"/>
    <s v="William Carneiro"/>
    <x v="2"/>
    <x v="107"/>
    <x v="0"/>
    <x v="2"/>
    <x v="1"/>
    <x v="1"/>
    <x v="1"/>
    <x v="1"/>
    <n v="0"/>
    <n v="0"/>
    <x v="8"/>
    <x v="2"/>
  </r>
  <r>
    <x v="109"/>
    <s v="Ximena Rocha"/>
    <x v="0"/>
    <x v="108"/>
    <x v="1"/>
    <x v="0"/>
    <x v="0"/>
    <x v="0"/>
    <x v="0"/>
    <x v="0"/>
    <n v="20"/>
    <n v="20"/>
    <x v="4"/>
    <x v="0"/>
  </r>
  <r>
    <x v="110"/>
    <s v="Yasmin Figueiredo"/>
    <x v="1"/>
    <x v="109"/>
    <x v="0"/>
    <x v="1"/>
    <x v="2"/>
    <x v="1"/>
    <x v="1"/>
    <x v="0"/>
    <n v="20"/>
    <n v="15"/>
    <x v="7"/>
    <x v="1"/>
  </r>
  <r>
    <x v="111"/>
    <s v="Zara Cunha"/>
    <x v="2"/>
    <x v="110"/>
    <x v="1"/>
    <x v="2"/>
    <x v="0"/>
    <x v="1"/>
    <x v="1"/>
    <x v="1"/>
    <n v="0"/>
    <n v="1"/>
    <x v="6"/>
    <x v="2"/>
  </r>
  <r>
    <x v="112"/>
    <s v="Alan Teixeira"/>
    <x v="0"/>
    <x v="111"/>
    <x v="0"/>
    <x v="0"/>
    <x v="1"/>
    <x v="0"/>
    <x v="0"/>
    <x v="0"/>
    <n v="20"/>
    <n v="3"/>
    <x v="5"/>
    <x v="0"/>
  </r>
  <r>
    <x v="113"/>
    <s v="Bárbara Oliveira"/>
    <x v="1"/>
    <x v="112"/>
    <x v="1"/>
    <x v="1"/>
    <x v="0"/>
    <x v="1"/>
    <x v="1"/>
    <x v="0"/>
    <n v="20"/>
    <n v="10"/>
    <x v="2"/>
    <x v="1"/>
  </r>
  <r>
    <x v="114"/>
    <s v="Carlos Junqueira"/>
    <x v="2"/>
    <x v="113"/>
    <x v="0"/>
    <x v="2"/>
    <x v="2"/>
    <x v="1"/>
    <x v="1"/>
    <x v="1"/>
    <n v="0"/>
    <n v="0"/>
    <x v="8"/>
    <x v="2"/>
  </r>
  <r>
    <x v="115"/>
    <s v="Eduardo Lima"/>
    <x v="1"/>
    <x v="114"/>
    <x v="0"/>
    <x v="1"/>
    <x v="1"/>
    <x v="1"/>
    <x v="1"/>
    <x v="0"/>
    <n v="20"/>
    <n v="15"/>
    <x v="7"/>
    <x v="1"/>
  </r>
  <r>
    <x v="116"/>
    <s v="Fabiana Araújo"/>
    <x v="2"/>
    <x v="115"/>
    <x v="1"/>
    <x v="2"/>
    <x v="0"/>
    <x v="1"/>
    <x v="1"/>
    <x v="1"/>
    <n v="0"/>
    <n v="1"/>
    <x v="6"/>
    <x v="2"/>
  </r>
  <r>
    <x v="117"/>
    <s v="Héctor Vargas"/>
    <x v="1"/>
    <x v="116"/>
    <x v="1"/>
    <x v="1"/>
    <x v="2"/>
    <x v="1"/>
    <x v="1"/>
    <x v="0"/>
    <n v="20"/>
    <n v="15"/>
    <x v="7"/>
    <x v="1"/>
  </r>
  <r>
    <x v="118"/>
    <s v="Isabela Fonseca"/>
    <x v="2"/>
    <x v="117"/>
    <x v="0"/>
    <x v="2"/>
    <x v="1"/>
    <x v="1"/>
    <x v="1"/>
    <x v="1"/>
    <n v="0"/>
    <n v="0"/>
    <x v="8"/>
    <x v="2"/>
  </r>
  <r>
    <x v="119"/>
    <s v="João Pedro Almeida"/>
    <x v="0"/>
    <x v="118"/>
    <x v="1"/>
    <x v="0"/>
    <x v="0"/>
    <x v="0"/>
    <x v="0"/>
    <x v="0"/>
    <n v="20"/>
    <n v="7"/>
    <x v="11"/>
    <x v="0"/>
  </r>
  <r>
    <x v="120"/>
    <s v="Klara Costa"/>
    <x v="1"/>
    <x v="119"/>
    <x v="0"/>
    <x v="1"/>
    <x v="1"/>
    <x v="1"/>
    <x v="1"/>
    <x v="0"/>
    <n v="20"/>
    <n v="10"/>
    <x v="2"/>
    <x v="1"/>
  </r>
  <r>
    <x v="121"/>
    <s v="Luciana Mendes"/>
    <x v="2"/>
    <x v="120"/>
    <x v="1"/>
    <x v="2"/>
    <x v="2"/>
    <x v="1"/>
    <x v="1"/>
    <x v="1"/>
    <n v="0"/>
    <n v="1"/>
    <x v="6"/>
    <x v="2"/>
  </r>
  <r>
    <x v="122"/>
    <s v="Marcelo Gouveia"/>
    <x v="0"/>
    <x v="121"/>
    <x v="0"/>
    <x v="0"/>
    <x v="0"/>
    <x v="0"/>
    <x v="0"/>
    <x v="0"/>
    <n v="20"/>
    <n v="15"/>
    <x v="9"/>
    <x v="0"/>
  </r>
  <r>
    <x v="123"/>
    <s v="Nívea Borges"/>
    <x v="1"/>
    <x v="122"/>
    <x v="1"/>
    <x v="1"/>
    <x v="0"/>
    <x v="1"/>
    <x v="1"/>
    <x v="0"/>
    <n v="20"/>
    <n v="5"/>
    <x v="14"/>
    <x v="1"/>
  </r>
  <r>
    <x v="124"/>
    <s v="Oscar Nogueira"/>
    <x v="2"/>
    <x v="123"/>
    <x v="0"/>
    <x v="2"/>
    <x v="1"/>
    <x v="1"/>
    <x v="1"/>
    <x v="1"/>
    <n v="0"/>
    <n v="0"/>
    <x v="8"/>
    <x v="2"/>
  </r>
  <r>
    <x v="125"/>
    <s v="Patrícia Alves"/>
    <x v="0"/>
    <x v="124"/>
    <x v="1"/>
    <x v="0"/>
    <x v="2"/>
    <x v="0"/>
    <x v="0"/>
    <x v="0"/>
    <n v="20"/>
    <n v="20"/>
    <x v="4"/>
    <x v="0"/>
  </r>
  <r>
    <x v="126"/>
    <s v="Rafaela Silva"/>
    <x v="1"/>
    <x v="125"/>
    <x v="0"/>
    <x v="1"/>
    <x v="2"/>
    <x v="1"/>
    <x v="1"/>
    <x v="0"/>
    <n v="20"/>
    <n v="12"/>
    <x v="1"/>
    <x v="1"/>
  </r>
  <r>
    <x v="127"/>
    <s v="Samantha Moraes"/>
    <x v="2"/>
    <x v="126"/>
    <x v="1"/>
    <x v="2"/>
    <x v="0"/>
    <x v="1"/>
    <x v="1"/>
    <x v="1"/>
    <n v="0"/>
    <n v="2"/>
    <x v="10"/>
    <x v="2"/>
  </r>
  <r>
    <x v="128"/>
    <s v="Tatiana Rocha"/>
    <x v="2"/>
    <x v="127"/>
    <x v="1"/>
    <x v="2"/>
    <x v="0"/>
    <x v="1"/>
    <x v="1"/>
    <x v="1"/>
    <n v="0"/>
    <n v="0"/>
    <x v="8"/>
    <x v="2"/>
  </r>
  <r>
    <x v="129"/>
    <s v="Ulisses Tavares"/>
    <x v="0"/>
    <x v="128"/>
    <x v="0"/>
    <x v="0"/>
    <x v="2"/>
    <x v="0"/>
    <x v="0"/>
    <x v="0"/>
    <n v="20"/>
    <n v="7"/>
    <x v="11"/>
    <x v="0"/>
  </r>
  <r>
    <x v="130"/>
    <s v="Víctor Lemos"/>
    <x v="1"/>
    <x v="129"/>
    <x v="1"/>
    <x v="1"/>
    <x v="1"/>
    <x v="1"/>
    <x v="1"/>
    <x v="0"/>
    <n v="20"/>
    <n v="10"/>
    <x v="2"/>
    <x v="1"/>
  </r>
  <r>
    <x v="131"/>
    <s v="Wilma Barros"/>
    <x v="2"/>
    <x v="130"/>
    <x v="0"/>
    <x v="2"/>
    <x v="2"/>
    <x v="1"/>
    <x v="1"/>
    <x v="1"/>
    <n v="0"/>
    <n v="1"/>
    <x v="6"/>
    <x v="2"/>
  </r>
  <r>
    <x v="132"/>
    <s v="Xavier Nascimento"/>
    <x v="0"/>
    <x v="131"/>
    <x v="1"/>
    <x v="0"/>
    <x v="0"/>
    <x v="0"/>
    <x v="0"/>
    <x v="0"/>
    <n v="20"/>
    <n v="15"/>
    <x v="9"/>
    <x v="0"/>
  </r>
  <r>
    <x v="133"/>
    <s v="Yago Pereira"/>
    <x v="1"/>
    <x v="132"/>
    <x v="0"/>
    <x v="1"/>
    <x v="0"/>
    <x v="1"/>
    <x v="1"/>
    <x v="0"/>
    <n v="20"/>
    <n v="5"/>
    <x v="14"/>
    <x v="1"/>
  </r>
  <r>
    <x v="134"/>
    <s v="Zilda Ferreira"/>
    <x v="2"/>
    <x v="133"/>
    <x v="1"/>
    <x v="2"/>
    <x v="1"/>
    <x v="1"/>
    <x v="1"/>
    <x v="1"/>
    <n v="0"/>
    <n v="0"/>
    <x v="8"/>
    <x v="2"/>
  </r>
  <r>
    <x v="135"/>
    <s v="Amanda Lopes"/>
    <x v="0"/>
    <x v="134"/>
    <x v="0"/>
    <x v="0"/>
    <x v="2"/>
    <x v="0"/>
    <x v="0"/>
    <x v="0"/>
    <n v="20"/>
    <n v="20"/>
    <x v="4"/>
    <x v="0"/>
  </r>
  <r>
    <x v="136"/>
    <s v="Bruno Miranda"/>
    <x v="1"/>
    <x v="135"/>
    <x v="1"/>
    <x v="1"/>
    <x v="2"/>
    <x v="1"/>
    <x v="1"/>
    <x v="0"/>
    <n v="20"/>
    <n v="12"/>
    <x v="1"/>
    <x v="1"/>
  </r>
  <r>
    <x v="137"/>
    <s v="Célia Torres"/>
    <x v="2"/>
    <x v="136"/>
    <x v="0"/>
    <x v="2"/>
    <x v="0"/>
    <x v="1"/>
    <x v="1"/>
    <x v="1"/>
    <n v="0"/>
    <n v="2"/>
    <x v="10"/>
    <x v="2"/>
  </r>
  <r>
    <x v="138"/>
    <s v="Diogo Souza"/>
    <x v="0"/>
    <x v="137"/>
    <x v="1"/>
    <x v="0"/>
    <x v="1"/>
    <x v="0"/>
    <x v="0"/>
    <x v="0"/>
    <n v="20"/>
    <n v="5"/>
    <x v="3"/>
    <x v="0"/>
  </r>
  <r>
    <x v="139"/>
    <s v="Elisa Castro"/>
    <x v="1"/>
    <x v="138"/>
    <x v="0"/>
    <x v="1"/>
    <x v="0"/>
    <x v="1"/>
    <x v="1"/>
    <x v="0"/>
    <n v="20"/>
    <n v="10"/>
    <x v="2"/>
    <x v="1"/>
  </r>
  <r>
    <x v="140"/>
    <s v="Fátima Lima"/>
    <x v="2"/>
    <x v="139"/>
    <x v="1"/>
    <x v="2"/>
    <x v="2"/>
    <x v="1"/>
    <x v="1"/>
    <x v="1"/>
    <n v="0"/>
    <n v="0"/>
    <x v="8"/>
    <x v="2"/>
  </r>
  <r>
    <x v="141"/>
    <s v="Hélio Martins"/>
    <x v="1"/>
    <x v="140"/>
    <x v="1"/>
    <x v="1"/>
    <x v="1"/>
    <x v="1"/>
    <x v="1"/>
    <x v="0"/>
    <n v="20"/>
    <n v="15"/>
    <x v="7"/>
    <x v="1"/>
  </r>
  <r>
    <x v="142"/>
    <s v="João Marcelo"/>
    <x v="0"/>
    <x v="141"/>
    <x v="1"/>
    <x v="0"/>
    <x v="2"/>
    <x v="0"/>
    <x v="0"/>
    <x v="0"/>
    <n v="20"/>
    <n v="7"/>
    <x v="11"/>
    <x v="0"/>
  </r>
  <r>
    <x v="143"/>
    <s v="Larissa Gomes"/>
    <x v="1"/>
    <x v="142"/>
    <x v="0"/>
    <x v="1"/>
    <x v="0"/>
    <x v="1"/>
    <x v="1"/>
    <x v="0"/>
    <n v="20"/>
    <n v="10"/>
    <x v="2"/>
    <x v="1"/>
  </r>
  <r>
    <x v="144"/>
    <s v="Márcio Silva"/>
    <x v="2"/>
    <x v="143"/>
    <x v="1"/>
    <x v="2"/>
    <x v="1"/>
    <x v="1"/>
    <x v="1"/>
    <x v="1"/>
    <n v="0"/>
    <n v="0"/>
    <x v="8"/>
    <x v="2"/>
  </r>
  <r>
    <x v="145"/>
    <s v="Nadia Costa"/>
    <x v="0"/>
    <x v="144"/>
    <x v="0"/>
    <x v="0"/>
    <x v="0"/>
    <x v="0"/>
    <x v="0"/>
    <x v="0"/>
    <n v="20"/>
    <n v="20"/>
    <x v="4"/>
    <x v="0"/>
  </r>
  <r>
    <x v="146"/>
    <s v="Oscar Almeida"/>
    <x v="1"/>
    <x v="145"/>
    <x v="1"/>
    <x v="1"/>
    <x v="2"/>
    <x v="1"/>
    <x v="1"/>
    <x v="0"/>
    <n v="20"/>
    <n v="15"/>
    <x v="7"/>
    <x v="1"/>
  </r>
  <r>
    <x v="147"/>
    <s v="Patricia Soares"/>
    <x v="2"/>
    <x v="146"/>
    <x v="0"/>
    <x v="2"/>
    <x v="0"/>
    <x v="1"/>
    <x v="1"/>
    <x v="1"/>
    <n v="0"/>
    <n v="1"/>
    <x v="6"/>
    <x v="2"/>
  </r>
  <r>
    <x v="148"/>
    <s v="Quênia Barros"/>
    <x v="0"/>
    <x v="147"/>
    <x v="1"/>
    <x v="0"/>
    <x v="1"/>
    <x v="0"/>
    <x v="0"/>
    <x v="0"/>
    <n v="20"/>
    <n v="3"/>
    <x v="5"/>
    <x v="0"/>
  </r>
  <r>
    <x v="149"/>
    <s v="Silvia Nascimento"/>
    <x v="2"/>
    <x v="148"/>
    <x v="1"/>
    <x v="2"/>
    <x v="2"/>
    <x v="1"/>
    <x v="1"/>
    <x v="1"/>
    <n v="0"/>
    <n v="0"/>
    <x v="8"/>
    <x v="2"/>
  </r>
  <r>
    <x v="150"/>
    <s v="Tiago Mendes"/>
    <x v="0"/>
    <x v="149"/>
    <x v="0"/>
    <x v="0"/>
    <x v="0"/>
    <x v="0"/>
    <x v="0"/>
    <x v="0"/>
    <n v="20"/>
    <n v="15"/>
    <x v="9"/>
    <x v="0"/>
  </r>
  <r>
    <x v="151"/>
    <s v="Waldir Junior"/>
    <x v="0"/>
    <x v="150"/>
    <x v="1"/>
    <x v="0"/>
    <x v="2"/>
    <x v="0"/>
    <x v="0"/>
    <x v="0"/>
    <n v="20"/>
    <n v="7"/>
    <x v="11"/>
    <x v="0"/>
  </r>
  <r>
    <x v="152"/>
    <s v="Xavier Lopes"/>
    <x v="1"/>
    <x v="151"/>
    <x v="0"/>
    <x v="1"/>
    <x v="0"/>
    <x v="1"/>
    <x v="1"/>
    <x v="0"/>
    <n v="20"/>
    <n v="10"/>
    <x v="2"/>
    <x v="1"/>
  </r>
  <r>
    <x v="153"/>
    <s v="Yolanda Freitas"/>
    <x v="2"/>
    <x v="152"/>
    <x v="1"/>
    <x v="2"/>
    <x v="0"/>
    <x v="1"/>
    <x v="1"/>
    <x v="1"/>
    <n v="0"/>
    <n v="0"/>
    <x v="8"/>
    <x v="2"/>
  </r>
  <r>
    <x v="154"/>
    <s v="Zacarias Nunes"/>
    <x v="0"/>
    <x v="153"/>
    <x v="0"/>
    <x v="0"/>
    <x v="2"/>
    <x v="0"/>
    <x v="0"/>
    <x v="0"/>
    <n v="20"/>
    <n v="7"/>
    <x v="11"/>
    <x v="0"/>
  </r>
  <r>
    <x v="155"/>
    <s v="Ana Clara Barreto"/>
    <x v="1"/>
    <x v="154"/>
    <x v="1"/>
    <x v="1"/>
    <x v="1"/>
    <x v="1"/>
    <x v="1"/>
    <x v="0"/>
    <n v="20"/>
    <n v="10"/>
    <x v="2"/>
    <x v="1"/>
  </r>
  <r>
    <x v="156"/>
    <s v="Bruno Henrique"/>
    <x v="2"/>
    <x v="155"/>
    <x v="0"/>
    <x v="2"/>
    <x v="2"/>
    <x v="1"/>
    <x v="1"/>
    <x v="1"/>
    <n v="0"/>
    <n v="1"/>
    <x v="6"/>
    <x v="2"/>
  </r>
  <r>
    <x v="157"/>
    <s v="Carlos Eduardo"/>
    <x v="0"/>
    <x v="156"/>
    <x v="1"/>
    <x v="0"/>
    <x v="0"/>
    <x v="0"/>
    <x v="0"/>
    <x v="0"/>
    <n v="20"/>
    <n v="15"/>
    <x v="9"/>
    <x v="0"/>
  </r>
  <r>
    <x v="158"/>
    <s v="Débora Lima"/>
    <x v="1"/>
    <x v="157"/>
    <x v="0"/>
    <x v="1"/>
    <x v="0"/>
    <x v="1"/>
    <x v="1"/>
    <x v="0"/>
    <n v="20"/>
    <n v="5"/>
    <x v="14"/>
    <x v="1"/>
  </r>
  <r>
    <x v="159"/>
    <s v="Fabiano Gomes"/>
    <x v="0"/>
    <x v="158"/>
    <x v="0"/>
    <x v="0"/>
    <x v="2"/>
    <x v="0"/>
    <x v="0"/>
    <x v="0"/>
    <n v="20"/>
    <n v="20"/>
    <x v="4"/>
    <x v="0"/>
  </r>
  <r>
    <x v="160"/>
    <s v="Gisele Oliveira"/>
    <x v="1"/>
    <x v="159"/>
    <x v="1"/>
    <x v="1"/>
    <x v="2"/>
    <x v="1"/>
    <x v="1"/>
    <x v="0"/>
    <n v="20"/>
    <n v="12"/>
    <x v="1"/>
    <x v="1"/>
  </r>
  <r>
    <x v="161"/>
    <s v="Héctor Silva"/>
    <x v="2"/>
    <x v="160"/>
    <x v="0"/>
    <x v="2"/>
    <x v="0"/>
    <x v="1"/>
    <x v="1"/>
    <x v="1"/>
    <n v="0"/>
    <n v="2"/>
    <x v="10"/>
    <x v="2"/>
  </r>
  <r>
    <x v="162"/>
    <s v="Igor Martins"/>
    <x v="0"/>
    <x v="161"/>
    <x v="1"/>
    <x v="0"/>
    <x v="1"/>
    <x v="0"/>
    <x v="0"/>
    <x v="0"/>
    <n v="20"/>
    <n v="5"/>
    <x v="3"/>
    <x v="0"/>
  </r>
  <r>
    <x v="163"/>
    <s v="Joana Figueiredo"/>
    <x v="1"/>
    <x v="162"/>
    <x v="0"/>
    <x v="1"/>
    <x v="0"/>
    <x v="1"/>
    <x v="1"/>
    <x v="0"/>
    <n v="20"/>
    <n v="10"/>
    <x v="2"/>
    <x v="1"/>
  </r>
  <r>
    <x v="164"/>
    <s v="Kleber Machado"/>
    <x v="2"/>
    <x v="163"/>
    <x v="1"/>
    <x v="2"/>
    <x v="2"/>
    <x v="1"/>
    <x v="1"/>
    <x v="1"/>
    <n v="0"/>
    <n v="0"/>
    <x v="8"/>
    <x v="2"/>
  </r>
  <r>
    <x v="165"/>
    <s v="Luciana Santos"/>
    <x v="0"/>
    <x v="164"/>
    <x v="0"/>
    <x v="0"/>
    <x v="0"/>
    <x v="0"/>
    <x v="0"/>
    <x v="0"/>
    <n v="20"/>
    <n v="3"/>
    <x v="5"/>
    <x v="0"/>
  </r>
  <r>
    <x v="166"/>
    <s v="Marcos Teixeira"/>
    <x v="1"/>
    <x v="165"/>
    <x v="1"/>
    <x v="1"/>
    <x v="1"/>
    <x v="1"/>
    <x v="1"/>
    <x v="0"/>
    <n v="20"/>
    <n v="15"/>
    <x v="7"/>
    <x v="1"/>
  </r>
  <r>
    <x v="167"/>
    <s v="Natalia Costa"/>
    <x v="2"/>
    <x v="166"/>
    <x v="0"/>
    <x v="2"/>
    <x v="0"/>
    <x v="1"/>
    <x v="1"/>
    <x v="1"/>
    <n v="0"/>
    <n v="1"/>
    <x v="6"/>
    <x v="2"/>
  </r>
  <r>
    <x v="168"/>
    <s v="Oscar Ribeiro"/>
    <x v="0"/>
    <x v="167"/>
    <x v="1"/>
    <x v="0"/>
    <x v="2"/>
    <x v="0"/>
    <x v="0"/>
    <x v="0"/>
    <n v="20"/>
    <n v="7"/>
    <x v="11"/>
    <x v="0"/>
  </r>
  <r>
    <x v="169"/>
    <s v="Patricia Almeida"/>
    <x v="1"/>
    <x v="168"/>
    <x v="0"/>
    <x v="1"/>
    <x v="0"/>
    <x v="1"/>
    <x v="1"/>
    <x v="0"/>
    <n v="20"/>
    <n v="10"/>
    <x v="2"/>
    <x v="1"/>
  </r>
  <r>
    <x v="170"/>
    <s v="Quirino Junior"/>
    <x v="2"/>
    <x v="169"/>
    <x v="1"/>
    <x v="2"/>
    <x v="1"/>
    <x v="1"/>
    <x v="1"/>
    <x v="1"/>
    <n v="0"/>
    <n v="0"/>
    <x v="8"/>
    <x v="2"/>
  </r>
  <r>
    <x v="171"/>
    <s v="Renata Machado"/>
    <x v="0"/>
    <x v="170"/>
    <x v="0"/>
    <x v="0"/>
    <x v="0"/>
    <x v="0"/>
    <x v="0"/>
    <x v="0"/>
    <n v="20"/>
    <n v="20"/>
    <x v="4"/>
    <x v="0"/>
  </r>
  <r>
    <x v="172"/>
    <s v="Sônia Alves"/>
    <x v="1"/>
    <x v="171"/>
    <x v="1"/>
    <x v="1"/>
    <x v="2"/>
    <x v="1"/>
    <x v="1"/>
    <x v="0"/>
    <n v="20"/>
    <n v="15"/>
    <x v="7"/>
    <x v="1"/>
  </r>
  <r>
    <x v="173"/>
    <s v="Tiago Nunes"/>
    <x v="2"/>
    <x v="172"/>
    <x v="0"/>
    <x v="2"/>
    <x v="0"/>
    <x v="1"/>
    <x v="1"/>
    <x v="1"/>
    <n v="0"/>
    <n v="1"/>
    <x v="6"/>
    <x v="2"/>
  </r>
  <r>
    <x v="174"/>
    <s v="Ulysses Pereira"/>
    <x v="0"/>
    <x v="173"/>
    <x v="1"/>
    <x v="0"/>
    <x v="1"/>
    <x v="0"/>
    <x v="0"/>
    <x v="0"/>
    <n v="20"/>
    <n v="3"/>
    <x v="5"/>
    <x v="0"/>
  </r>
  <r>
    <x v="175"/>
    <s v="Vanessa Lima"/>
    <x v="1"/>
    <x v="174"/>
    <x v="0"/>
    <x v="1"/>
    <x v="0"/>
    <x v="1"/>
    <x v="1"/>
    <x v="0"/>
    <n v="20"/>
    <n v="10"/>
    <x v="2"/>
    <x v="1"/>
  </r>
  <r>
    <x v="176"/>
    <s v="Wagner Santos"/>
    <x v="2"/>
    <x v="175"/>
    <x v="1"/>
    <x v="2"/>
    <x v="2"/>
    <x v="1"/>
    <x v="1"/>
    <x v="1"/>
    <n v="0"/>
    <n v="0"/>
    <x v="8"/>
    <x v="2"/>
  </r>
  <r>
    <x v="177"/>
    <s v="Yasmin Silva"/>
    <x v="1"/>
    <x v="176"/>
    <x v="1"/>
    <x v="1"/>
    <x v="1"/>
    <x v="1"/>
    <x v="1"/>
    <x v="0"/>
    <n v="20"/>
    <n v="15"/>
    <x v="7"/>
    <x v="1"/>
  </r>
  <r>
    <x v="178"/>
    <s v="Zacarias de Souza"/>
    <x v="2"/>
    <x v="177"/>
    <x v="0"/>
    <x v="2"/>
    <x v="0"/>
    <x v="1"/>
    <x v="1"/>
    <x v="1"/>
    <n v="0"/>
    <n v="1"/>
    <x v="6"/>
    <x v="2"/>
  </r>
  <r>
    <x v="179"/>
    <s v="André Lima"/>
    <x v="0"/>
    <x v="178"/>
    <x v="1"/>
    <x v="0"/>
    <x v="2"/>
    <x v="0"/>
    <x v="0"/>
    <x v="0"/>
    <n v="20"/>
    <n v="7"/>
    <x v="11"/>
    <x v="0"/>
  </r>
  <r>
    <x v="180"/>
    <s v="Bianca Freitas"/>
    <x v="1"/>
    <x v="179"/>
    <x v="0"/>
    <x v="1"/>
    <x v="0"/>
    <x v="1"/>
    <x v="1"/>
    <x v="0"/>
    <n v="20"/>
    <n v="10"/>
    <x v="2"/>
    <x v="1"/>
  </r>
  <r>
    <x v="181"/>
    <s v="Caio Mendes"/>
    <x v="2"/>
    <x v="180"/>
    <x v="1"/>
    <x v="2"/>
    <x v="1"/>
    <x v="1"/>
    <x v="1"/>
    <x v="1"/>
    <n v="0"/>
    <n v="0"/>
    <x v="8"/>
    <x v="2"/>
  </r>
  <r>
    <x v="182"/>
    <s v="Eduardo Costa"/>
    <x v="1"/>
    <x v="181"/>
    <x v="1"/>
    <x v="1"/>
    <x v="2"/>
    <x v="1"/>
    <x v="1"/>
    <x v="0"/>
    <n v="20"/>
    <n v="15"/>
    <x v="7"/>
    <x v="1"/>
  </r>
  <r>
    <x v="183"/>
    <s v="Fernanda Gomes"/>
    <x v="2"/>
    <x v="182"/>
    <x v="0"/>
    <x v="2"/>
    <x v="0"/>
    <x v="1"/>
    <x v="1"/>
    <x v="1"/>
    <n v="0"/>
    <n v="1"/>
    <x v="6"/>
    <x v="2"/>
  </r>
  <r>
    <x v="184"/>
    <s v="Guilherme Souza"/>
    <x v="0"/>
    <x v="183"/>
    <x v="1"/>
    <x v="0"/>
    <x v="1"/>
    <x v="0"/>
    <x v="0"/>
    <x v="0"/>
    <n v="20"/>
    <n v="5"/>
    <x v="3"/>
    <x v="0"/>
  </r>
  <r>
    <x v="185"/>
    <s v="Igor Santos"/>
    <x v="2"/>
    <x v="184"/>
    <x v="1"/>
    <x v="2"/>
    <x v="2"/>
    <x v="1"/>
    <x v="1"/>
    <x v="1"/>
    <n v="0"/>
    <n v="0"/>
    <x v="8"/>
    <x v="2"/>
  </r>
  <r>
    <x v="186"/>
    <s v="João Carvalho"/>
    <x v="0"/>
    <x v="185"/>
    <x v="0"/>
    <x v="0"/>
    <x v="0"/>
    <x v="0"/>
    <x v="0"/>
    <x v="0"/>
    <n v="20"/>
    <n v="3"/>
    <x v="5"/>
    <x v="0"/>
  </r>
  <r>
    <x v="187"/>
    <s v="Klara Fagundes"/>
    <x v="1"/>
    <x v="186"/>
    <x v="1"/>
    <x v="1"/>
    <x v="1"/>
    <x v="1"/>
    <x v="1"/>
    <x v="0"/>
    <n v="20"/>
    <n v="15"/>
    <x v="7"/>
    <x v="1"/>
  </r>
  <r>
    <x v="188"/>
    <s v="Lúcia Mendonça"/>
    <x v="2"/>
    <x v="187"/>
    <x v="0"/>
    <x v="2"/>
    <x v="0"/>
    <x v="1"/>
    <x v="1"/>
    <x v="1"/>
    <n v="0"/>
    <n v="1"/>
    <x v="6"/>
    <x v="2"/>
  </r>
  <r>
    <x v="189"/>
    <s v="Marcelo Novaes"/>
    <x v="2"/>
    <x v="188"/>
    <x v="1"/>
    <x v="2"/>
    <x v="0"/>
    <x v="1"/>
    <x v="1"/>
    <x v="1"/>
    <n v="0"/>
    <n v="0"/>
    <x v="8"/>
    <x v="2"/>
  </r>
  <r>
    <x v="190"/>
    <s v="Nina Pacheco"/>
    <x v="0"/>
    <x v="189"/>
    <x v="0"/>
    <x v="0"/>
    <x v="2"/>
    <x v="0"/>
    <x v="0"/>
    <x v="0"/>
    <n v="20"/>
    <n v="7"/>
    <x v="11"/>
    <x v="0"/>
  </r>
  <r>
    <x v="191"/>
    <s v="Olívia Rios"/>
    <x v="1"/>
    <x v="190"/>
    <x v="1"/>
    <x v="1"/>
    <x v="1"/>
    <x v="1"/>
    <x v="1"/>
    <x v="0"/>
    <n v="20"/>
    <n v="10"/>
    <x v="2"/>
    <x v="1"/>
  </r>
  <r>
    <x v="192"/>
    <s v="Paulo Quintana"/>
    <x v="2"/>
    <x v="191"/>
    <x v="0"/>
    <x v="2"/>
    <x v="2"/>
    <x v="1"/>
    <x v="1"/>
    <x v="1"/>
    <n v="0"/>
    <n v="1"/>
    <x v="6"/>
    <x v="2"/>
  </r>
  <r>
    <x v="193"/>
    <s v="Raquel Domingos"/>
    <x v="0"/>
    <x v="192"/>
    <x v="1"/>
    <x v="0"/>
    <x v="0"/>
    <x v="0"/>
    <x v="0"/>
    <x v="0"/>
    <n v="20"/>
    <n v="15"/>
    <x v="9"/>
    <x v="0"/>
  </r>
  <r>
    <x v="194"/>
    <s v="Samuel Viana"/>
    <x v="1"/>
    <x v="193"/>
    <x v="0"/>
    <x v="1"/>
    <x v="0"/>
    <x v="1"/>
    <x v="1"/>
    <x v="0"/>
    <n v="20"/>
    <n v="5"/>
    <x v="14"/>
    <x v="1"/>
  </r>
  <r>
    <x v="195"/>
    <s v="Tatiane Rocha"/>
    <x v="2"/>
    <x v="194"/>
    <x v="1"/>
    <x v="2"/>
    <x v="1"/>
    <x v="1"/>
    <x v="1"/>
    <x v="1"/>
    <n v="0"/>
    <n v="0"/>
    <x v="8"/>
    <x v="2"/>
  </r>
  <r>
    <x v="196"/>
    <s v="Ulysses Farias"/>
    <x v="0"/>
    <x v="195"/>
    <x v="0"/>
    <x v="0"/>
    <x v="2"/>
    <x v="0"/>
    <x v="0"/>
    <x v="0"/>
    <n v="20"/>
    <n v="20"/>
    <x v="4"/>
    <x v="0"/>
  </r>
  <r>
    <x v="197"/>
    <s v="Vanessa Moreira"/>
    <x v="1"/>
    <x v="196"/>
    <x v="1"/>
    <x v="1"/>
    <x v="2"/>
    <x v="1"/>
    <x v="1"/>
    <x v="0"/>
    <n v="20"/>
    <n v="12"/>
    <x v="1"/>
    <x v="1"/>
  </r>
  <r>
    <x v="198"/>
    <s v="Ximena Barros"/>
    <x v="0"/>
    <x v="197"/>
    <x v="1"/>
    <x v="0"/>
    <x v="1"/>
    <x v="0"/>
    <x v="0"/>
    <x v="0"/>
    <n v="20"/>
    <n v="5"/>
    <x v="3"/>
    <x v="0"/>
  </r>
  <r>
    <x v="199"/>
    <s v="Yara Machado"/>
    <x v="1"/>
    <x v="198"/>
    <x v="0"/>
    <x v="1"/>
    <x v="0"/>
    <x v="1"/>
    <x v="1"/>
    <x v="0"/>
    <n v="20"/>
    <n v="10"/>
    <x v="2"/>
    <x v="1"/>
  </r>
  <r>
    <x v="200"/>
    <s v="Zacarias Costa"/>
    <x v="2"/>
    <x v="199"/>
    <x v="1"/>
    <x v="2"/>
    <x v="2"/>
    <x v="1"/>
    <x v="1"/>
    <x v="1"/>
    <n v="0"/>
    <n v="0"/>
    <x v="8"/>
    <x v="2"/>
  </r>
  <r>
    <x v="201"/>
    <s v="André Lopes"/>
    <x v="0"/>
    <x v="200"/>
    <x v="0"/>
    <x v="0"/>
    <x v="0"/>
    <x v="0"/>
    <x v="0"/>
    <x v="0"/>
    <n v="20"/>
    <n v="3"/>
    <x v="5"/>
    <x v="0"/>
  </r>
  <r>
    <x v="202"/>
    <s v="Beatriz Souza"/>
    <x v="1"/>
    <x v="201"/>
    <x v="1"/>
    <x v="1"/>
    <x v="1"/>
    <x v="1"/>
    <x v="1"/>
    <x v="0"/>
    <n v="20"/>
    <n v="15"/>
    <x v="7"/>
    <x v="1"/>
  </r>
  <r>
    <x v="203"/>
    <s v="Daniela Araújo"/>
    <x v="0"/>
    <x v="202"/>
    <x v="1"/>
    <x v="0"/>
    <x v="2"/>
    <x v="0"/>
    <x v="0"/>
    <x v="0"/>
    <n v="20"/>
    <n v="7"/>
    <x v="11"/>
    <x v="0"/>
  </r>
  <r>
    <x v="204"/>
    <s v="Eduardo Santos"/>
    <x v="1"/>
    <x v="203"/>
    <x v="0"/>
    <x v="1"/>
    <x v="0"/>
    <x v="1"/>
    <x v="1"/>
    <x v="0"/>
    <n v="20"/>
    <n v="10"/>
    <x v="2"/>
    <x v="1"/>
  </r>
  <r>
    <x v="205"/>
    <s v="Gabriel Teixeira"/>
    <x v="0"/>
    <x v="204"/>
    <x v="0"/>
    <x v="0"/>
    <x v="0"/>
    <x v="0"/>
    <x v="0"/>
    <x v="0"/>
    <n v="20"/>
    <n v="20"/>
    <x v="4"/>
    <x v="0"/>
  </r>
  <r>
    <x v="206"/>
    <s v="Igor Mendes"/>
    <x v="2"/>
    <x v="205"/>
    <x v="0"/>
    <x v="2"/>
    <x v="0"/>
    <x v="1"/>
    <x v="1"/>
    <x v="1"/>
    <n v="0"/>
    <n v="1"/>
    <x v="6"/>
    <x v="2"/>
  </r>
  <r>
    <x v="207"/>
    <s v="Lucas Martins"/>
    <x v="1"/>
    <x v="206"/>
    <x v="0"/>
    <x v="1"/>
    <x v="0"/>
    <x v="1"/>
    <x v="1"/>
    <x v="0"/>
    <n v="20"/>
    <n v="10"/>
    <x v="2"/>
    <x v="1"/>
  </r>
  <r>
    <x v="208"/>
    <s v="Marcela Gouveia"/>
    <x v="2"/>
    <x v="207"/>
    <x v="1"/>
    <x v="2"/>
    <x v="2"/>
    <x v="1"/>
    <x v="1"/>
    <x v="1"/>
    <n v="0"/>
    <n v="0"/>
    <x v="8"/>
    <x v="2"/>
  </r>
  <r>
    <x v="209"/>
    <s v="Nicolas Borges"/>
    <x v="0"/>
    <x v="208"/>
    <x v="0"/>
    <x v="0"/>
    <x v="0"/>
    <x v="0"/>
    <x v="0"/>
    <x v="0"/>
    <n v="20"/>
    <n v="15"/>
    <x v="9"/>
    <x v="0"/>
  </r>
  <r>
    <x v="210"/>
    <s v="Olivia Freitas"/>
    <x v="1"/>
    <x v="209"/>
    <x v="1"/>
    <x v="1"/>
    <x v="1"/>
    <x v="1"/>
    <x v="1"/>
    <x v="0"/>
    <n v="20"/>
    <n v="15"/>
    <x v="7"/>
    <x v="1"/>
  </r>
  <r>
    <x v="211"/>
    <s v="Paulo Nogueira"/>
    <x v="2"/>
    <x v="210"/>
    <x v="0"/>
    <x v="2"/>
    <x v="0"/>
    <x v="1"/>
    <x v="1"/>
    <x v="1"/>
    <n v="0"/>
    <n v="1"/>
    <x v="6"/>
    <x v="2"/>
  </r>
  <r>
    <x v="212"/>
    <s v="Raquel Andrade"/>
    <x v="0"/>
    <x v="211"/>
    <x v="1"/>
    <x v="0"/>
    <x v="2"/>
    <x v="0"/>
    <x v="0"/>
    <x v="0"/>
    <n v="20"/>
    <n v="7"/>
    <x v="11"/>
    <x v="0"/>
  </r>
  <r>
    <x v="213"/>
    <s v="Sônia Carvalho"/>
    <x v="1"/>
    <x v="212"/>
    <x v="0"/>
    <x v="1"/>
    <x v="0"/>
    <x v="1"/>
    <x v="1"/>
    <x v="0"/>
    <n v="20"/>
    <n v="10"/>
    <x v="2"/>
    <x v="1"/>
  </r>
  <r>
    <x v="214"/>
    <s v="Tiago Rodrigues"/>
    <x v="2"/>
    <x v="213"/>
    <x v="1"/>
    <x v="2"/>
    <x v="0"/>
    <x v="1"/>
    <x v="1"/>
    <x v="1"/>
    <n v="0"/>
    <n v="0"/>
    <x v="8"/>
    <x v="2"/>
  </r>
  <r>
    <x v="215"/>
    <s v="Ursula Monteiro"/>
    <x v="0"/>
    <x v="214"/>
    <x v="0"/>
    <x v="0"/>
    <x v="2"/>
    <x v="0"/>
    <x v="0"/>
    <x v="0"/>
    <n v="20"/>
    <n v="7"/>
    <x v="11"/>
    <x v="0"/>
  </r>
  <r>
    <x v="216"/>
    <s v="Vanessa Pereira"/>
    <x v="1"/>
    <x v="215"/>
    <x v="1"/>
    <x v="1"/>
    <x v="1"/>
    <x v="1"/>
    <x v="1"/>
    <x v="0"/>
    <n v="20"/>
    <n v="10"/>
    <x v="2"/>
    <x v="1"/>
  </r>
  <r>
    <x v="217"/>
    <s v="Walter Silva"/>
    <x v="2"/>
    <x v="216"/>
    <x v="0"/>
    <x v="2"/>
    <x v="2"/>
    <x v="1"/>
    <x v="1"/>
    <x v="1"/>
    <n v="0"/>
    <n v="1"/>
    <x v="6"/>
    <x v="2"/>
  </r>
  <r>
    <x v="218"/>
    <s v="Xavier Almeida"/>
    <x v="0"/>
    <x v="217"/>
    <x v="1"/>
    <x v="0"/>
    <x v="0"/>
    <x v="0"/>
    <x v="0"/>
    <x v="0"/>
    <n v="20"/>
    <n v="15"/>
    <x v="9"/>
    <x v="0"/>
  </r>
  <r>
    <x v="219"/>
    <s v="Yasmine Correia"/>
    <x v="1"/>
    <x v="218"/>
    <x v="0"/>
    <x v="1"/>
    <x v="0"/>
    <x v="1"/>
    <x v="1"/>
    <x v="0"/>
    <n v="20"/>
    <n v="5"/>
    <x v="14"/>
    <x v="1"/>
  </r>
  <r>
    <x v="220"/>
    <s v="Zacarias Almeida"/>
    <x v="2"/>
    <x v="219"/>
    <x v="1"/>
    <x v="2"/>
    <x v="1"/>
    <x v="1"/>
    <x v="1"/>
    <x v="1"/>
    <n v="0"/>
    <n v="0"/>
    <x v="8"/>
    <x v="2"/>
  </r>
  <r>
    <x v="221"/>
    <s v="Amanda Costa"/>
    <x v="0"/>
    <x v="220"/>
    <x v="0"/>
    <x v="0"/>
    <x v="2"/>
    <x v="0"/>
    <x v="0"/>
    <x v="0"/>
    <n v="20"/>
    <n v="20"/>
    <x v="4"/>
    <x v="0"/>
  </r>
  <r>
    <x v="222"/>
    <s v="Bruno Ferreira"/>
    <x v="1"/>
    <x v="221"/>
    <x v="1"/>
    <x v="1"/>
    <x v="2"/>
    <x v="1"/>
    <x v="1"/>
    <x v="0"/>
    <n v="20"/>
    <n v="12"/>
    <x v="1"/>
    <x v="1"/>
  </r>
  <r>
    <x v="223"/>
    <s v="Diogo Martins"/>
    <x v="0"/>
    <x v="222"/>
    <x v="1"/>
    <x v="0"/>
    <x v="1"/>
    <x v="0"/>
    <x v="0"/>
    <x v="0"/>
    <n v="20"/>
    <n v="5"/>
    <x v="3"/>
    <x v="0"/>
  </r>
  <r>
    <x v="224"/>
    <s v="Elisa Campos"/>
    <x v="1"/>
    <x v="223"/>
    <x v="0"/>
    <x v="1"/>
    <x v="0"/>
    <x v="1"/>
    <x v="1"/>
    <x v="0"/>
    <n v="20"/>
    <n v="10"/>
    <x v="2"/>
    <x v="1"/>
  </r>
  <r>
    <x v="225"/>
    <s v="Fabiana Lima"/>
    <x v="2"/>
    <x v="224"/>
    <x v="1"/>
    <x v="2"/>
    <x v="2"/>
    <x v="1"/>
    <x v="1"/>
    <x v="1"/>
    <n v="0"/>
    <n v="0"/>
    <x v="8"/>
    <x v="2"/>
  </r>
  <r>
    <x v="226"/>
    <s v="Gabriel Santos"/>
    <x v="0"/>
    <x v="225"/>
    <x v="0"/>
    <x v="0"/>
    <x v="0"/>
    <x v="0"/>
    <x v="0"/>
    <x v="0"/>
    <n v="20"/>
    <n v="3"/>
    <x v="5"/>
    <x v="0"/>
  </r>
  <r>
    <x v="227"/>
    <s v="Helena Ferreira"/>
    <x v="1"/>
    <x v="226"/>
    <x v="1"/>
    <x v="1"/>
    <x v="1"/>
    <x v="1"/>
    <x v="1"/>
    <x v="0"/>
    <n v="20"/>
    <n v="15"/>
    <x v="7"/>
    <x v="1"/>
  </r>
  <r>
    <x v="228"/>
    <s v="Ígor Nunes"/>
    <x v="2"/>
    <x v="227"/>
    <x v="0"/>
    <x v="2"/>
    <x v="0"/>
    <x v="1"/>
    <x v="1"/>
    <x v="1"/>
    <n v="0"/>
    <n v="1"/>
    <x v="6"/>
    <x v="2"/>
  </r>
  <r>
    <x v="229"/>
    <s v="Luciana Morais"/>
    <x v="2"/>
    <x v="228"/>
    <x v="1"/>
    <x v="2"/>
    <x v="1"/>
    <x v="1"/>
    <x v="1"/>
    <x v="1"/>
    <n v="0"/>
    <n v="0"/>
    <x v="8"/>
    <x v="2"/>
  </r>
  <r>
    <x v="230"/>
    <s v="Marcos Vinícius"/>
    <x v="0"/>
    <x v="229"/>
    <x v="0"/>
    <x v="0"/>
    <x v="0"/>
    <x v="0"/>
    <x v="0"/>
    <x v="0"/>
    <n v="20"/>
    <n v="20"/>
    <x v="4"/>
    <x v="0"/>
  </r>
  <r>
    <x v="231"/>
    <s v="Natália Barros"/>
    <x v="1"/>
    <x v="230"/>
    <x v="1"/>
    <x v="1"/>
    <x v="2"/>
    <x v="1"/>
    <x v="1"/>
    <x v="0"/>
    <n v="20"/>
    <n v="15"/>
    <x v="7"/>
    <x v="1"/>
  </r>
  <r>
    <x v="232"/>
    <s v="Oscar Sampaio"/>
    <x v="2"/>
    <x v="231"/>
    <x v="0"/>
    <x v="2"/>
    <x v="0"/>
    <x v="1"/>
    <x v="1"/>
    <x v="1"/>
    <n v="0"/>
    <n v="1"/>
    <x v="6"/>
    <x v="2"/>
  </r>
  <r>
    <x v="233"/>
    <s v="Patrícia Leite"/>
    <x v="0"/>
    <x v="232"/>
    <x v="1"/>
    <x v="0"/>
    <x v="1"/>
    <x v="0"/>
    <x v="0"/>
    <x v="0"/>
    <n v="20"/>
    <n v="3"/>
    <x v="5"/>
    <x v="0"/>
  </r>
  <r>
    <x v="234"/>
    <s v="Quênia Rocha"/>
    <x v="1"/>
    <x v="233"/>
    <x v="0"/>
    <x v="1"/>
    <x v="0"/>
    <x v="1"/>
    <x v="1"/>
    <x v="0"/>
    <n v="20"/>
    <n v="10"/>
    <x v="2"/>
    <x v="1"/>
  </r>
  <r>
    <x v="235"/>
    <s v="Sandra Gouveia"/>
    <x v="0"/>
    <x v="234"/>
    <x v="0"/>
    <x v="0"/>
    <x v="0"/>
    <x v="0"/>
    <x v="0"/>
    <x v="0"/>
    <n v="20"/>
    <n v="15"/>
    <x v="9"/>
    <x v="0"/>
  </r>
  <r>
    <x v="236"/>
    <s v="Tiago Lacerda"/>
    <x v="1"/>
    <x v="235"/>
    <x v="1"/>
    <x v="1"/>
    <x v="1"/>
    <x v="1"/>
    <x v="1"/>
    <x v="0"/>
    <n v="20"/>
    <n v="15"/>
    <x v="7"/>
    <x v="1"/>
  </r>
  <r>
    <x v="237"/>
    <s v="Ursula Fonseca"/>
    <x v="2"/>
    <x v="236"/>
    <x v="0"/>
    <x v="2"/>
    <x v="0"/>
    <x v="1"/>
    <x v="1"/>
    <x v="1"/>
    <n v="0"/>
    <n v="1"/>
    <x v="6"/>
    <x v="2"/>
  </r>
  <r>
    <x v="238"/>
    <s v="Vanessa Andrade"/>
    <x v="0"/>
    <x v="237"/>
    <x v="1"/>
    <x v="0"/>
    <x v="2"/>
    <x v="0"/>
    <x v="0"/>
    <x v="0"/>
    <n v="20"/>
    <n v="7"/>
    <x v="11"/>
    <x v="0"/>
  </r>
  <r>
    <x v="239"/>
    <s v="William Castro"/>
    <x v="1"/>
    <x v="238"/>
    <x v="0"/>
    <x v="1"/>
    <x v="0"/>
    <x v="1"/>
    <x v="1"/>
    <x v="0"/>
    <n v="20"/>
    <n v="10"/>
    <x v="2"/>
    <x v="1"/>
  </r>
  <r>
    <x v="240"/>
    <s v="Xavier Monteiro"/>
    <x v="2"/>
    <x v="239"/>
    <x v="1"/>
    <x v="2"/>
    <x v="1"/>
    <x v="1"/>
    <x v="1"/>
    <x v="1"/>
    <n v="0"/>
    <n v="0"/>
    <x v="8"/>
    <x v="2"/>
  </r>
  <r>
    <x v="241"/>
    <s v="Yasmin Figueira"/>
    <x v="0"/>
    <x v="240"/>
    <x v="0"/>
    <x v="0"/>
    <x v="0"/>
    <x v="0"/>
    <x v="0"/>
    <x v="0"/>
    <n v="20"/>
    <n v="15"/>
    <x v="9"/>
    <x v="0"/>
  </r>
  <r>
    <x v="242"/>
    <s v="Zacarias Mendonça"/>
    <x v="1"/>
    <x v="241"/>
    <x v="1"/>
    <x v="1"/>
    <x v="2"/>
    <x v="1"/>
    <x v="1"/>
    <x v="0"/>
    <n v="20"/>
    <n v="12"/>
    <x v="1"/>
    <x v="1"/>
  </r>
  <r>
    <x v="243"/>
    <s v="Amanda Menezes"/>
    <x v="2"/>
    <x v="242"/>
    <x v="0"/>
    <x v="2"/>
    <x v="0"/>
    <x v="1"/>
    <x v="1"/>
    <x v="1"/>
    <n v="0"/>
    <n v="2"/>
    <x v="10"/>
    <x v="2"/>
  </r>
  <r>
    <x v="244"/>
    <s v="Bruno Santos"/>
    <x v="0"/>
    <x v="243"/>
    <x v="1"/>
    <x v="0"/>
    <x v="1"/>
    <x v="0"/>
    <x v="0"/>
    <x v="0"/>
    <n v="20"/>
    <n v="5"/>
    <x v="3"/>
    <x v="0"/>
  </r>
  <r>
    <x v="245"/>
    <s v="Carla Ferreira"/>
    <x v="1"/>
    <x v="244"/>
    <x v="0"/>
    <x v="1"/>
    <x v="0"/>
    <x v="1"/>
    <x v="1"/>
    <x v="0"/>
    <n v="20"/>
    <n v="10"/>
    <x v="2"/>
    <x v="1"/>
  </r>
  <r>
    <x v="246"/>
    <s v="Diogo Alves"/>
    <x v="2"/>
    <x v="245"/>
    <x v="1"/>
    <x v="2"/>
    <x v="2"/>
    <x v="1"/>
    <x v="1"/>
    <x v="1"/>
    <n v="0"/>
    <n v="0"/>
    <x v="8"/>
    <x v="2"/>
  </r>
  <r>
    <x v="247"/>
    <s v="Fabiano Pires"/>
    <x v="1"/>
    <x v="246"/>
    <x v="1"/>
    <x v="1"/>
    <x v="1"/>
    <x v="1"/>
    <x v="1"/>
    <x v="0"/>
    <n v="20"/>
    <n v="15"/>
    <x v="7"/>
    <x v="1"/>
  </r>
  <r>
    <x v="248"/>
    <s v="Giovana Ribeiro"/>
    <x v="2"/>
    <x v="247"/>
    <x v="0"/>
    <x v="2"/>
    <x v="0"/>
    <x v="1"/>
    <x v="1"/>
    <x v="1"/>
    <n v="0"/>
    <n v="1"/>
    <x v="6"/>
    <x v="2"/>
  </r>
  <r>
    <x v="249"/>
    <s v="Hélio Costa"/>
    <x v="0"/>
    <x v="248"/>
    <x v="1"/>
    <x v="0"/>
    <x v="2"/>
    <x v="0"/>
    <x v="0"/>
    <x v="0"/>
    <n v="20"/>
    <n v="7"/>
    <x v="11"/>
    <x v="0"/>
  </r>
  <r>
    <x v="250"/>
    <s v="Íris Loureiro"/>
    <x v="1"/>
    <x v="249"/>
    <x v="0"/>
    <x v="1"/>
    <x v="0"/>
    <x v="1"/>
    <x v="1"/>
    <x v="0"/>
    <n v="20"/>
    <n v="10"/>
    <x v="2"/>
    <x v="1"/>
  </r>
  <r>
    <x v="251"/>
    <s v="João Pereira"/>
    <x v="2"/>
    <x v="250"/>
    <x v="1"/>
    <x v="2"/>
    <x v="1"/>
    <x v="1"/>
    <x v="1"/>
    <x v="1"/>
    <n v="0"/>
    <n v="0"/>
    <x v="8"/>
    <x v="2"/>
  </r>
  <r>
    <x v="252"/>
    <s v="Klara Silva"/>
    <x v="0"/>
    <x v="251"/>
    <x v="0"/>
    <x v="0"/>
    <x v="0"/>
    <x v="0"/>
    <x v="0"/>
    <x v="0"/>
    <n v="20"/>
    <n v="20"/>
    <x v="4"/>
    <x v="0"/>
  </r>
  <r>
    <x v="253"/>
    <s v="Luciana Barros"/>
    <x v="1"/>
    <x v="252"/>
    <x v="1"/>
    <x v="1"/>
    <x v="2"/>
    <x v="1"/>
    <x v="1"/>
    <x v="0"/>
    <n v="20"/>
    <n v="15"/>
    <x v="7"/>
    <x v="1"/>
  </r>
  <r>
    <x v="254"/>
    <s v="Marcos Gomes"/>
    <x v="2"/>
    <x v="253"/>
    <x v="0"/>
    <x v="2"/>
    <x v="0"/>
    <x v="1"/>
    <x v="1"/>
    <x v="1"/>
    <n v="0"/>
    <n v="1"/>
    <x v="6"/>
    <x v="2"/>
  </r>
  <r>
    <x v="255"/>
    <s v="Natália Soares"/>
    <x v="0"/>
    <x v="254"/>
    <x v="1"/>
    <x v="0"/>
    <x v="1"/>
    <x v="0"/>
    <x v="0"/>
    <x v="0"/>
    <n v="20"/>
    <n v="3"/>
    <x v="5"/>
    <x v="0"/>
  </r>
  <r>
    <x v="256"/>
    <s v="Oscar Machado"/>
    <x v="1"/>
    <x v="255"/>
    <x v="0"/>
    <x v="1"/>
    <x v="0"/>
    <x v="1"/>
    <x v="1"/>
    <x v="0"/>
    <n v="20"/>
    <n v="10"/>
    <x v="2"/>
    <x v="1"/>
  </r>
  <r>
    <x v="257"/>
    <s v="Patrícia Lima"/>
    <x v="2"/>
    <x v="256"/>
    <x v="1"/>
    <x v="2"/>
    <x v="2"/>
    <x v="1"/>
    <x v="1"/>
    <x v="1"/>
    <n v="0"/>
    <n v="0"/>
    <x v="8"/>
    <x v="2"/>
  </r>
  <r>
    <x v="258"/>
    <s v="Quirino Neto"/>
    <x v="0"/>
    <x v="257"/>
    <x v="0"/>
    <x v="0"/>
    <x v="0"/>
    <x v="0"/>
    <x v="0"/>
    <x v="0"/>
    <n v="20"/>
    <n v="15"/>
    <x v="9"/>
    <x v="0"/>
  </r>
  <r>
    <x v="259"/>
    <s v="Rafaela Souza"/>
    <x v="2"/>
    <x v="258"/>
    <x v="1"/>
    <x v="2"/>
    <x v="0"/>
    <x v="1"/>
    <x v="1"/>
    <x v="1"/>
    <n v="0"/>
    <n v="0"/>
    <x v="8"/>
    <x v="2"/>
  </r>
  <r>
    <x v="260"/>
    <s v="Sandro Almeida"/>
    <x v="0"/>
    <x v="259"/>
    <x v="0"/>
    <x v="0"/>
    <x v="2"/>
    <x v="0"/>
    <x v="0"/>
    <x v="0"/>
    <n v="20"/>
    <n v="7"/>
    <x v="11"/>
    <x v="0"/>
  </r>
  <r>
    <x v="261"/>
    <s v="Tânia Ribeiro"/>
    <x v="1"/>
    <x v="260"/>
    <x v="1"/>
    <x v="1"/>
    <x v="1"/>
    <x v="1"/>
    <x v="1"/>
    <x v="0"/>
    <n v="20"/>
    <n v="10"/>
    <x v="2"/>
    <x v="1"/>
  </r>
  <r>
    <x v="262"/>
    <s v="Ugo Dias"/>
    <x v="2"/>
    <x v="261"/>
    <x v="0"/>
    <x v="2"/>
    <x v="2"/>
    <x v="1"/>
    <x v="1"/>
    <x v="1"/>
    <n v="0"/>
    <n v="1"/>
    <x v="6"/>
    <x v="2"/>
  </r>
  <r>
    <x v="263"/>
    <s v="Valéria Lima"/>
    <x v="0"/>
    <x v="262"/>
    <x v="1"/>
    <x v="0"/>
    <x v="0"/>
    <x v="0"/>
    <x v="0"/>
    <x v="0"/>
    <n v="20"/>
    <n v="15"/>
    <x v="9"/>
    <x v="0"/>
  </r>
  <r>
    <x v="264"/>
    <s v="William Fernandes"/>
    <x v="1"/>
    <x v="263"/>
    <x v="0"/>
    <x v="1"/>
    <x v="0"/>
    <x v="1"/>
    <x v="1"/>
    <x v="0"/>
    <n v="20"/>
    <n v="5"/>
    <x v="14"/>
    <x v="1"/>
  </r>
  <r>
    <x v="265"/>
    <s v="Xuxa Mendes"/>
    <x v="2"/>
    <x v="264"/>
    <x v="1"/>
    <x v="2"/>
    <x v="1"/>
    <x v="1"/>
    <x v="1"/>
    <x v="1"/>
    <n v="0"/>
    <n v="0"/>
    <x v="8"/>
    <x v="2"/>
  </r>
  <r>
    <x v="266"/>
    <s v="Ygor Farias"/>
    <x v="0"/>
    <x v="265"/>
    <x v="0"/>
    <x v="0"/>
    <x v="2"/>
    <x v="0"/>
    <x v="0"/>
    <x v="0"/>
    <n v="20"/>
    <n v="20"/>
    <x v="4"/>
    <x v="0"/>
  </r>
  <r>
    <x v="267"/>
    <s v="Zilda Barros"/>
    <x v="1"/>
    <x v="266"/>
    <x v="1"/>
    <x v="1"/>
    <x v="2"/>
    <x v="1"/>
    <x v="1"/>
    <x v="0"/>
    <n v="20"/>
    <n v="12"/>
    <x v="1"/>
    <x v="1"/>
  </r>
  <r>
    <x v="268"/>
    <s v="Amanda Santos"/>
    <x v="2"/>
    <x v="267"/>
    <x v="0"/>
    <x v="2"/>
    <x v="0"/>
    <x v="1"/>
    <x v="1"/>
    <x v="1"/>
    <n v="0"/>
    <n v="2"/>
    <x v="10"/>
    <x v="2"/>
  </r>
  <r>
    <x v="269"/>
    <s v="Bruno Costa"/>
    <x v="0"/>
    <x v="268"/>
    <x v="1"/>
    <x v="0"/>
    <x v="1"/>
    <x v="0"/>
    <x v="0"/>
    <x v="0"/>
    <n v="20"/>
    <n v="5"/>
    <x v="3"/>
    <x v="0"/>
  </r>
  <r>
    <x v="270"/>
    <s v="Carla Rodrigues"/>
    <x v="1"/>
    <x v="269"/>
    <x v="0"/>
    <x v="1"/>
    <x v="0"/>
    <x v="1"/>
    <x v="1"/>
    <x v="0"/>
    <n v="20"/>
    <n v="10"/>
    <x v="2"/>
    <x v="1"/>
  </r>
  <r>
    <x v="271"/>
    <s v="Diogo Pereira"/>
    <x v="2"/>
    <x v="270"/>
    <x v="1"/>
    <x v="2"/>
    <x v="2"/>
    <x v="1"/>
    <x v="1"/>
    <x v="1"/>
    <n v="0"/>
    <n v="0"/>
    <x v="8"/>
    <x v="2"/>
  </r>
  <r>
    <x v="272"/>
    <s v="Elisa Correia"/>
    <x v="0"/>
    <x v="271"/>
    <x v="0"/>
    <x v="0"/>
    <x v="0"/>
    <x v="0"/>
    <x v="0"/>
    <x v="0"/>
    <n v="20"/>
    <n v="3"/>
    <x v="5"/>
    <x v="0"/>
  </r>
  <r>
    <x v="273"/>
    <s v="Fábio Lourenço"/>
    <x v="1"/>
    <x v="272"/>
    <x v="1"/>
    <x v="1"/>
    <x v="1"/>
    <x v="1"/>
    <x v="1"/>
    <x v="0"/>
    <n v="20"/>
    <n v="15"/>
    <x v="7"/>
    <x v="1"/>
  </r>
  <r>
    <x v="274"/>
    <s v="Gabriela Neves"/>
    <x v="2"/>
    <x v="273"/>
    <x v="0"/>
    <x v="2"/>
    <x v="0"/>
    <x v="1"/>
    <x v="1"/>
    <x v="1"/>
    <n v="0"/>
    <n v="1"/>
    <x v="6"/>
    <x v="2"/>
  </r>
  <r>
    <x v="275"/>
    <s v="Henrique Gonçalves"/>
    <x v="0"/>
    <x v="274"/>
    <x v="1"/>
    <x v="0"/>
    <x v="2"/>
    <x v="0"/>
    <x v="0"/>
    <x v="0"/>
    <n v="20"/>
    <n v="7"/>
    <x v="11"/>
    <x v="0"/>
  </r>
  <r>
    <x v="276"/>
    <s v="João Marcelo Alves"/>
    <x v="2"/>
    <x v="275"/>
    <x v="1"/>
    <x v="2"/>
    <x v="1"/>
    <x v="1"/>
    <x v="1"/>
    <x v="1"/>
    <n v="0"/>
    <n v="0"/>
    <x v="8"/>
    <x v="2"/>
  </r>
  <r>
    <x v="277"/>
    <s v="Klara Fonseca"/>
    <x v="0"/>
    <x v="276"/>
    <x v="0"/>
    <x v="0"/>
    <x v="0"/>
    <x v="0"/>
    <x v="0"/>
    <x v="0"/>
    <n v="20"/>
    <n v="20"/>
    <x v="4"/>
    <x v="0"/>
  </r>
  <r>
    <x v="278"/>
    <s v="Lucas Mendonça"/>
    <x v="1"/>
    <x v="277"/>
    <x v="1"/>
    <x v="1"/>
    <x v="2"/>
    <x v="1"/>
    <x v="1"/>
    <x v="0"/>
    <n v="20"/>
    <n v="15"/>
    <x v="7"/>
    <x v="1"/>
  </r>
  <r>
    <x v="279"/>
    <s v="Marcela Torres"/>
    <x v="2"/>
    <x v="278"/>
    <x v="0"/>
    <x v="2"/>
    <x v="0"/>
    <x v="1"/>
    <x v="1"/>
    <x v="1"/>
    <n v="0"/>
    <n v="1"/>
    <x v="6"/>
    <x v="2"/>
  </r>
  <r>
    <x v="280"/>
    <s v="Natália Castro"/>
    <x v="0"/>
    <x v="279"/>
    <x v="1"/>
    <x v="0"/>
    <x v="1"/>
    <x v="0"/>
    <x v="0"/>
    <x v="0"/>
    <n v="20"/>
    <n v="3"/>
    <x v="5"/>
    <x v="0"/>
  </r>
  <r>
    <x v="281"/>
    <s v="Oscar Martins"/>
    <x v="1"/>
    <x v="280"/>
    <x v="0"/>
    <x v="1"/>
    <x v="0"/>
    <x v="1"/>
    <x v="1"/>
    <x v="0"/>
    <n v="20"/>
    <n v="10"/>
    <x v="2"/>
    <x v="1"/>
  </r>
  <r>
    <x v="282"/>
    <s v="Patrícia Oliveira"/>
    <x v="2"/>
    <x v="281"/>
    <x v="1"/>
    <x v="2"/>
    <x v="2"/>
    <x v="1"/>
    <x v="1"/>
    <x v="1"/>
    <n v="0"/>
    <n v="0"/>
    <x v="8"/>
    <x v="2"/>
  </r>
  <r>
    <x v="283"/>
    <s v="Quentin Nogueira"/>
    <x v="0"/>
    <x v="282"/>
    <x v="0"/>
    <x v="0"/>
    <x v="0"/>
    <x v="0"/>
    <x v="0"/>
    <x v="0"/>
    <n v="20"/>
    <n v="15"/>
    <x v="9"/>
    <x v="0"/>
  </r>
  <r>
    <x v="284"/>
    <s v="Raquel Silva"/>
    <x v="1"/>
    <x v="283"/>
    <x v="1"/>
    <x v="1"/>
    <x v="1"/>
    <x v="1"/>
    <x v="1"/>
    <x v="0"/>
    <n v="20"/>
    <n v="15"/>
    <x v="7"/>
    <x v="1"/>
  </r>
  <r>
    <x v="285"/>
    <s v="Sandro Gomes"/>
    <x v="2"/>
    <x v="284"/>
    <x v="0"/>
    <x v="2"/>
    <x v="0"/>
    <x v="1"/>
    <x v="1"/>
    <x v="1"/>
    <n v="0"/>
    <n v="1"/>
    <x v="6"/>
    <x v="2"/>
  </r>
  <r>
    <x v="286"/>
    <s v="Tânia Machado"/>
    <x v="0"/>
    <x v="285"/>
    <x v="1"/>
    <x v="0"/>
    <x v="2"/>
    <x v="0"/>
    <x v="0"/>
    <x v="0"/>
    <n v="20"/>
    <n v="7"/>
    <x v="11"/>
    <x v="0"/>
  </r>
  <r>
    <x v="287"/>
    <s v="Xavier Reis"/>
    <x v="1"/>
    <x v="286"/>
    <x v="1"/>
    <x v="1"/>
    <x v="2"/>
    <x v="1"/>
    <x v="1"/>
    <x v="0"/>
    <n v="20"/>
    <n v="12"/>
    <x v="1"/>
    <x v="1"/>
  </r>
  <r>
    <x v="288"/>
    <s v="Yasmin Rocha"/>
    <x v="2"/>
    <x v="287"/>
    <x v="0"/>
    <x v="2"/>
    <x v="0"/>
    <x v="1"/>
    <x v="1"/>
    <x v="1"/>
    <n v="0"/>
    <n v="2"/>
    <x v="10"/>
    <x v="2"/>
  </r>
  <r>
    <x v="289"/>
    <s v="Zacarias Duarte"/>
    <x v="0"/>
    <x v="288"/>
    <x v="1"/>
    <x v="0"/>
    <x v="1"/>
    <x v="0"/>
    <x v="0"/>
    <x v="0"/>
    <n v="20"/>
    <n v="5"/>
    <x v="3"/>
    <x v="0"/>
  </r>
  <r>
    <x v="290"/>
    <s v="Amanda Freitas"/>
    <x v="1"/>
    <x v="289"/>
    <x v="0"/>
    <x v="1"/>
    <x v="0"/>
    <x v="1"/>
    <x v="1"/>
    <x v="0"/>
    <n v="20"/>
    <n v="10"/>
    <x v="2"/>
    <x v="1"/>
  </r>
  <r>
    <x v="291"/>
    <s v="Bruno Almeida"/>
    <x v="2"/>
    <x v="290"/>
    <x v="1"/>
    <x v="2"/>
    <x v="2"/>
    <x v="1"/>
    <x v="1"/>
    <x v="1"/>
    <n v="0"/>
    <n v="0"/>
    <x v="8"/>
    <x v="2"/>
  </r>
  <r>
    <x v="292"/>
    <s v="Carla Siqueira"/>
    <x v="0"/>
    <x v="291"/>
    <x v="0"/>
    <x v="0"/>
    <x v="0"/>
    <x v="0"/>
    <x v="0"/>
    <x v="0"/>
    <n v="20"/>
    <n v="3"/>
    <x v="5"/>
    <x v="0"/>
  </r>
  <r>
    <x v="293"/>
    <s v="Diogo Ramos"/>
    <x v="1"/>
    <x v="292"/>
    <x v="1"/>
    <x v="1"/>
    <x v="1"/>
    <x v="1"/>
    <x v="1"/>
    <x v="0"/>
    <n v="20"/>
    <n v="15"/>
    <x v="7"/>
    <x v="1"/>
  </r>
  <r>
    <x v="294"/>
    <s v="Elisa Magalhães"/>
    <x v="2"/>
    <x v="293"/>
    <x v="0"/>
    <x v="2"/>
    <x v="0"/>
    <x v="1"/>
    <x v="1"/>
    <x v="1"/>
    <n v="0"/>
    <n v="1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E4F8E-1CCB-41F9-A326-A5D9FCDE4EC8}" name="Tabela dinâmica13" cacheId="0" applyNumberFormats="0" applyBorderFormats="0" applyFontFormats="0" applyPatternFormats="0" applyAlignmentFormats="0" applyWidthHeightFormats="1" dataCaption="Valores" grandTotalCaption="Quantidade" updatedVersion="7" minRefreshableVersion="3" useAutoFormatting="1" itemPrintTitles="1" createdVersion="7" indent="0" outline="1" outlineData="1" multipleFieldFilters="0" rowHeaderCaption="Datas de Inscrição" colHeaderCaption="Filtro dos Planos">
  <location ref="A196:G209" firstHeaderRow="0" firstDataRow="1" firstDataCol="1"/>
  <pivotFields count="16">
    <pivotField showAll="0"/>
    <pivotField showAll="0"/>
    <pivotField dataField="1" showAll="0" sortType="ascending">
      <items count="4">
        <item x="2"/>
        <item x="1"/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/>
    <pivotField showAll="0"/>
    <pivotField dataField="1" showAll="0"/>
    <pivotField showAll="0"/>
    <pivotField dataField="1" numFmtId="44" showAll="0"/>
    <pivotField dataField="1" numFmtId="44" showAll="0"/>
    <pivotField dataField="1" numFmtId="44" showAll="0"/>
    <pivotField showAll="0"/>
    <pivotField axis="axisRow" showAll="0" sortType="descending">
      <items count="15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dragToRow="0" dragToCol="0" dragToPage="0" showAll="0" defaultSubtotal="0"/>
  </pivotFields>
  <rowFields count="2">
    <field x="14"/>
    <field x="3"/>
  </rowFields>
  <rowItems count="13">
    <i>
      <x v="4"/>
    </i>
    <i>
      <x v="11"/>
    </i>
    <i>
      <x v="6"/>
    </i>
    <i>
      <x v="3"/>
    </i>
    <i>
      <x v="7"/>
    </i>
    <i>
      <x v="10"/>
    </i>
    <i>
      <x v="5"/>
    </i>
    <i>
      <x v="9"/>
    </i>
    <i>
      <x v="8"/>
    </i>
    <i>
      <x v="2"/>
    </i>
    <i>
      <x v="12"/>
    </i>
    <i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Quantidade" fld="2" subtotal="count" baseField="2" baseItem="0"/>
    <dataField name="Total Subscription Price" fld="5" baseField="0" baseItem="0" numFmtId="164"/>
    <dataField name="Total EA Play Season Pass" fld="8" baseField="13" baseItem="9" numFmtId="164"/>
    <dataField name="Total Minecraft Season Pass Price" fld="10" baseField="0" baseItem="0" numFmtId="164"/>
    <dataField name="Total  Coupon Value" fld="11" baseField="0" baseItem="0" numFmtId="164"/>
    <dataField name="Total Final Value" fld="12" baseField="0" baseItem="0" numFmtId="164"/>
  </dataFields>
  <formats count="137">
    <format dxfId="253">
      <pivotArea type="all" dataOnly="0" outline="0" fieldPosition="0"/>
    </format>
    <format dxfId="252">
      <pivotArea outline="0" collapsedLevelsAreSubtotals="1" fieldPosition="0"/>
    </format>
    <format dxfId="251">
      <pivotArea dataOnly="0" labelOnly="1" outline="0" axis="axisValues" fieldPosition="0"/>
    </format>
    <format dxfId="250">
      <pivotArea outline="0" collapsedLevelsAreSubtotals="1" fieldPosition="0"/>
    </format>
    <format dxfId="249">
      <pivotArea dataOnly="0" labelOnly="1" outline="0" axis="axisValues" fieldPosition="0"/>
    </format>
    <format dxfId="248">
      <pivotArea outline="0" collapsedLevelsAreSubtotals="1" fieldPosition="0"/>
    </format>
    <format dxfId="247">
      <pivotArea dataOnly="0" labelOnly="1" outline="0" axis="axisValues" fieldPosition="0"/>
    </format>
    <format dxfId="246">
      <pivotArea field="14" collapsedLevelsAreSubtotals="1" axis="axisRow" fieldPosition="0">
        <references count="1">
          <reference field="14" count="1">
            <x v="13"/>
          </reference>
        </references>
      </pivotArea>
    </format>
    <format dxfId="245">
      <pivotArea field="14" collapsedLevelsAreSubtotals="1" axis="axisRow" fieldPosition="0">
        <references count="1">
          <reference field="14" count="1">
            <x v="12"/>
          </reference>
        </references>
      </pivotArea>
    </format>
    <format dxfId="244">
      <pivotArea field="14" collapsedLevelsAreSubtotals="1" axis="axisRow" fieldPosition="0">
        <references count="1">
          <reference field="14" count="1">
            <x v="11"/>
          </reference>
        </references>
      </pivotArea>
    </format>
    <format dxfId="243">
      <pivotArea field="14" collapsedLevelsAreSubtotals="1" axis="axisRow" fieldPosition="0">
        <references count="1">
          <reference field="14" count="1">
            <x v="10"/>
          </reference>
        </references>
      </pivotArea>
    </format>
    <format dxfId="242">
      <pivotArea field="14" collapsedLevelsAreSubtotals="1" axis="axisRow" fieldPosition="0">
        <references count="1">
          <reference field="14" count="1">
            <x v="9"/>
          </reference>
        </references>
      </pivotArea>
    </format>
    <format dxfId="241">
      <pivotArea field="14" collapsedLevelsAreSubtotals="1" axis="axisRow" fieldPosition="0">
        <references count="1">
          <reference field="14" count="1">
            <x v="8"/>
          </reference>
        </references>
      </pivotArea>
    </format>
    <format dxfId="240">
      <pivotArea field="14" collapsedLevelsAreSubtotals="1" axis="axisRow" fieldPosition="0">
        <references count="1">
          <reference field="14" count="1">
            <x v="7"/>
          </reference>
        </references>
      </pivotArea>
    </format>
    <format dxfId="239">
      <pivotArea field="14" collapsedLevelsAreSubtotals="1" axis="axisRow" fieldPosition="0">
        <references count="1">
          <reference field="14" count="1">
            <x v="6"/>
          </reference>
        </references>
      </pivotArea>
    </format>
    <format dxfId="238">
      <pivotArea field="14" collapsedLevelsAreSubtotals="1" axis="axisRow" fieldPosition="0">
        <references count="1">
          <reference field="14" count="1">
            <x v="5"/>
          </reference>
        </references>
      </pivotArea>
    </format>
    <format dxfId="237">
      <pivotArea field="14" collapsedLevelsAreSubtotals="1" axis="axisRow" fieldPosition="0">
        <references count="1">
          <reference field="14" count="1">
            <x v="4"/>
          </reference>
        </references>
      </pivotArea>
    </format>
    <format dxfId="236">
      <pivotArea field="14" collapsedLevelsAreSubtotals="1" axis="axisRow" fieldPosition="0">
        <references count="1">
          <reference field="14" count="1">
            <x v="3"/>
          </reference>
        </references>
      </pivotArea>
    </format>
    <format dxfId="235">
      <pivotArea field="14" collapsedLevelsAreSubtotals="1" axis="axisRow" fieldPosition="0">
        <references count="1">
          <reference field="14" count="1">
            <x v="2"/>
          </reference>
        </references>
      </pivotArea>
    </format>
    <format dxfId="234">
      <pivotArea type="all" dataOnly="0" outline="0" fieldPosition="0"/>
    </format>
    <format dxfId="233">
      <pivotArea type="origin" dataOnly="0" labelOnly="1" outline="0" fieldPosition="0"/>
    </format>
    <format dxfId="232">
      <pivotArea field="2" type="button" dataOnly="0" labelOnly="1" outline="0"/>
    </format>
    <format dxfId="231">
      <pivotArea type="topRight" dataOnly="0" labelOnly="1" outline="0" fieldPosition="0"/>
    </format>
    <format dxfId="230">
      <pivotArea field="14" type="button" dataOnly="0" labelOnly="1" outline="0" axis="axisRow" fieldPosition="0"/>
    </format>
    <format dxfId="229">
      <pivotArea dataOnly="0" labelOnly="1" grandCol="1" outline="0" fieldPosition="0"/>
    </format>
    <format dxfId="228">
      <pivotArea type="origin" dataOnly="0" labelOnly="1" outline="0" fieldPosition="0"/>
    </format>
    <format dxfId="227">
      <pivotArea field="2" type="button" dataOnly="0" labelOnly="1" outline="0"/>
    </format>
    <format dxfId="226">
      <pivotArea type="topRight" dataOnly="0" labelOnly="1" outline="0" fieldPosition="0"/>
    </format>
    <format dxfId="225">
      <pivotArea field="14" type="button" dataOnly="0" labelOnly="1" outline="0" axis="axisRow" fieldPosition="0"/>
    </format>
    <format dxfId="224">
      <pivotArea dataOnly="0" labelOnly="1" grandCol="1" outline="0" fieldPosition="0"/>
    </format>
    <format dxfId="223">
      <pivotArea dataOnly="0" grandRow="1" axis="axisRow" fieldPosition="0"/>
    </format>
    <format dxfId="222">
      <pivotArea field="14" collapsedLevelsAreSubtotals="1" axis="axisRow" fieldPosition="0">
        <references count="1">
          <reference field="14" count="1">
            <x v="9"/>
          </reference>
        </references>
      </pivotArea>
    </format>
    <format dxfId="221">
      <pivotArea field="14" collapsedLevelsAreSubtotals="1" axis="axisRow" fieldPosition="0">
        <references count="1">
          <reference field="14" count="1">
            <x v="6"/>
          </reference>
        </references>
      </pivotArea>
    </format>
    <format dxfId="220">
      <pivotArea field="14" collapsedLevelsAreSubtotals="1" axis="axisRow" fieldPosition="0">
        <references count="1">
          <reference field="14" count="1">
            <x v="11"/>
          </reference>
        </references>
      </pivotArea>
    </format>
    <format dxfId="219">
      <pivotArea field="14" collapsedLevelsAreSubtotals="1" axis="axisRow" fieldPosition="0">
        <references count="1">
          <reference field="14" count="1">
            <x v="4"/>
          </reference>
        </references>
      </pivotArea>
    </format>
    <format dxfId="218">
      <pivotArea field="14" collapsedLevelsAreSubtotals="1" axis="axisRow" fieldPosition="0">
        <references count="1">
          <reference field="14" count="1">
            <x v="7"/>
          </reference>
        </references>
      </pivotArea>
    </format>
    <format dxfId="217">
      <pivotArea field="14" collapsedLevelsAreSubtotals="1" axis="axisRow" fieldPosition="0">
        <references count="1">
          <reference field="14" count="1">
            <x v="3"/>
          </reference>
        </references>
      </pivotArea>
    </format>
    <format dxfId="216">
      <pivotArea field="14" collapsedLevelsAreSubtotals="1" axis="axisRow" fieldPosition="0">
        <references count="1">
          <reference field="14" count="1">
            <x v="5"/>
          </reference>
        </references>
      </pivotArea>
    </format>
    <format dxfId="215">
      <pivotArea field="14" collapsedLevelsAreSubtotals="1" axis="axisRow" fieldPosition="0">
        <references count="1">
          <reference field="14" count="1">
            <x v="8"/>
          </reference>
        </references>
      </pivotArea>
    </format>
    <format dxfId="214">
      <pivotArea field="14" collapsedLevelsAreSubtotals="1" axis="axisRow" fieldPosition="0">
        <references count="1">
          <reference field="14" count="1">
            <x v="10"/>
          </reference>
        </references>
      </pivotArea>
    </format>
    <format dxfId="213">
      <pivotArea field="14" collapsedLevelsAreSubtotals="1" axis="axisRow" fieldPosition="0">
        <references count="1">
          <reference field="14" count="1">
            <x v="2"/>
          </reference>
        </references>
      </pivotArea>
    </format>
    <format dxfId="212">
      <pivotArea field="14" collapsedLevelsAreSubtotals="1" axis="axisRow" fieldPosition="0">
        <references count="1">
          <reference field="14" count="1">
            <x v="13"/>
          </reference>
        </references>
      </pivotArea>
    </format>
    <format dxfId="211">
      <pivotArea field="14" collapsedLevelsAreSubtotals="1" axis="axisRow" fieldPosition="0">
        <references count="1">
          <reference field="14" count="1">
            <x v="12"/>
          </reference>
        </references>
      </pivotArea>
    </format>
    <format dxfId="21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0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14" type="button" dataOnly="0" labelOnly="1" outline="0" axis="axisRow" fieldPosition="0"/>
    </format>
    <format dxfId="205">
      <pivotArea dataOnly="0" labelOnly="1" fieldPosition="0">
        <references count="1">
          <reference field="14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04">
      <pivotArea dataOnly="0" labelOnly="1" grandRow="1" outline="0" fieldPosition="0"/>
    </format>
    <format dxfId="2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1">
      <pivotArea field="14" type="button" dataOnly="0" labelOnly="1" outline="0" axis="axisRow" fieldPosition="0"/>
    </format>
    <format dxfId="20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99">
      <pivotArea collapsedLevelsAreSubtotals="1" fieldPosition="0">
        <references count="2">
          <reference field="4294967294" count="1" selected="0">
            <x v="0"/>
          </reference>
          <reference field="14" count="1">
            <x v="4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0"/>
          </reference>
          <reference field="14" count="1">
            <x v="11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0"/>
          </reference>
          <reference field="14" count="1">
            <x v="6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0"/>
          </reference>
          <reference field="14" count="1">
            <x v="3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0"/>
          </reference>
          <reference field="14" count="1">
            <x v="7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0"/>
          </reference>
          <reference field="14" count="1">
            <x v="10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0"/>
          </reference>
          <reference field="14" count="1">
            <x v="5"/>
          </reference>
        </references>
      </pivotArea>
    </format>
    <format dxfId="192">
      <pivotArea dataOnly="0" labelOnly="1" fieldPosition="0">
        <references count="1">
          <reference field="14" count="7">
            <x v="3"/>
            <x v="4"/>
            <x v="5"/>
            <x v="6"/>
            <x v="7"/>
            <x v="10"/>
            <x v="11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0"/>
          </reference>
          <reference field="14" count="1">
            <x v="11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0"/>
          </reference>
          <reference field="14" count="1">
            <x v="6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1"/>
          </reference>
          <reference field="14" count="1">
            <x v="11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1"/>
          </reference>
          <reference field="14" count="1">
            <x v="6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1"/>
          </reference>
          <reference field="14" count="1">
            <x v="3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1"/>
          </reference>
          <reference field="14" count="1">
            <x v="7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0"/>
          </reference>
          <reference field="14" count="1">
            <x v="6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0"/>
          </reference>
          <reference field="14" count="1">
            <x v="3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0"/>
          </reference>
          <reference field="14" count="1">
            <x v="10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1"/>
          </reference>
          <reference field="14" count="1">
            <x v="10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1"/>
          </reference>
          <reference field="14" count="1">
            <x v="5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1"/>
          </reference>
          <reference field="14" count="1">
            <x v="9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1"/>
          </reference>
          <reference field="14" count="1">
            <x v="8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1"/>
          </reference>
          <reference field="14" count="1">
            <x v="2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1"/>
          </reference>
          <reference field="14" count="1">
            <x v="12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1"/>
          </reference>
          <reference field="14" count="1">
            <x v="13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0"/>
          </reference>
          <reference field="14" count="1">
            <x v="13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0"/>
          </reference>
          <reference field="14" count="1">
            <x v="12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0"/>
          </reference>
          <reference field="14" count="1">
            <x v="2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0"/>
          </reference>
          <reference field="14" count="1">
            <x v="8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0"/>
          </reference>
          <reference field="14" count="1">
            <x v="5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2"/>
          </reference>
          <reference field="14" count="1">
            <x v="11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2"/>
          </reference>
          <reference field="14" count="1">
            <x v="11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2"/>
          </reference>
          <reference field="14" count="1">
            <x v="6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2"/>
          </reference>
          <reference field="14" count="1">
            <x v="3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2"/>
          </reference>
          <reference field="14" count="1">
            <x v="10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2"/>
          </reference>
          <reference field="14" count="1">
            <x v="5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2"/>
          </reference>
          <reference field="14" count="1">
            <x v="9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2"/>
          </reference>
          <reference field="14" count="1">
            <x v="8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2"/>
          </reference>
          <reference field="14" count="1">
            <x v="2"/>
          </reference>
        </references>
      </pivotArea>
    </format>
    <format dxfId="161">
      <pivotArea collapsedLevelsAreSubtotals="1" fieldPosition="0">
        <references count="2">
          <reference field="4294967294" count="1" selected="0">
            <x v="2"/>
          </reference>
          <reference field="14" count="1">
            <x v="12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2"/>
          </reference>
          <reference field="14" count="1">
            <x v="13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3"/>
          </reference>
          <reference field="14" count="1">
            <x v="11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3"/>
          </reference>
          <reference field="14" count="1">
            <x v="6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3"/>
          </reference>
          <reference field="14" count="1">
            <x v="3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3"/>
          </reference>
          <reference field="14" count="1">
            <x v="7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3"/>
          </reference>
          <reference field="14" count="1">
            <x v="10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3"/>
          </reference>
          <reference field="14" count="1">
            <x v="5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3"/>
          </reference>
          <reference field="14" count="1">
            <x v="9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3"/>
          </reference>
          <reference field="14" count="1">
            <x v="8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3"/>
          </reference>
          <reference field="14" count="1">
            <x v="2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3"/>
          </reference>
          <reference field="14" count="1">
            <x v="2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3"/>
          </reference>
          <reference field="14" count="1">
            <x v="13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4"/>
          </reference>
          <reference field="14" count="1">
            <x v="11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4"/>
          </reference>
          <reference field="14" count="1">
            <x v="11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4"/>
          </reference>
          <reference field="14" count="1">
            <x v="3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4"/>
          </reference>
          <reference field="14" count="1">
            <x v="7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4"/>
          </reference>
          <reference field="14" count="1">
            <x v="10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4"/>
          </reference>
          <reference field="14" count="1">
            <x v="5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4"/>
          </reference>
          <reference field="14" count="1">
            <x v="9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4"/>
          </reference>
          <reference field="14" count="1">
            <x v="8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4"/>
          </reference>
          <reference field="14" count="1">
            <x v="8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4"/>
          </reference>
          <reference field="14" count="1">
            <x v="12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4"/>
          </reference>
          <reference field="14" count="1">
            <x v="12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5"/>
          </reference>
          <reference field="14" count="1">
            <x v="4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5"/>
          </reference>
          <reference field="14" count="1">
            <x v="6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5"/>
          </reference>
          <reference field="14" count="1">
            <x v="3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5"/>
          </reference>
          <reference field="14" count="1">
            <x v="7"/>
          </reference>
        </references>
      </pivotArea>
    </format>
    <format dxfId="133">
      <pivotArea collapsedLevelsAreSubtotals="1" fieldPosition="0">
        <references count="2">
          <reference field="4294967294" count="1" selected="0">
            <x v="5"/>
          </reference>
          <reference field="14" count="1">
            <x v="7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5"/>
          </reference>
          <reference field="14" count="1">
            <x v="5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5"/>
          </reference>
          <reference field="14" count="1">
            <x v="5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5"/>
          </reference>
          <reference field="14" count="1">
            <x v="8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5"/>
          </reference>
          <reference field="14" count="1">
            <x v="2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5"/>
          </reference>
          <reference field="14" count="1">
            <x v="12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5"/>
          </reference>
          <reference field="14" count="1">
            <x v="13"/>
          </reference>
        </references>
      </pivotArea>
    </format>
    <format dxfId="126">
      <pivotArea dataOnly="0" labelOnly="1" fieldPosition="0">
        <references count="1">
          <reference field="14" count="1">
            <x v="2"/>
          </reference>
        </references>
      </pivotArea>
    </format>
    <format dxfId="125">
      <pivotArea dataOnly="0" labelOnly="1" fieldPosition="0">
        <references count="1">
          <reference field="14" count="1">
            <x v="9"/>
          </reference>
        </references>
      </pivotArea>
    </format>
    <format dxfId="124">
      <pivotArea dataOnly="0" labelOnly="1" fieldPosition="0">
        <references count="1">
          <reference field="14" count="1">
            <x v="7"/>
          </reference>
        </references>
      </pivotArea>
    </format>
    <format dxfId="123">
      <pivotArea dataOnly="0" labelOnly="1" fieldPosition="0">
        <references count="1">
          <reference field="14" count="1">
            <x v="13"/>
          </reference>
        </references>
      </pivotArea>
    </format>
    <format dxfId="122">
      <pivotArea dataOnly="0" labelOnly="1" fieldPosition="0">
        <references count="1">
          <reference field="14" count="1">
            <x v="2"/>
          </reference>
        </references>
      </pivotArea>
    </format>
    <format dxfId="121">
      <pivotArea dataOnly="0" labelOnly="1" fieldPosition="0">
        <references count="1">
          <reference field="14" count="1">
            <x v="5"/>
          </reference>
        </references>
      </pivotArea>
    </format>
    <format dxfId="120">
      <pivotArea dataOnly="0" labelOnly="1" fieldPosition="0">
        <references count="1">
          <reference field="14" count="1">
            <x v="7"/>
          </reference>
        </references>
      </pivotArea>
    </format>
    <format dxfId="119">
      <pivotArea dataOnly="0" labelOnly="1" fieldPosition="0">
        <references count="1">
          <reference field="14" count="1">
            <x v="6"/>
          </reference>
        </references>
      </pivotArea>
    </format>
    <format dxfId="118">
      <pivotArea dataOnly="0" labelOnly="1" fieldPosition="0">
        <references count="1">
          <reference field="14" count="1">
            <x v="6"/>
          </reference>
        </references>
      </pivotArea>
    </format>
    <format dxfId="117">
      <pivotArea dataOnly="0" labelOnly="1" fieldPosition="0">
        <references count="1">
          <reference field="1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7B150-09AB-4CE5-9A3B-8E10ECFE60C4}" name="TICKET MÉDIO EA PLAY SEASON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D93:E96" firstHeaderRow="1" firstDataRow="1" firstDataCol="1" rowPageCount="1" colPageCount="1"/>
  <pivotFields count="16">
    <pivotField showAll="0" countASubtotal="1">
      <items count="296"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70"/>
        <item x="71"/>
        <item x="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5"/>
        <item x="115"/>
        <item x="116"/>
        <item x="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7"/>
        <item x="141"/>
        <item x="8"/>
        <item x="142"/>
        <item x="143"/>
        <item x="144"/>
        <item x="145"/>
        <item x="146"/>
        <item x="147"/>
        <item x="148"/>
        <item x="9"/>
        <item x="149"/>
        <item x="150"/>
        <item x="10"/>
        <item x="11"/>
        <item x="151"/>
        <item x="152"/>
        <item x="153"/>
        <item x="154"/>
        <item x="155"/>
        <item x="156"/>
        <item x="157"/>
        <item x="158"/>
        <item x="12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3"/>
        <item x="177"/>
        <item x="178"/>
        <item x="179"/>
        <item x="180"/>
        <item x="181"/>
        <item x="14"/>
        <item x="182"/>
        <item x="183"/>
        <item x="184"/>
        <item x="1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6"/>
        <item x="198"/>
        <item x="199"/>
        <item x="200"/>
        <item x="201"/>
        <item x="202"/>
        <item x="17"/>
        <item x="203"/>
        <item x="204"/>
        <item x="18"/>
        <item x="205"/>
        <item x="19"/>
        <item x="206"/>
        <item x="20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1"/>
        <item x="223"/>
        <item x="224"/>
        <item x="225"/>
        <item x="226"/>
        <item x="227"/>
        <item x="228"/>
        <item x="22"/>
        <item x="23"/>
        <item x="229"/>
        <item x="230"/>
        <item x="231"/>
        <item x="232"/>
        <item x="233"/>
        <item x="234"/>
        <item x="2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7"/>
        <item x="28"/>
        <item x="29"/>
        <item x="287"/>
        <item x="288"/>
        <item x="289"/>
        <item x="290"/>
        <item x="291"/>
        <item x="292"/>
        <item x="293"/>
        <item x="294"/>
        <item t="countA"/>
      </items>
    </pivotField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 countASubtotal="1">
      <items count="3">
        <item n="Minecraft Não" sd="0" x="1"/>
        <item n="Manicraft Sim" sd="0" x="0"/>
        <item t="countA"/>
      </items>
    </pivotField>
    <pivotField numFmtId="44" showAll="0"/>
    <pivotField numFmtId="44" showAll="0"/>
    <pivotField numFmtId="44" showAll="0"/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14" hier="-1"/>
  </pageFields>
  <dataFields count="1">
    <dataField name="Média de EA Play Season Pass" fld="8" subtotal="average" baseField="7" baseItem="0" numFmtId="164"/>
  </dataFields>
  <formats count="21">
    <format dxfId="494">
      <pivotArea type="all" dataOnly="0" outline="0" fieldPosition="0"/>
    </format>
    <format dxfId="493">
      <pivotArea type="all" dataOnly="0" outline="0" fieldPosition="0"/>
    </format>
    <format dxfId="492">
      <pivotArea field="2" type="button" dataOnly="0" labelOnly="1" outline="0"/>
    </format>
    <format dxfId="491">
      <pivotArea dataOnly="0" labelOnly="1" outline="0" axis="axisValues" fieldPosition="0"/>
    </format>
    <format dxfId="490">
      <pivotArea field="2" type="button" dataOnly="0" labelOnly="1" outline="0"/>
    </format>
    <format dxfId="489">
      <pivotArea dataOnly="0" labelOnly="1" outline="0" axis="axisValues" fieldPosition="0"/>
    </format>
    <format dxfId="488">
      <pivotArea field="2" type="button" dataOnly="0" labelOnly="1" outline="0"/>
    </format>
    <format dxfId="487">
      <pivotArea dataOnly="0" labelOnly="1" outline="0" axis="axisValues" fieldPosition="0"/>
    </format>
    <format dxfId="486">
      <pivotArea type="all" dataOnly="0" outline="0" fieldPosition="0"/>
    </format>
    <format dxfId="485">
      <pivotArea outline="0" collapsedLevelsAreSubtotals="1" fieldPosition="0"/>
    </format>
    <format dxfId="484">
      <pivotArea field="2" type="button" dataOnly="0" labelOnly="1" outline="0"/>
    </format>
    <format dxfId="483">
      <pivotArea dataOnly="0" labelOnly="1" grandRow="1" outline="0" fieldPosition="0"/>
    </format>
    <format dxfId="482">
      <pivotArea dataOnly="0" labelOnly="1" outline="0" axis="axisValues" fieldPosition="0"/>
    </format>
    <format dxfId="481">
      <pivotArea type="all" dataOnly="0" outline="0" fieldPosition="0"/>
    </format>
    <format dxfId="480">
      <pivotArea outline="0" collapsedLevelsAreSubtotals="1" fieldPosition="0"/>
    </format>
    <format dxfId="479">
      <pivotArea field="2" type="button" dataOnly="0" labelOnly="1" outline="0"/>
    </format>
    <format dxfId="478">
      <pivotArea dataOnly="0" labelOnly="1" grandRow="1" outline="0" fieldPosition="0"/>
    </format>
    <format dxfId="477">
      <pivotArea dataOnly="0" labelOnly="1" outline="0" axis="axisValues" fieldPosition="0"/>
    </format>
    <format dxfId="476">
      <pivotArea type="all" dataOnly="0" outline="0" fieldPosition="0"/>
    </format>
    <format dxfId="475">
      <pivotArea outline="0" collapsedLevelsAreSubtotals="1" fieldPosition="0"/>
    </format>
    <format dxfId="4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EC33-B19A-41A0-95DB-C18FEA8932BF}" name="EA PLAY SEASON PASS QUANTIDADES E VALORE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EA Play Season Pass">
  <location ref="A36:C42" firstHeaderRow="0" firstDataRow="1" firstDataCol="1" rowPageCount="1" colPageCount="1"/>
  <pivotFields count="16"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axis="axisRow" dataField="1" showAll="0">
      <items count="3">
        <item n="Não assinante EA Play" x="1"/>
        <item n="Assinante EA Play" x="0"/>
        <item t="default"/>
      </items>
    </pivotField>
    <pivotField dataField="1" showAll="0"/>
    <pivotField showAll="0"/>
    <pivotField numFmtId="44" showAll="0"/>
    <pivotField numFmtId="44" showAll="0"/>
    <pivotField numFmtId="44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2">
    <field x="7"/>
    <field x="2"/>
  </rowFields>
  <rowItems count="6">
    <i>
      <x/>
    </i>
    <i r="1">
      <x/>
    </i>
    <i r="1">
      <x v="1"/>
    </i>
    <i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Quantidade EA Play Season Pass" fld="7" subtotal="count" baseField="0" baseItem="0"/>
    <dataField name="Valor EA Play Season Pass" fld="8" baseField="7" baseItem="1" numFmtId="164"/>
  </dataFields>
  <formats count="6">
    <format dxfId="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2">
      <pivotArea field="7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4">
      <pivotArea dataOnly="0" grandRow="1" fieldPosition="0"/>
    </format>
    <format dxfId="75">
      <pivotArea field="7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7AE37-B712-449A-9BF6-1BD3CD2837A1}" name="MANICRAFT SEASON PASS QUANTIDADES E VALORE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Minecraft Season Pass">
  <location ref="A47:C52" firstHeaderRow="0" firstDataRow="1" firstDataCol="1" rowPageCount="1" colPageCount="1"/>
  <pivotFields count="16"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dataField="1" showAll="0">
      <items count="3">
        <item n="Não assinantes Minecraft" sd="0" x="1"/>
        <item n="São assinantes" x="0"/>
        <item t="default"/>
      </items>
    </pivotField>
    <pivotField dataField="1" numFmtId="44" showAll="0"/>
    <pivotField numFmtId="44" showAll="0"/>
    <pivotField numFmtId="44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2">
    <field x="9"/>
    <field x="2"/>
  </rowFields>
  <rowItems count="5">
    <i>
      <x/>
    </i>
    <i>
      <x v="1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Quantidade Minecraft Season Pass" fld="9" subtotal="count" baseField="0" baseItem="0"/>
    <dataField name="Valor Minecraft Season Pass" fld="10" baseField="0" baseItem="0" numFmtId="164"/>
  </dataFields>
  <formats count="5">
    <format dxfId="66">
      <pivotArea field="9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dataOnly="0" grandRow="1" fieldPosition="0"/>
    </format>
    <format dxfId="69">
      <pivotArea field="9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B24A-230C-433E-AA2D-377B06D5E098}" name="DESCRITIVOS DOS PREÇOS TOTAI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Tipos de Planos" colHeaderCaption="">
  <location ref="A62:I66" firstHeaderRow="0" firstDataRow="1" firstDataCol="1"/>
  <pivotFields count="16">
    <pivotField dataField="1" showAll="0"/>
    <pivotField showAll="0"/>
    <pivotField axis="axisRow" dataField="1"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dataField="1" numFmtId="44" showAll="0"/>
    <pivotField dataField="1" numFmtId="44" showAll="0"/>
    <pivotField dataField="1" numFmtId="44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t="default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Quantidade" fld="2" subtotal="count" baseField="2" baseItem="0"/>
    <dataField name="Inscrição" fld="5" baseField="0" baseItem="0" numFmtId="164"/>
    <dataField name="Total EA Play Season Pass" fld="8" baseField="2" baseItem="0" numFmtId="164"/>
    <dataField name="Preço Total Minecraft Season Pass" fld="10" baseField="0" baseItem="0" numFmtId="164"/>
    <dataField name="Total Desconto" fld="11" baseField="0" baseItem="0" numFmtId="164"/>
    <dataField name="Total dos Planos" fld="12" baseField="0" baseItem="0" numFmtId="164"/>
    <dataField name="Percentual" fld="0" showDataAs="percentOfTotal" baseField="2" baseItem="0" numFmtId="10"/>
    <dataField name="Total Subscription stacking" fld="13" baseField="0" baseItem="0"/>
  </dataFields>
  <formats count="37"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2" type="button" dataOnly="0" labelOnly="1" outline="0" axis="axisRow" fieldPosition="0"/>
    </format>
    <format dxfId="24">
      <pivotArea dataOnly="0" labelOnly="1" outline="0" axis="axisValues" fieldPosition="0"/>
    </format>
    <format dxfId="25">
      <pivotArea outline="0" collapsedLevelsAreSubtotals="1" fieldPosition="0"/>
    </format>
    <format dxfId="26">
      <pivotArea dataOnly="0" labelOnly="1" outline="0" axis="axisValues" fieldPosition="0"/>
    </format>
    <format dxfId="27">
      <pivotArea outline="0" collapsedLevelsAreSubtotals="1" fieldPosition="0"/>
    </format>
    <format dxfId="28">
      <pivotArea dataOnly="0" labelOnly="1" outline="0" axis="axisValues" fieldPosition="0"/>
    </format>
    <format dxfId="2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">
      <pivotArea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0">
      <pivotArea field="2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2">
      <pivotArea field="2" dataOnly="0" grandRow="1" axis="axisRow" fieldPosition="0">
        <references count="1">
          <reference field="2" count="0"/>
        </references>
      </pivotArea>
    </format>
    <format dxfId="43">
      <pivotArea type="all" dataOnly="0" outline="0" fieldPosition="0"/>
    </format>
    <format dxfId="44">
      <pivotArea outline="0" collapsedLevelsAreSubtotals="1" fieldPosition="0"/>
    </format>
    <format dxfId="45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0">
      <pivotArea field="2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2" type="button" dataOnly="0" labelOnly="1" outline="0" axis="axisRow" fieldPosition="0"/>
    </format>
    <format dxfId="55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DE165-AB8F-4691-ACCF-C80E38AE4903}" name="Tabela dinâmica9" cacheId="0" applyNumberFormats="0" applyBorderFormats="0" applyFontFormats="0" applyPatternFormats="0" applyAlignmentFormats="0" applyWidthHeightFormats="1" dataCaption="Valores" grandTotalCaption="Quantidade" updatedVersion="7" minRefreshableVersion="3" useAutoFormatting="1" itemPrintTitles="1" createdVersion="7" indent="0" outline="1" outlineData="1" multipleFieldFilters="0" rowHeaderCaption="Datas de Inscrição" colHeaderCaption="Filtro dos Planos">
  <location ref="A176:E190" firstHeaderRow="1" firstDataRow="2" firstDataCol="1"/>
  <pivotFields count="16">
    <pivotField showAll="0"/>
    <pivotField showAll="0"/>
    <pivotField axis="axisCol" dataField="1" showAll="0" sortType="ascending">
      <items count="4">
        <item x="2"/>
        <item x="1"/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showAll="0"/>
    <pivotField axis="axisRow" showAll="0" sortType="descending">
      <items count="15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2">
    <field x="14"/>
    <field x="3"/>
  </rowFields>
  <rowItems count="13">
    <i>
      <x v="9"/>
    </i>
    <i>
      <x v="6"/>
    </i>
    <i>
      <x v="11"/>
    </i>
    <i>
      <x v="4"/>
    </i>
    <i>
      <x v="7"/>
    </i>
    <i>
      <x v="3"/>
    </i>
    <i>
      <x v="5"/>
    </i>
    <i>
      <x v="8"/>
    </i>
    <i>
      <x v="10"/>
    </i>
    <i>
      <x v="2"/>
    </i>
    <i>
      <x v="13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Quantidade" fld="2" subtotal="count" baseField="2" baseItem="0"/>
  </dataFields>
  <formats count="113">
    <format dxfId="607">
      <pivotArea type="all" dataOnly="0" outline="0" fieldPosition="0"/>
    </format>
    <format dxfId="606">
      <pivotArea outline="0" collapsedLevelsAreSubtotals="1" fieldPosition="0"/>
    </format>
    <format dxfId="605">
      <pivotArea dataOnly="0" labelOnly="1" outline="0" axis="axisValues" fieldPosition="0"/>
    </format>
    <format dxfId="604">
      <pivotArea outline="0" collapsedLevelsAreSubtotals="1" fieldPosition="0"/>
    </format>
    <format dxfId="603">
      <pivotArea dataOnly="0" labelOnly="1" outline="0" axis="axisValues" fieldPosition="0"/>
    </format>
    <format dxfId="602">
      <pivotArea outline="0" collapsedLevelsAreSubtotals="1" fieldPosition="0"/>
    </format>
    <format dxfId="601">
      <pivotArea dataOnly="0" labelOnly="1" outline="0" axis="axisValues" fieldPosition="0"/>
    </format>
    <format dxfId="600">
      <pivotArea field="14" grandCol="1" collapsedLevelsAreSubtotals="1" axis="axisRow" fieldPosition="0">
        <references count="1">
          <reference field="14" count="1">
            <x v="13"/>
          </reference>
        </references>
      </pivotArea>
    </format>
    <format dxfId="599">
      <pivotArea field="14" grandCol="1" collapsedLevelsAreSubtotals="1" axis="axisRow" fieldPosition="0">
        <references count="1">
          <reference field="14" count="1">
            <x v="12"/>
          </reference>
        </references>
      </pivotArea>
    </format>
    <format dxfId="598">
      <pivotArea field="14" grandCol="1" collapsedLevelsAreSubtotals="1" axis="axisRow" fieldPosition="0">
        <references count="1">
          <reference field="14" count="1">
            <x v="11"/>
          </reference>
        </references>
      </pivotArea>
    </format>
    <format dxfId="597">
      <pivotArea field="14" grandCol="1" collapsedLevelsAreSubtotals="1" axis="axisRow" fieldPosition="0">
        <references count="1">
          <reference field="14" count="1">
            <x v="10"/>
          </reference>
        </references>
      </pivotArea>
    </format>
    <format dxfId="596">
      <pivotArea field="14" grandCol="1" collapsedLevelsAreSubtotals="1" axis="axisRow" fieldPosition="0">
        <references count="1">
          <reference field="14" count="1">
            <x v="9"/>
          </reference>
        </references>
      </pivotArea>
    </format>
    <format dxfId="595">
      <pivotArea field="14" grandCol="1" collapsedLevelsAreSubtotals="1" axis="axisRow" fieldPosition="0">
        <references count="1">
          <reference field="14" count="1">
            <x v="8"/>
          </reference>
        </references>
      </pivotArea>
    </format>
    <format dxfId="594">
      <pivotArea field="14" grandCol="1" collapsedLevelsAreSubtotals="1" axis="axisRow" fieldPosition="0">
        <references count="1">
          <reference field="14" count="1">
            <x v="7"/>
          </reference>
        </references>
      </pivotArea>
    </format>
    <format dxfId="593">
      <pivotArea field="14" grandCol="1" collapsedLevelsAreSubtotals="1" axis="axisRow" fieldPosition="0">
        <references count="1">
          <reference field="14" count="1">
            <x v="6"/>
          </reference>
        </references>
      </pivotArea>
    </format>
    <format dxfId="592">
      <pivotArea field="14" grandCol="1" collapsedLevelsAreSubtotals="1" axis="axisRow" fieldPosition="0">
        <references count="1">
          <reference field="14" count="1">
            <x v="5"/>
          </reference>
        </references>
      </pivotArea>
    </format>
    <format dxfId="591">
      <pivotArea field="14" grandCol="1" collapsedLevelsAreSubtotals="1" axis="axisRow" fieldPosition="0">
        <references count="1">
          <reference field="14" count="1">
            <x v="4"/>
          </reference>
        </references>
      </pivotArea>
    </format>
    <format dxfId="590">
      <pivotArea field="14" grandCol="1" collapsedLevelsAreSubtotals="1" axis="axisRow" fieldPosition="0">
        <references count="1">
          <reference field="14" count="1">
            <x v="3"/>
          </reference>
        </references>
      </pivotArea>
    </format>
    <format dxfId="589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588">
      <pivotArea type="all" dataOnly="0" outline="0" fieldPosition="0"/>
    </format>
    <format dxfId="587">
      <pivotArea outline="0" collapsedLevelsAreSubtotals="1" fieldPosition="0"/>
    </format>
    <format dxfId="586">
      <pivotArea type="origin" dataOnly="0" labelOnly="1" outline="0" fieldPosition="0"/>
    </format>
    <format dxfId="585">
      <pivotArea field="2" type="button" dataOnly="0" labelOnly="1" outline="0" axis="axisCol" fieldPosition="0"/>
    </format>
    <format dxfId="584">
      <pivotArea type="topRight" dataOnly="0" labelOnly="1" outline="0" fieldPosition="0"/>
    </format>
    <format dxfId="583">
      <pivotArea field="14" type="button" dataOnly="0" labelOnly="1" outline="0" axis="axisRow" fieldPosition="0"/>
    </format>
    <format dxfId="582">
      <pivotArea dataOnly="0" labelOnly="1" fieldPosition="0">
        <references count="1">
          <reference field="14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81">
      <pivotArea dataOnly="0" labelOnly="1" grandRow="1" outline="0" fieldPosition="0"/>
    </format>
    <format dxfId="580">
      <pivotArea dataOnly="0" labelOnly="1" fieldPosition="0">
        <references count="1">
          <reference field="2" count="0"/>
        </references>
      </pivotArea>
    </format>
    <format dxfId="579">
      <pivotArea dataOnly="0" labelOnly="1" grandCol="1" outline="0" fieldPosition="0"/>
    </format>
    <format dxfId="578">
      <pivotArea type="origin" dataOnly="0" labelOnly="1" outline="0" fieldPosition="0"/>
    </format>
    <format dxfId="577">
      <pivotArea field="2" type="button" dataOnly="0" labelOnly="1" outline="0" axis="axisCol" fieldPosition="0"/>
    </format>
    <format dxfId="576">
      <pivotArea type="topRight" dataOnly="0" labelOnly="1" outline="0" fieldPosition="0"/>
    </format>
    <format dxfId="575">
      <pivotArea field="14" type="button" dataOnly="0" labelOnly="1" outline="0" axis="axisRow" fieldPosition="0"/>
    </format>
    <format dxfId="574">
      <pivotArea dataOnly="0" labelOnly="1" fieldPosition="0">
        <references count="1">
          <reference field="2" count="0"/>
        </references>
      </pivotArea>
    </format>
    <format dxfId="573">
      <pivotArea dataOnly="0" labelOnly="1" grandCol="1" outline="0" fieldPosition="0"/>
    </format>
    <format dxfId="572">
      <pivotArea dataOnly="0" grandRow="1" axis="axisRow" fieldPosition="0"/>
    </format>
    <format dxfId="571">
      <pivotArea field="14" grandCol="1" collapsedLevelsAreSubtotals="1" axis="axisRow" fieldPosition="0">
        <references count="1">
          <reference field="14" count="1">
            <x v="9"/>
          </reference>
        </references>
      </pivotArea>
    </format>
    <format dxfId="570">
      <pivotArea field="14" grandCol="1" collapsedLevelsAreSubtotals="1" axis="axisRow" fieldPosition="0">
        <references count="1">
          <reference field="14" count="1">
            <x v="6"/>
          </reference>
        </references>
      </pivotArea>
    </format>
    <format dxfId="569">
      <pivotArea field="14" grandCol="1" collapsedLevelsAreSubtotals="1" axis="axisRow" fieldPosition="0">
        <references count="1">
          <reference field="14" count="1">
            <x v="11"/>
          </reference>
        </references>
      </pivotArea>
    </format>
    <format dxfId="568">
      <pivotArea field="14" grandCol="1" collapsedLevelsAreSubtotals="1" axis="axisRow" fieldPosition="0">
        <references count="1">
          <reference field="14" count="1">
            <x v="4"/>
          </reference>
        </references>
      </pivotArea>
    </format>
    <format dxfId="567">
      <pivotArea field="14" grandCol="1" collapsedLevelsAreSubtotals="1" axis="axisRow" fieldPosition="0">
        <references count="1">
          <reference field="14" count="1">
            <x v="7"/>
          </reference>
        </references>
      </pivotArea>
    </format>
    <format dxfId="566">
      <pivotArea field="14" grandCol="1" collapsedLevelsAreSubtotals="1" axis="axisRow" fieldPosition="0">
        <references count="1">
          <reference field="14" count="1">
            <x v="3"/>
          </reference>
        </references>
      </pivotArea>
    </format>
    <format dxfId="565">
      <pivotArea field="14" grandCol="1" collapsedLevelsAreSubtotals="1" axis="axisRow" fieldPosition="0">
        <references count="1">
          <reference field="14" count="1">
            <x v="5"/>
          </reference>
        </references>
      </pivotArea>
    </format>
    <format dxfId="564">
      <pivotArea field="14" grandCol="1" collapsedLevelsAreSubtotals="1" axis="axisRow" fieldPosition="0">
        <references count="1">
          <reference field="14" count="1">
            <x v="8"/>
          </reference>
        </references>
      </pivotArea>
    </format>
    <format dxfId="563">
      <pivotArea field="14" grandCol="1" collapsedLevelsAreSubtotals="1" axis="axisRow" fieldPosition="0">
        <references count="1">
          <reference field="14" count="1">
            <x v="10"/>
          </reference>
        </references>
      </pivotArea>
    </format>
    <format dxfId="562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561">
      <pivotArea field="14" grandCol="1" collapsedLevelsAreSubtotals="1" axis="axisRow" fieldPosition="0">
        <references count="1">
          <reference field="14" count="1">
            <x v="13"/>
          </reference>
        </references>
      </pivotArea>
    </format>
    <format dxfId="560">
      <pivotArea field="14" grandCol="1" collapsedLevelsAreSubtotals="1" axis="axisRow" fieldPosition="0">
        <references count="1">
          <reference field="14" count="1">
            <x v="12"/>
          </reference>
        </references>
      </pivotArea>
    </format>
    <format dxfId="559">
      <pivotArea collapsedLevelsAreSubtotals="1" fieldPosition="0">
        <references count="2">
          <reference field="2" count="1" selected="0">
            <x v="1"/>
          </reference>
          <reference field="14" count="1">
            <x v="9"/>
          </reference>
        </references>
      </pivotArea>
    </format>
    <format dxfId="558">
      <pivotArea collapsedLevelsAreSubtotals="1" fieldPosition="0">
        <references count="2">
          <reference field="2" count="0" selected="0"/>
          <reference field="14" count="1">
            <x v="6"/>
          </reference>
        </references>
      </pivotArea>
    </format>
    <format dxfId="557">
      <pivotArea collapsedLevelsAreSubtotals="1" fieldPosition="0">
        <references count="2">
          <reference field="2" count="0" selected="0"/>
          <reference field="14" count="1">
            <x v="11"/>
          </reference>
        </references>
      </pivotArea>
    </format>
    <format dxfId="556">
      <pivotArea collapsedLevelsAreSubtotals="1" fieldPosition="0">
        <references count="2">
          <reference field="2" count="0" selected="0"/>
          <reference field="14" count="1">
            <x v="4"/>
          </reference>
        </references>
      </pivotArea>
    </format>
    <format dxfId="555">
      <pivotArea dataOnly="0" labelOnly="1" fieldPosition="0">
        <references count="1">
          <reference field="14" count="3">
            <x v="4"/>
            <x v="6"/>
            <x v="11"/>
          </reference>
        </references>
      </pivotArea>
    </format>
    <format dxfId="554">
      <pivotArea collapsedLevelsAreSubtotals="1" fieldPosition="0">
        <references count="2">
          <reference field="2" count="1" selected="0">
            <x v="2"/>
          </reference>
          <reference field="14" count="1">
            <x v="11"/>
          </reference>
        </references>
      </pivotArea>
    </format>
    <format dxfId="553">
      <pivotArea collapsedLevelsAreSubtotals="1" fieldPosition="0">
        <references count="2">
          <reference field="2" count="1" selected="0">
            <x v="2"/>
          </reference>
          <reference field="14" count="1">
            <x v="11"/>
          </reference>
        </references>
      </pivotArea>
    </format>
    <format dxfId="552">
      <pivotArea field="14" grandCol="1" collapsedLevelsAreSubtotals="1" axis="axisRow" fieldPosition="0">
        <references count="1">
          <reference field="14" count="1">
            <x v="9"/>
          </reference>
        </references>
      </pivotArea>
    </format>
    <format dxfId="551">
      <pivotArea dataOnly="0" labelOnly="1" fieldPosition="0">
        <references count="1">
          <reference field="14" count="0"/>
        </references>
      </pivotArea>
    </format>
    <format dxfId="550">
      <pivotArea dataOnly="0" labelOnly="1" fieldPosition="0">
        <references count="1">
          <reference field="14" count="1">
            <x v="9"/>
          </reference>
        </references>
      </pivotArea>
    </format>
    <format dxfId="549">
      <pivotArea dataOnly="0" labelOnly="1" fieldPosition="0">
        <references count="1">
          <reference field="14" count="1">
            <x v="6"/>
          </reference>
        </references>
      </pivotArea>
    </format>
    <format dxfId="548">
      <pivotArea collapsedLevelsAreSubtotals="1" fieldPosition="0">
        <references count="2">
          <reference field="2" count="1" selected="0">
            <x v="2"/>
          </reference>
          <reference field="14" count="1">
            <x v="6"/>
          </reference>
        </references>
      </pivotArea>
    </format>
    <format dxfId="547">
      <pivotArea collapsedLevelsAreSubtotals="1" fieldPosition="0">
        <references count="2">
          <reference field="2" count="1" selected="0">
            <x v="2"/>
          </reference>
          <reference field="14" count="1">
            <x v="11"/>
          </reference>
        </references>
      </pivotArea>
    </format>
    <format dxfId="546">
      <pivotArea collapsedLevelsAreSubtotals="1" fieldPosition="0">
        <references count="2">
          <reference field="2" count="1" selected="0">
            <x v="2"/>
          </reference>
          <reference field="14" count="1">
            <x v="4"/>
          </reference>
        </references>
      </pivotArea>
    </format>
    <format dxfId="545">
      <pivotArea collapsedLevelsAreSubtotals="1" fieldPosition="0">
        <references count="2">
          <reference field="2" count="1" selected="0">
            <x v="2"/>
          </reference>
          <reference field="14" count="1">
            <x v="7"/>
          </reference>
        </references>
      </pivotArea>
    </format>
    <format dxfId="544">
      <pivotArea collapsedLevelsAreSubtotals="1" fieldPosition="0">
        <references count="2">
          <reference field="2" count="1" selected="0">
            <x v="2"/>
          </reference>
          <reference field="14" count="1">
            <x v="3"/>
          </reference>
        </references>
      </pivotArea>
    </format>
    <format dxfId="543">
      <pivotArea collapsedLevelsAreSubtotals="1" fieldPosition="0">
        <references count="2">
          <reference field="2" count="1" selected="0">
            <x v="2"/>
          </reference>
          <reference field="14" count="1">
            <x v="5"/>
          </reference>
        </references>
      </pivotArea>
    </format>
    <format dxfId="542">
      <pivotArea collapsedLevelsAreSubtotals="1" fieldPosition="0">
        <references count="2">
          <reference field="2" count="1" selected="0">
            <x v="2"/>
          </reference>
          <reference field="14" count="1">
            <x v="8"/>
          </reference>
        </references>
      </pivotArea>
    </format>
    <format dxfId="541">
      <pivotArea collapsedLevelsAreSubtotals="1" fieldPosition="0">
        <references count="2">
          <reference field="2" count="1" selected="0">
            <x v="2"/>
          </reference>
          <reference field="14" count="1">
            <x v="10"/>
          </reference>
        </references>
      </pivotArea>
    </format>
    <format dxfId="540">
      <pivotArea collapsedLevelsAreSubtotals="1" fieldPosition="0">
        <references count="2">
          <reference field="2" count="1" selected="0">
            <x v="2"/>
          </reference>
          <reference field="14" count="1">
            <x v="2"/>
          </reference>
        </references>
      </pivotArea>
    </format>
    <format dxfId="539">
      <pivotArea collapsedLevelsAreSubtotals="1" fieldPosition="0">
        <references count="2">
          <reference field="2" count="1" selected="0">
            <x v="2"/>
          </reference>
          <reference field="14" count="1">
            <x v="13"/>
          </reference>
        </references>
      </pivotArea>
    </format>
    <format dxfId="538">
      <pivotArea field="14" grandCol="1" collapsedLevelsAreSubtotals="1" axis="axisRow" fieldPosition="0">
        <references count="1">
          <reference field="14" count="1">
            <x v="11"/>
          </reference>
        </references>
      </pivotArea>
    </format>
    <format dxfId="537">
      <pivotArea field="14" grandCol="1" collapsedLevelsAreSubtotals="1" axis="axisRow" fieldPosition="0">
        <references count="1">
          <reference field="14" count="1">
            <x v="11"/>
          </reference>
        </references>
      </pivotArea>
    </format>
    <format dxfId="536">
      <pivotArea field="14" grandCol="1" collapsedLevelsAreSubtotals="1" axis="axisRow" fieldPosition="0">
        <references count="1">
          <reference field="14" count="1">
            <x v="7"/>
          </reference>
        </references>
      </pivotArea>
    </format>
    <format dxfId="535">
      <pivotArea field="14" grandCol="1" collapsedLevelsAreSubtotals="1" axis="axisRow" fieldPosition="0">
        <references count="1">
          <reference field="14" count="1">
            <x v="3"/>
          </reference>
        </references>
      </pivotArea>
    </format>
    <format dxfId="534">
      <pivotArea field="14" grandCol="1" collapsedLevelsAreSubtotals="1" axis="axisRow" fieldPosition="0">
        <references count="1">
          <reference field="14" count="1">
            <x v="5"/>
          </reference>
        </references>
      </pivotArea>
    </format>
    <format dxfId="533">
      <pivotArea field="14" grandCol="1" collapsedLevelsAreSubtotals="1" axis="axisRow" fieldPosition="0">
        <references count="1">
          <reference field="14" count="1">
            <x v="8"/>
          </reference>
        </references>
      </pivotArea>
    </format>
    <format dxfId="532">
      <pivotArea field="14" grandCol="1" collapsedLevelsAreSubtotals="1" axis="axisRow" fieldPosition="0">
        <references count="1">
          <reference field="14" count="1">
            <x v="10"/>
          </reference>
        </references>
      </pivotArea>
    </format>
    <format dxfId="531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530">
      <pivotArea field="14" grandCol="1" collapsedLevelsAreSubtotals="1" axis="axisRow" fieldPosition="0">
        <references count="1">
          <reference field="14" count="1">
            <x v="2"/>
          </reference>
        </references>
      </pivotArea>
    </format>
    <format dxfId="529">
      <pivotArea field="14" grandCol="1" collapsedLevelsAreSubtotals="1" axis="axisRow" fieldPosition="0">
        <references count="1">
          <reference field="14" count="1">
            <x v="13"/>
          </reference>
        </references>
      </pivotArea>
    </format>
    <format dxfId="528">
      <pivotArea collapsedLevelsAreSubtotals="1" fieldPosition="0">
        <references count="2">
          <reference field="2" count="1" selected="0">
            <x v="2"/>
          </reference>
          <reference field="14" count="1">
            <x v="12"/>
          </reference>
        </references>
      </pivotArea>
    </format>
    <format dxfId="527">
      <pivotArea collapsedLevelsAreSubtotals="1" fieldPosition="0">
        <references count="2">
          <reference field="2" count="1" selected="0">
            <x v="2"/>
          </reference>
          <reference field="14" count="1">
            <x v="13"/>
          </reference>
        </references>
      </pivotArea>
    </format>
    <format dxfId="526">
      <pivotArea collapsedLevelsAreSubtotals="1" fieldPosition="0">
        <references count="2">
          <reference field="2" count="1" selected="0">
            <x v="2"/>
          </reference>
          <reference field="14" count="1">
            <x v="2"/>
          </reference>
        </references>
      </pivotArea>
    </format>
    <format dxfId="525">
      <pivotArea collapsedLevelsAreSubtotals="1" fieldPosition="0">
        <references count="2">
          <reference field="2" count="1" selected="0">
            <x v="2"/>
          </reference>
          <reference field="14" count="1">
            <x v="10"/>
          </reference>
        </references>
      </pivotArea>
    </format>
    <format dxfId="524">
      <pivotArea collapsedLevelsAreSubtotals="1" fieldPosition="0">
        <references count="2">
          <reference field="2" count="1" selected="0">
            <x v="2"/>
          </reference>
          <reference field="14" count="1">
            <x v="5"/>
          </reference>
        </references>
      </pivotArea>
    </format>
    <format dxfId="523">
      <pivotArea collapsedLevelsAreSubtotals="1" fieldPosition="0">
        <references count="2">
          <reference field="2" count="1" selected="0">
            <x v="2"/>
          </reference>
          <reference field="14" count="1">
            <x v="5"/>
          </reference>
        </references>
      </pivotArea>
    </format>
    <format dxfId="522">
      <pivotArea collapsedLevelsAreSubtotals="1" fieldPosition="0">
        <references count="2">
          <reference field="2" count="1" selected="0">
            <x v="2"/>
          </reference>
          <reference field="14" count="1">
            <x v="3"/>
          </reference>
        </references>
      </pivotArea>
    </format>
    <format dxfId="521">
      <pivotArea collapsedLevelsAreSubtotals="1" fieldPosition="0">
        <references count="2">
          <reference field="2" count="1" selected="0">
            <x v="1"/>
          </reference>
          <reference field="14" count="1">
            <x v="6"/>
          </reference>
        </references>
      </pivotArea>
    </format>
    <format dxfId="520">
      <pivotArea collapsedLevelsAreSubtotals="1" fieldPosition="0">
        <references count="2">
          <reference field="2" count="1" selected="0">
            <x v="1"/>
          </reference>
          <reference field="14" count="1">
            <x v="4"/>
          </reference>
        </references>
      </pivotArea>
    </format>
    <format dxfId="519">
      <pivotArea collapsedLevelsAreSubtotals="1" fieldPosition="0">
        <references count="2">
          <reference field="2" count="1" selected="0">
            <x v="1"/>
          </reference>
          <reference field="14" count="1">
            <x v="3"/>
          </reference>
        </references>
      </pivotArea>
    </format>
    <format dxfId="518">
      <pivotArea collapsedLevelsAreSubtotals="1" fieldPosition="0">
        <references count="2">
          <reference field="2" count="1" selected="0">
            <x v="1"/>
          </reference>
          <reference field="14" count="1">
            <x v="5"/>
          </reference>
        </references>
      </pivotArea>
    </format>
    <format dxfId="517">
      <pivotArea collapsedLevelsAreSubtotals="1" fieldPosition="0">
        <references count="2">
          <reference field="2" count="1" selected="0">
            <x v="1"/>
          </reference>
          <reference field="14" count="1">
            <x v="5"/>
          </reference>
        </references>
      </pivotArea>
    </format>
    <format dxfId="516">
      <pivotArea collapsedLevelsAreSubtotals="1" fieldPosition="0">
        <references count="2">
          <reference field="2" count="1" selected="0">
            <x v="1"/>
          </reference>
          <reference field="14" count="1">
            <x v="10"/>
          </reference>
        </references>
      </pivotArea>
    </format>
    <format dxfId="515">
      <pivotArea collapsedLevelsAreSubtotals="1" fieldPosition="0">
        <references count="2">
          <reference field="2" count="1" selected="0">
            <x v="1"/>
          </reference>
          <reference field="14" count="1">
            <x v="10"/>
          </reference>
        </references>
      </pivotArea>
    </format>
    <format dxfId="514">
      <pivotArea collapsedLevelsAreSubtotals="1" fieldPosition="0">
        <references count="2">
          <reference field="2" count="1" selected="0">
            <x v="1"/>
          </reference>
          <reference field="14" count="1">
            <x v="2"/>
          </reference>
        </references>
      </pivotArea>
    </format>
    <format dxfId="513">
      <pivotArea collapsedLevelsAreSubtotals="1" fieldPosition="0">
        <references count="2">
          <reference field="2" count="1" selected="0">
            <x v="1"/>
          </reference>
          <reference field="14" count="1">
            <x v="13"/>
          </reference>
        </references>
      </pivotArea>
    </format>
    <format dxfId="512">
      <pivotArea collapsedLevelsAreSubtotals="1" fieldPosition="0">
        <references count="2">
          <reference field="2" count="1" selected="0">
            <x v="0"/>
          </reference>
          <reference field="14" count="1">
            <x v="12"/>
          </reference>
        </references>
      </pivotArea>
    </format>
    <format dxfId="511">
      <pivotArea collapsedLevelsAreSubtotals="1" fieldPosition="0">
        <references count="2">
          <reference field="2" count="1" selected="0">
            <x v="0"/>
          </reference>
          <reference field="14" count="1">
            <x v="13"/>
          </reference>
        </references>
      </pivotArea>
    </format>
    <format dxfId="510">
      <pivotArea collapsedLevelsAreSubtotals="1" fieldPosition="0">
        <references count="2">
          <reference field="2" count="1" selected="0">
            <x v="0"/>
          </reference>
          <reference field="14" count="1">
            <x v="2"/>
          </reference>
        </references>
      </pivotArea>
    </format>
    <format dxfId="509">
      <pivotArea collapsedLevelsAreSubtotals="1" fieldPosition="0">
        <references count="2">
          <reference field="2" count="1" selected="0">
            <x v="0"/>
          </reference>
          <reference field="14" count="1">
            <x v="10"/>
          </reference>
        </references>
      </pivotArea>
    </format>
    <format dxfId="508">
      <pivotArea collapsedLevelsAreSubtotals="1" fieldPosition="0">
        <references count="2">
          <reference field="2" count="1" selected="0">
            <x v="0"/>
          </reference>
          <reference field="14" count="1">
            <x v="8"/>
          </reference>
        </references>
      </pivotArea>
    </format>
    <format dxfId="507">
      <pivotArea collapsedLevelsAreSubtotals="1" fieldPosition="0">
        <references count="2">
          <reference field="2" count="1" selected="0">
            <x v="0"/>
          </reference>
          <reference field="14" count="1">
            <x v="5"/>
          </reference>
        </references>
      </pivotArea>
    </format>
    <format dxfId="506">
      <pivotArea collapsedLevelsAreSubtotals="1" fieldPosition="0">
        <references count="2">
          <reference field="2" count="1" selected="0">
            <x v="0"/>
          </reference>
          <reference field="14" count="1">
            <x v="3"/>
          </reference>
        </references>
      </pivotArea>
    </format>
    <format dxfId="505">
      <pivotArea collapsedLevelsAreSubtotals="1" fieldPosition="0">
        <references count="2">
          <reference field="2" count="1" selected="0">
            <x v="0"/>
          </reference>
          <reference field="14" count="1">
            <x v="4"/>
          </reference>
        </references>
      </pivotArea>
    </format>
    <format dxfId="504">
      <pivotArea collapsedLevelsAreSubtotals="1" fieldPosition="0">
        <references count="2">
          <reference field="2" count="1" selected="0">
            <x v="0"/>
          </reference>
          <reference field="14" count="1">
            <x v="11"/>
          </reference>
        </references>
      </pivotArea>
    </format>
    <format dxfId="503">
      <pivotArea dataOnly="0" labelOnly="1" fieldPosition="0">
        <references count="1">
          <reference field="14" count="1">
            <x v="11"/>
          </reference>
        </references>
      </pivotArea>
    </format>
    <format dxfId="502">
      <pivotArea dataOnly="0" labelOnly="1" fieldPosition="0">
        <references count="1">
          <reference field="14" count="1">
            <x v="7"/>
          </reference>
        </references>
      </pivotArea>
    </format>
    <format dxfId="501">
      <pivotArea dataOnly="0" labelOnly="1" fieldPosition="0">
        <references count="1">
          <reference field="14" count="1">
            <x v="7"/>
          </reference>
        </references>
      </pivotArea>
    </format>
    <format dxfId="500">
      <pivotArea dataOnly="0" labelOnly="1" fieldPosition="0">
        <references count="1">
          <reference field="14" count="1">
            <x v="3"/>
          </reference>
        </references>
      </pivotArea>
    </format>
    <format dxfId="499">
      <pivotArea dataOnly="0" labelOnly="1" fieldPosition="0">
        <references count="1">
          <reference field="14" count="1">
            <x v="5"/>
          </reference>
        </references>
      </pivotArea>
    </format>
    <format dxfId="498">
      <pivotArea dataOnly="0" labelOnly="1" fieldPosition="0">
        <references count="1">
          <reference field="14" count="1">
            <x v="8"/>
          </reference>
        </references>
      </pivotArea>
    </format>
    <format dxfId="497">
      <pivotArea dataOnly="0" labelOnly="1" fieldPosition="0">
        <references count="1">
          <reference field="14" count="1">
            <x v="10"/>
          </reference>
        </references>
      </pivotArea>
    </format>
    <format dxfId="496">
      <pivotArea dataOnly="0" labelOnly="1" fieldPosition="0">
        <references count="1">
          <reference field="14" count="1">
            <x v="13"/>
          </reference>
        </references>
      </pivotArea>
    </format>
    <format dxfId="495">
      <pivotArea dataOnly="0" labelOnly="1" fieldPosition="0">
        <references count="1">
          <reference field="1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77A4D-E947-4792-97E9-6B4B8DAA0702}" name="ASSINATURA  EA PLAY SEASON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130:D132" firstHeaderRow="1" firstDataRow="2" firstDataCol="1" rowPageCount="1" colPageCount="1"/>
  <pivotFields count="16">
    <pivotField showAll="0" countASubtotal="1"/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showAll="0"/>
    <pivotField axis="axisCol" showAll="0">
      <items count="3">
        <item n="Não Assinantes" x="1"/>
        <item n="Assinantes" x="0"/>
        <item t="default"/>
      </items>
    </pivotField>
    <pivotField showAll="0"/>
    <pivotField showAll="0" countASubtotal="1">
      <items count="3">
        <item n="Minecraft Não" sd="0" x="1"/>
        <item n="Manicraft Sim" sd="0" x="0"/>
        <item t="countA"/>
      </items>
    </pivotField>
    <pivotField numFmtId="44" showAll="0"/>
    <pivotField numFmtId="44" showAll="0"/>
    <pivotField numFmtId="44" showAll="0"/>
    <pivotField dataField="1"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Items count="1">
    <i/>
  </rowItems>
  <colFields count="1">
    <field x="7"/>
  </colFields>
  <colItems count="3">
    <i>
      <x/>
    </i>
    <i>
      <x v="1"/>
    </i>
    <i t="grand">
      <x/>
    </i>
  </colItems>
  <pageFields count="1">
    <pageField fld="14" hier="-1"/>
  </pageFields>
  <dataFields count="1">
    <dataField name="Contagem de Subscription stacking" fld="13" subtotal="count" baseField="7" baseItem="1"/>
  </dataFields>
  <formats count="36">
    <format dxfId="643">
      <pivotArea type="all" dataOnly="0" outline="0" fieldPosition="0"/>
    </format>
    <format dxfId="642">
      <pivotArea type="all" dataOnly="0" outline="0" fieldPosition="0"/>
    </format>
    <format dxfId="641">
      <pivotArea field="2" type="button" dataOnly="0" labelOnly="1" outline="0"/>
    </format>
    <format dxfId="640">
      <pivotArea dataOnly="0" labelOnly="1" outline="0" axis="axisValues" fieldPosition="0"/>
    </format>
    <format dxfId="639">
      <pivotArea field="2" type="button" dataOnly="0" labelOnly="1" outline="0"/>
    </format>
    <format dxfId="638">
      <pivotArea dataOnly="0" labelOnly="1" outline="0" axis="axisValues" fieldPosition="0"/>
    </format>
    <format dxfId="637">
      <pivotArea field="2" type="button" dataOnly="0" labelOnly="1" outline="0"/>
    </format>
    <format dxfId="636">
      <pivotArea dataOnly="0" labelOnly="1" outline="0" axis="axisValues" fieldPosition="0"/>
    </format>
    <format dxfId="635">
      <pivotArea type="all" dataOnly="0" outline="0" fieldPosition="0"/>
    </format>
    <format dxfId="634">
      <pivotArea outline="0" collapsedLevelsAreSubtotals="1" fieldPosition="0"/>
    </format>
    <format dxfId="633">
      <pivotArea field="2" type="button" dataOnly="0" labelOnly="1" outline="0"/>
    </format>
    <format dxfId="632">
      <pivotArea dataOnly="0" labelOnly="1" grandRow="1" outline="0" fieldPosition="0"/>
    </format>
    <format dxfId="631">
      <pivotArea dataOnly="0" labelOnly="1" outline="0" axis="axisValues" fieldPosition="0"/>
    </format>
    <format dxfId="630">
      <pivotArea type="all" dataOnly="0" outline="0" fieldPosition="0"/>
    </format>
    <format dxfId="629">
      <pivotArea outline="0" collapsedLevelsAreSubtotals="1" fieldPosition="0"/>
    </format>
    <format dxfId="628">
      <pivotArea field="2" type="button" dataOnly="0" labelOnly="1" outline="0"/>
    </format>
    <format dxfId="627">
      <pivotArea dataOnly="0" labelOnly="1" grandRow="1" outline="0" fieldPosition="0"/>
    </format>
    <format dxfId="626">
      <pivotArea dataOnly="0" labelOnly="1" outline="0" axis="axisValues" fieldPosition="0"/>
    </format>
    <format dxfId="625">
      <pivotArea type="all" dataOnly="0" outline="0" fieldPosition="0"/>
    </format>
    <format dxfId="624">
      <pivotArea type="origin" dataOnly="0" labelOnly="1" outline="0" offset="A1" fieldPosition="0"/>
    </format>
    <format dxfId="623">
      <pivotArea field="7" type="button" dataOnly="0" labelOnly="1" outline="0" axis="axisCol" fieldPosition="0"/>
    </format>
    <format dxfId="622">
      <pivotArea type="topRight" dataOnly="0" labelOnly="1" outline="0" fieldPosition="0"/>
    </format>
    <format dxfId="621">
      <pivotArea type="origin" dataOnly="0" labelOnly="1" outline="0" offset="A2" fieldPosition="0"/>
    </format>
    <format dxfId="620">
      <pivotArea dataOnly="0" labelOnly="1" fieldPosition="0">
        <references count="1">
          <reference field="7" count="0"/>
        </references>
      </pivotArea>
    </format>
    <format dxfId="619">
      <pivotArea dataOnly="0" labelOnly="1" grandCol="1" outline="0" fieldPosition="0"/>
    </format>
    <format dxfId="618">
      <pivotArea outline="0" collapsedLevelsAreSubtotals="1" fieldPosition="0"/>
    </format>
    <format dxfId="617">
      <pivotArea dataOnly="0" labelOnly="1" outline="0" axis="axisValues" fieldPosition="0"/>
    </format>
    <format dxfId="616">
      <pivotArea type="all" dataOnly="0" outline="0" fieldPosition="0"/>
    </format>
    <format dxfId="615">
      <pivotArea outline="0" collapsedLevelsAreSubtotals="1" fieldPosition="0"/>
    </format>
    <format dxfId="614">
      <pivotArea type="origin" dataOnly="0" labelOnly="1" outline="0" offset="A1" fieldPosition="0"/>
    </format>
    <format dxfId="613">
      <pivotArea dataOnly="0" labelOnly="1" outline="0" axis="axisValues" fieldPosition="0"/>
    </format>
    <format dxfId="612">
      <pivotArea field="7" type="button" dataOnly="0" labelOnly="1" outline="0" axis="axisCol" fieldPosition="0"/>
    </format>
    <format dxfId="611">
      <pivotArea type="topRight" dataOnly="0" labelOnly="1" outline="0" fieldPosition="0"/>
    </format>
    <format dxfId="610">
      <pivotArea type="origin" dataOnly="0" labelOnly="1" outline="0" offset="A2" fieldPosition="0"/>
    </format>
    <format dxfId="609">
      <pivotArea dataOnly="0" labelOnly="1" fieldPosition="0">
        <references count="1">
          <reference field="7" count="0"/>
        </references>
      </pivotArea>
    </format>
    <format dxfId="60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A7EFC-3BB9-42AB-89D3-2FFAEE83E322}" name="ASSINATURA E VALOR TOTAL E DESCONT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 rowHeaderCaption="Total de assinaturas">
  <location ref="A18:E22" firstHeaderRow="0" firstDataRow="1" firstDataCol="1" rowPageCount="1" colPageCount="1"/>
  <pivotFields count="16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dataField="1" numFmtId="44" showAll="0"/>
    <pivotField dataField="1"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4" hier="-1"/>
  </pageFields>
  <dataFields count="4">
    <dataField name="Quantidade Subscriber ID" fld="0" subtotal="count" baseField="2" baseItem="0"/>
    <dataField name="Valor Coupon Value" fld="11" baseField="0" baseItem="0" numFmtId="164"/>
    <dataField name="Total Valor" fld="12" baseField="0" baseItem="0" numFmtId="164"/>
    <dataField name="Soma de Subscription stacking" fld="13" baseField="0" baseItem="0"/>
  </dataFields>
  <formats count="26">
    <format dxfId="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9">
      <pivotArea field="2" type="button" dataOnly="0" labelOnly="1" outline="0" axis="axisRow" fieldPosition="0"/>
    </format>
    <format dxfId="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1">
      <pivotArea field="2" type="button" dataOnly="0" labelOnly="1" outline="0" axis="axisRow" fieldPosition="0"/>
    </format>
    <format dxfId="8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">
      <pivotArea field="2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">
      <pivotArea field="2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">
      <pivotArea dataOnly="0" grandRow="1" fieldPosition="0"/>
    </format>
    <format dxfId="88">
      <pivotArea dataOnly="0" grandRow="1" fieldPosition="0"/>
    </format>
    <format dxfId="89">
      <pivotArea dataOnly="0" fieldPosition="0">
        <references count="1">
          <reference field="2" count="0"/>
        </references>
      </pivotArea>
    </format>
    <format dxfId="90">
      <pivotArea dataOnly="0" fieldPosition="0">
        <references count="1">
          <reference field="2" count="0"/>
        </references>
      </pivotArea>
    </format>
    <format dxfId="91">
      <pivotArea dataOnly="0" fieldPosition="0">
        <references count="1">
          <reference field="2" count="0"/>
        </references>
      </pivotArea>
    </format>
    <format dxfId="92">
      <pivotArea outline="0" collapsedLevelsAreSubtotals="1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4">
      <pivotArea field="2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6">
      <pivotArea type="all" dataOnly="0" outline="0" fieldPosition="0"/>
    </format>
    <format dxfId="97">
      <pivotArea outline="0" collapsedLevelsAreSubtotals="1" fieldPosition="0"/>
    </format>
    <format dxfId="98">
      <pivotArea field="2" type="button" dataOnly="0" labelOnly="1" outline="0" axis="axisRow" fieldPosition="0"/>
    </format>
    <format dxfId="99">
      <pivotArea dataOnly="0" labelOnly="1" fieldPosition="0">
        <references count="1">
          <reference field="2" count="0"/>
        </references>
      </pivotArea>
    </format>
    <format dxfId="100">
      <pivotArea dataOnly="0" labelOnly="1" grandRow="1" outline="0" fieldPosition="0"/>
    </format>
    <format dxfId="1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81817-3150-443C-A365-7CC87C5E1A65}" name="TICKET MEDIO XBOX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93:B97" firstHeaderRow="1" firstDataRow="1" firstDataCol="1" rowPageCount="1" colPageCount="1"/>
  <pivotFields count="16">
    <pivotField showAll="0" countASubtotal="1">
      <items count="296"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70"/>
        <item x="71"/>
        <item x="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5"/>
        <item x="115"/>
        <item x="116"/>
        <item x="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7"/>
        <item x="141"/>
        <item x="8"/>
        <item x="142"/>
        <item x="143"/>
        <item x="144"/>
        <item x="145"/>
        <item x="146"/>
        <item x="147"/>
        <item x="148"/>
        <item x="9"/>
        <item x="149"/>
        <item x="150"/>
        <item x="10"/>
        <item x="11"/>
        <item x="151"/>
        <item x="152"/>
        <item x="153"/>
        <item x="154"/>
        <item x="155"/>
        <item x="156"/>
        <item x="157"/>
        <item x="158"/>
        <item x="12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3"/>
        <item x="177"/>
        <item x="178"/>
        <item x="179"/>
        <item x="180"/>
        <item x="181"/>
        <item x="14"/>
        <item x="182"/>
        <item x="183"/>
        <item x="184"/>
        <item x="1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6"/>
        <item x="198"/>
        <item x="199"/>
        <item x="200"/>
        <item x="201"/>
        <item x="202"/>
        <item x="17"/>
        <item x="203"/>
        <item x="204"/>
        <item x="18"/>
        <item x="205"/>
        <item x="19"/>
        <item x="206"/>
        <item x="20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1"/>
        <item x="223"/>
        <item x="224"/>
        <item x="225"/>
        <item x="226"/>
        <item x="227"/>
        <item x="228"/>
        <item x="22"/>
        <item x="23"/>
        <item x="229"/>
        <item x="230"/>
        <item x="231"/>
        <item x="232"/>
        <item x="233"/>
        <item x="234"/>
        <item x="2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7"/>
        <item x="28"/>
        <item x="29"/>
        <item x="287"/>
        <item x="288"/>
        <item x="289"/>
        <item x="290"/>
        <item x="291"/>
        <item x="292"/>
        <item x="293"/>
        <item x="294"/>
        <item t="countA"/>
      </items>
    </pivotField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dataField="1" numFmtId="44" showAll="0">
      <items count="4"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 countASubtotal="1">
      <items count="3">
        <item n="Minecraft Não" sd="0" x="1"/>
        <item n="Manicraft Sim" sd="0" x="0"/>
        <item t="countA"/>
      </items>
    </pivotField>
    <pivotField numFmtId="44" showAll="0"/>
    <pivotField numFmtId="44" showAll="0"/>
    <pivotField numFmtId="44" showAll="0"/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4" hier="-1"/>
  </pageFields>
  <dataFields count="1">
    <dataField name="Média de Subscription Price" fld="5" subtotal="average" baseField="0" baseItem="1" numFmtId="164"/>
  </dataFields>
  <formats count="21">
    <format dxfId="664">
      <pivotArea type="all" dataOnly="0" outline="0" fieldPosition="0"/>
    </format>
    <format dxfId="663">
      <pivotArea type="all" dataOnly="0" outline="0" fieldPosition="0"/>
    </format>
    <format dxfId="662">
      <pivotArea field="2" type="button" dataOnly="0" labelOnly="1" outline="0"/>
    </format>
    <format dxfId="661">
      <pivotArea dataOnly="0" labelOnly="1" outline="0" axis="axisValues" fieldPosition="0"/>
    </format>
    <format dxfId="660">
      <pivotArea field="2" type="button" dataOnly="0" labelOnly="1" outline="0"/>
    </format>
    <format dxfId="659">
      <pivotArea dataOnly="0" labelOnly="1" outline="0" axis="axisValues" fieldPosition="0"/>
    </format>
    <format dxfId="658">
      <pivotArea field="2" type="button" dataOnly="0" labelOnly="1" outline="0"/>
    </format>
    <format dxfId="657">
      <pivotArea dataOnly="0" labelOnly="1" outline="0" axis="axisValues" fieldPosition="0"/>
    </format>
    <format dxfId="656">
      <pivotArea type="all" dataOnly="0" outline="0" fieldPosition="0"/>
    </format>
    <format dxfId="655">
      <pivotArea outline="0" collapsedLevelsAreSubtotals="1" fieldPosition="0"/>
    </format>
    <format dxfId="654">
      <pivotArea field="2" type="button" dataOnly="0" labelOnly="1" outline="0"/>
    </format>
    <format dxfId="653">
      <pivotArea dataOnly="0" labelOnly="1" grandRow="1" outline="0" fieldPosition="0"/>
    </format>
    <format dxfId="652">
      <pivotArea dataOnly="0" labelOnly="1" outline="0" axis="axisValues" fieldPosition="0"/>
    </format>
    <format dxfId="651">
      <pivotArea type="all" dataOnly="0" outline="0" fieldPosition="0"/>
    </format>
    <format dxfId="650">
      <pivotArea outline="0" collapsedLevelsAreSubtotals="1" fieldPosition="0"/>
    </format>
    <format dxfId="649">
      <pivotArea field="2" type="button" dataOnly="0" labelOnly="1" outline="0"/>
    </format>
    <format dxfId="648">
      <pivotArea dataOnly="0" labelOnly="1" grandRow="1" outline="0" fieldPosition="0"/>
    </format>
    <format dxfId="647">
      <pivotArea dataOnly="0" labelOnly="1" outline="0" axis="axisValues" fieldPosition="0"/>
    </format>
    <format dxfId="646">
      <pivotArea type="all" dataOnly="0" outline="0" fieldPosition="0"/>
    </format>
    <format dxfId="645">
      <pivotArea outline="0" collapsedLevelsAreSubtotals="1" fieldPosition="0"/>
    </format>
    <format dxfId="6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6BA8E-5D34-4B9F-96FF-1D08182F1D72}" name="ASSINATURA  MANICRAFT SEASON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124:D126" firstHeaderRow="1" firstDataRow="2" firstDataCol="1" rowPageCount="1" colPageCount="1"/>
  <pivotFields count="16">
    <pivotField showAll="0" countASubtotal="1"/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showAll="0"/>
    <pivotField showAll="0">
      <items count="3">
        <item x="1"/>
        <item x="0"/>
        <item t="default"/>
      </items>
    </pivotField>
    <pivotField showAll="0"/>
    <pivotField axis="axisCol" showAll="0" countASubtotal="1">
      <items count="3">
        <item n="Não Assinante" sd="0" x="1"/>
        <item n="Assinante" sd="0" x="0"/>
        <item t="countA"/>
      </items>
    </pivotField>
    <pivotField numFmtId="44" showAll="0"/>
    <pivotField numFmtId="44" showAll="0"/>
    <pivotField numFmtId="44" showAll="0"/>
    <pivotField dataField="1"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Items count="1">
    <i/>
  </rowItems>
  <colFields count="1">
    <field x="9"/>
  </colFields>
  <colItems count="3">
    <i>
      <x/>
    </i>
    <i>
      <x v="1"/>
    </i>
    <i t="grand">
      <x/>
    </i>
  </colItems>
  <pageFields count="1">
    <pageField fld="14" hier="-1"/>
  </pageFields>
  <dataFields count="1">
    <dataField name="Assinatura Total" fld="13" subtotal="count" baseField="9" baseItem="1"/>
  </dataFields>
  <formats count="36">
    <format dxfId="289">
      <pivotArea type="all" dataOnly="0" outline="0" fieldPosition="0"/>
    </format>
    <format dxfId="288">
      <pivotArea type="all" dataOnly="0" outline="0" fieldPosition="0"/>
    </format>
    <format dxfId="287">
      <pivotArea field="2" type="button" dataOnly="0" labelOnly="1" outline="0"/>
    </format>
    <format dxfId="286">
      <pivotArea dataOnly="0" labelOnly="1" outline="0" axis="axisValues" fieldPosition="0"/>
    </format>
    <format dxfId="285">
      <pivotArea field="2" type="button" dataOnly="0" labelOnly="1" outline="0"/>
    </format>
    <format dxfId="284">
      <pivotArea dataOnly="0" labelOnly="1" outline="0" axis="axisValues" fieldPosition="0"/>
    </format>
    <format dxfId="283">
      <pivotArea field="2" type="button" dataOnly="0" labelOnly="1" outline="0"/>
    </format>
    <format dxfId="282">
      <pivotArea dataOnly="0" labelOnly="1" outline="0" axis="axisValues" fieldPosition="0"/>
    </format>
    <format dxfId="281">
      <pivotArea type="all" dataOnly="0" outline="0" fieldPosition="0"/>
    </format>
    <format dxfId="280">
      <pivotArea outline="0" collapsedLevelsAreSubtotals="1" fieldPosition="0"/>
    </format>
    <format dxfId="279">
      <pivotArea field="2" type="button" dataOnly="0" labelOnly="1" outline="0"/>
    </format>
    <format dxfId="278">
      <pivotArea dataOnly="0" labelOnly="1" grandRow="1" outline="0" fieldPosition="0"/>
    </format>
    <format dxfId="277">
      <pivotArea dataOnly="0" labelOnly="1" outline="0" axis="axisValues" fieldPosition="0"/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field="2" type="button" dataOnly="0" labelOnly="1" outline="0"/>
    </format>
    <format dxfId="273">
      <pivotArea dataOnly="0" labelOnly="1" grandRow="1" outline="0" fieldPosition="0"/>
    </format>
    <format dxfId="272">
      <pivotArea dataOnly="0" labelOnly="1" outline="0" axis="axisValues" fieldPosition="0"/>
    </format>
    <format dxfId="271">
      <pivotArea outline="0" collapsedLevelsAreSubtotals="1" fieldPosition="0"/>
    </format>
    <format dxfId="270">
      <pivotArea dataOnly="0" labelOnly="1" outline="0" axis="axisValues" fieldPosition="0"/>
    </format>
    <format dxfId="269">
      <pivotArea type="origin" dataOnly="0" labelOnly="1" outline="0" offset="A1" fieldPosition="0"/>
    </format>
    <format dxfId="268">
      <pivotArea field="9" type="button" dataOnly="0" labelOnly="1" outline="0" axis="axisCol" fieldPosition="0"/>
    </format>
    <format dxfId="267">
      <pivotArea type="topRight" dataOnly="0" labelOnly="1" outline="0" fieldPosition="0"/>
    </format>
    <format dxfId="266">
      <pivotArea type="origin" dataOnly="0" labelOnly="1" outline="0" offset="A2" fieldPosition="0"/>
    </format>
    <format dxfId="265">
      <pivotArea dataOnly="0" labelOnly="1" fieldPosition="0">
        <references count="1">
          <reference field="9" count="0"/>
        </references>
      </pivotArea>
    </format>
    <format dxfId="264">
      <pivotArea dataOnly="0" labelOnly="1" grandCol="1" outline="0" fieldPosition="0"/>
    </format>
    <format dxfId="263">
      <pivotArea dataOnly="0" labelOnly="1" fieldPosition="0">
        <references count="1">
          <reference field="9" count="1">
            <x v="1"/>
          </reference>
        </references>
      </pivotArea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type="origin" dataOnly="0" labelOnly="1" outline="0" offset="A1" fieldPosition="0"/>
    </format>
    <format dxfId="259">
      <pivotArea dataOnly="0" labelOnly="1" outline="0" axis="axisValues" fieldPosition="0"/>
    </format>
    <format dxfId="258">
      <pivotArea field="9" type="button" dataOnly="0" labelOnly="1" outline="0" axis="axisCol" fieldPosition="0"/>
    </format>
    <format dxfId="257">
      <pivotArea type="topRight" dataOnly="0" labelOnly="1" outline="0" fieldPosition="0"/>
    </format>
    <format dxfId="256">
      <pivotArea type="origin" dataOnly="0" labelOnly="1" outline="0" offset="A2" fieldPosition="0"/>
    </format>
    <format dxfId="255">
      <pivotArea dataOnly="0" labelOnly="1" fieldPosition="0">
        <references count="1">
          <reference field="9" count="0"/>
        </references>
      </pivotArea>
    </format>
    <format dxfId="25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8E918-77CB-4F3F-9111-8AC3FE444FBF}" name="VALOR E INSCRIÇÃO TOTAIS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chartFormat="10" rowHeaderCaption="Planos" colHeaderCaption="">
  <location ref="A72:B73" firstHeaderRow="0" firstDataRow="1" firstDataCol="0" rowPageCount="1" colPageCount="1"/>
  <pivotFields count="16">
    <pivotField showAll="0" countASubtotal="1"/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 countASubtotal="1"/>
    <pivotField numFmtId="44" showAll="0"/>
    <pivotField numFmtId="44" showAll="0"/>
    <pivotField dataField="1" numFmtId="44" showAll="0"/>
    <pivotField dataField="1" showAll="0"/>
    <pivotField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Subscription stacking" fld="13" baseField="0" baseItem="0"/>
    <dataField name="Soma de Total Value" fld="12" baseField="0" baseItem="0" numFmtId="164"/>
  </dataFields>
  <formats count="21">
    <format dxfId="0">
      <pivotArea type="all" dataOnly="0" outline="0" fieldPosition="0"/>
    </format>
    <format dxfId="1">
      <pivotArea type="all" dataOnly="0" outline="0" fieldPosition="0"/>
    </format>
    <format dxfId="2">
      <pivotArea field="2" type="button" dataOnly="0" labelOnly="1" outline="0"/>
    </format>
    <format dxfId="3">
      <pivotArea dataOnly="0" labelOnly="1" outline="0" axis="axisValues" fieldPosition="0"/>
    </format>
    <format dxfId="4">
      <pivotArea field="2" type="button" dataOnly="0" labelOnly="1" outline="0"/>
    </format>
    <format dxfId="5">
      <pivotArea dataOnly="0" labelOnly="1" outline="0" axis="axisValues" fieldPosition="0"/>
    </format>
    <format dxfId="6">
      <pivotArea field="2" type="button" dataOnly="0" labelOnly="1" outline="0"/>
    </format>
    <format dxfId="7">
      <pivotArea dataOnly="0" labelOnly="1" outline="0" axis="axisValues" fieldPosition="0"/>
    </format>
    <format dxfId="8">
      <pivotArea type="all" dataOnly="0" outline="0" fieldPosition="0"/>
    </format>
    <format dxfId="9">
      <pivotArea field="2" type="button" dataOnly="0" labelOnly="1" outline="0"/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field="2" type="button" dataOnly="0" labelOnly="1" outline="0"/>
    </format>
    <format dxfId="14">
      <pivotArea dataOnly="0" labelOnly="1" grandRow="1" outline="0" fieldPosition="0"/>
    </format>
    <format dxfId="15">
      <pivotArea dataOnly="0" labelOnly="1" outline="0" axis="axisValues" fieldPosition="0"/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539CA-6519-4261-8E50-F2A5322A53C8}" name="RELAÇÃO TIPOS DE INSCRIÇAO X TIPOS DE PLANO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Tipos de Planos" colHeaderCaption="">
  <location ref="A106:I112" firstHeaderRow="1" firstDataRow="3" firstDataCol="1"/>
  <pivotFields count="16"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Quantidade" fld="2" subtotal="count" baseField="2" baseItem="0"/>
    <dataField name="Valor" fld="12" baseField="0" baseItem="0"/>
  </dataFields>
  <formats count="73">
    <format dxfId="362">
      <pivotArea type="all" dataOnly="0" outline="0" fieldPosition="0"/>
    </format>
    <format dxfId="361">
      <pivotArea outline="0" collapsedLevelsAreSubtotals="1" fieldPosition="0"/>
    </format>
    <format dxfId="360">
      <pivotArea dataOnly="0" labelOnly="1" outline="0" axis="axisValues" fieldPosition="0"/>
    </format>
    <format dxfId="359">
      <pivotArea outline="0" collapsedLevelsAreSubtotals="1" fieldPosition="0"/>
    </format>
    <format dxfId="358">
      <pivotArea dataOnly="0" labelOnly="1" outline="0" axis="axisValues" fieldPosition="0"/>
    </format>
    <format dxfId="357">
      <pivotArea outline="0" collapsedLevelsAreSubtotals="1" fieldPosition="0"/>
    </format>
    <format dxfId="356">
      <pivotArea dataOnly="0" labelOnly="1" outline="0" axis="axisValues" fieldPosition="0"/>
    </format>
    <format dxfId="355">
      <pivotArea type="all" dataOnly="0" outline="0" fieldPosition="0"/>
    </format>
    <format dxfId="354">
      <pivotArea type="origin" dataOnly="0" labelOnly="1" outline="0" fieldPosition="0"/>
    </format>
    <format dxfId="353">
      <pivotArea field="2" type="button" dataOnly="0" labelOnly="1" outline="0" axis="axisCol" fieldPosition="0"/>
    </format>
    <format dxfId="352">
      <pivotArea type="topRight" dataOnly="0" labelOnly="1" outline="0" fieldPosition="0"/>
    </format>
    <format dxfId="351">
      <pivotArea field="6" type="button" dataOnly="0" labelOnly="1" outline="0" axis="axisRow" fieldPosition="0"/>
    </format>
    <format dxfId="350">
      <pivotArea dataOnly="0" labelOnly="1" grandRow="1" outline="0" fieldPosition="0"/>
    </format>
    <format dxfId="349">
      <pivotArea dataOnly="0" labelOnly="1" fieldPosition="0">
        <references count="1">
          <reference field="2" count="0"/>
        </references>
      </pivotArea>
    </format>
    <format dxfId="348">
      <pivotArea dataOnly="0" labelOnly="1" grandCol="1" outline="0" fieldPosition="0"/>
    </format>
    <format dxfId="347">
      <pivotArea type="origin" dataOnly="0" labelOnly="1" outline="0" fieldPosition="0"/>
    </format>
    <format dxfId="346">
      <pivotArea field="2" type="button" dataOnly="0" labelOnly="1" outline="0" axis="axisCol" fieldPosition="0"/>
    </format>
    <format dxfId="345">
      <pivotArea type="topRight" dataOnly="0" labelOnly="1" outline="0" fieldPosition="0"/>
    </format>
    <format dxfId="344">
      <pivotArea field="6" type="button" dataOnly="0" labelOnly="1" outline="0" axis="axisRow" fieldPosition="0"/>
    </format>
    <format dxfId="343">
      <pivotArea dataOnly="0" labelOnly="1" fieldPosition="0">
        <references count="1">
          <reference field="2" count="0"/>
        </references>
      </pivotArea>
    </format>
    <format dxfId="342">
      <pivotArea dataOnly="0" labelOnly="1" grandCol="1" outline="0" fieldPosition="0"/>
    </format>
    <format dxfId="341">
      <pivotArea grandRow="1" outline="0" collapsedLevelsAreSubtotals="1" fieldPosition="0"/>
    </format>
    <format dxfId="340">
      <pivotArea dataOnly="0" labelOnly="1" grandRow="1" outline="0" fieldPosition="0"/>
    </format>
    <format dxfId="339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6" count="0"/>
        </references>
      </pivotArea>
    </format>
    <format dxfId="338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337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336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335">
      <pivotArea field="2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33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33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33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331">
      <pivotArea dataOnly="0" labelOnly="1" fieldPosition="0">
        <references count="1">
          <reference field="2" count="1">
            <x v="0"/>
          </reference>
        </references>
      </pivotArea>
    </format>
    <format dxfId="33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329">
      <pivotArea dataOnly="0" labelOnly="1" fieldPosition="0">
        <references count="1">
          <reference field="2" count="1">
            <x v="1"/>
          </reference>
        </references>
      </pivotArea>
    </format>
    <format dxfId="328">
      <pivotArea dataOnly="0" labelOnly="1" fieldPosition="0">
        <references count="1">
          <reference field="2" count="1">
            <x v="2"/>
          </reference>
        </references>
      </pivotArea>
    </format>
    <format dxfId="327">
      <pivotArea dataOnly="0" labelOnly="1" outline="0" fieldPosition="0">
        <references count="2">
          <reference field="4294967294" count="1">
            <x v="1"/>
          </reference>
          <reference field="2" count="1" selected="0">
            <x v="0"/>
          </reference>
        </references>
      </pivotArea>
    </format>
    <format dxfId="326">
      <pivotArea dataOnly="0" labelOnly="1" outline="0" fieldPosition="0">
        <references count="2">
          <reference field="4294967294" count="1">
            <x v="1"/>
          </reference>
          <reference field="2" count="1" selected="0">
            <x v="1"/>
          </reference>
        </references>
      </pivotArea>
    </format>
    <format dxfId="325">
      <pivotArea dataOnly="0" labelOnly="1" outline="0" fieldPosition="0">
        <references count="2">
          <reference field="4294967294" count="1">
            <x v="1"/>
          </reference>
          <reference field="2" count="1" selected="0">
            <x v="2"/>
          </reference>
        </references>
      </pivotArea>
    </format>
    <format dxfId="324">
      <pivotArea dataOnly="0" labelOnly="1" fieldPosition="0">
        <references count="1">
          <reference field="2" count="1">
            <x v="1"/>
          </reference>
        </references>
      </pivotArea>
    </format>
    <format dxfId="323">
      <pivotArea dataOnly="0" labelOnly="1" fieldPosition="0">
        <references count="1">
          <reference field="2" count="1">
            <x v="2"/>
          </reference>
        </references>
      </pivotArea>
    </format>
    <format dxfId="322">
      <pivotArea field="-2" type="button" dataOnly="0" labelOnly="1" outline="0" axis="axisCol" fieldPosition="1"/>
    </format>
    <format dxfId="321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0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19">
      <pivotArea dataOnly="0" labelOnly="1" fieldPosition="0">
        <references count="1">
          <reference field="2" count="1">
            <x v="2"/>
          </reference>
        </references>
      </pivotArea>
    </format>
    <format dxfId="318">
      <pivotArea dataOnly="0" labelOnly="1" fieldPosition="0">
        <references count="1">
          <reference field="2" count="1">
            <x v="1"/>
          </reference>
        </references>
      </pivotArea>
    </format>
    <format dxfId="317">
      <pivotArea dataOnly="0" labelOnly="1" fieldPosition="0">
        <references count="1">
          <reference field="2" count="1">
            <x v="0"/>
          </reference>
        </references>
      </pivotArea>
    </format>
    <format dxfId="316">
      <pivotArea type="all" dataOnly="0" outline="0" fieldPosition="0"/>
    </format>
    <format dxfId="315">
      <pivotArea outline="0" collapsedLevelsAreSubtotals="1" fieldPosition="0"/>
    </format>
    <format dxfId="314">
      <pivotArea type="origin" dataOnly="0" labelOnly="1" outline="0" fieldPosition="0"/>
    </format>
    <format dxfId="313">
      <pivotArea field="2" type="button" dataOnly="0" labelOnly="1" outline="0" axis="axisCol" fieldPosition="0"/>
    </format>
    <format dxfId="312">
      <pivotArea field="-2" type="button" dataOnly="0" labelOnly="1" outline="0" axis="axisCol" fieldPosition="1"/>
    </format>
    <format dxfId="311">
      <pivotArea type="topRight" dataOnly="0" labelOnly="1" outline="0" fieldPosition="0"/>
    </format>
    <format dxfId="310">
      <pivotArea field="6" type="button" dataOnly="0" labelOnly="1" outline="0" axis="axisRow" fieldPosition="0"/>
    </format>
    <format dxfId="309">
      <pivotArea dataOnly="0" labelOnly="1" fieldPosition="0">
        <references count="1">
          <reference field="6" count="0"/>
        </references>
      </pivotArea>
    </format>
    <format dxfId="308">
      <pivotArea dataOnly="0" labelOnly="1" grandRow="1" outline="0" fieldPosition="0"/>
    </format>
    <format dxfId="307">
      <pivotArea dataOnly="0" labelOnly="1" fieldPosition="0">
        <references count="1">
          <reference field="2" count="0"/>
        </references>
      </pivotArea>
    </format>
    <format dxfId="306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05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30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30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301">
      <pivotArea type="origin" dataOnly="0" labelOnly="1" outline="0" fieldPosition="0"/>
    </format>
    <format dxfId="300">
      <pivotArea field="2" type="button" dataOnly="0" labelOnly="1" outline="0" axis="axisCol" fieldPosition="0"/>
    </format>
    <format dxfId="299">
      <pivotArea field="-2" type="button" dataOnly="0" labelOnly="1" outline="0" axis="axisCol" fieldPosition="1"/>
    </format>
    <format dxfId="298">
      <pivotArea type="topRight" dataOnly="0" labelOnly="1" outline="0" fieldPosition="0"/>
    </format>
    <format dxfId="297">
      <pivotArea field="6" type="button" dataOnly="0" labelOnly="1" outline="0" axis="axisRow" fieldPosition="0"/>
    </format>
    <format dxfId="296">
      <pivotArea dataOnly="0" labelOnly="1" fieldPosition="0">
        <references count="1">
          <reference field="2" count="0"/>
        </references>
      </pivotArea>
    </format>
    <format dxfId="295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94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9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9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29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290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850BD-75F4-440A-A320-E469D7BD9D63}" name="TICKET MEDIO MINECRAFT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100:B103" firstHeaderRow="1" firstDataRow="1" firstDataCol="1"/>
  <pivotFields count="16">
    <pivotField showAll="0" countASubtotal="1">
      <items count="296"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70"/>
        <item x="71"/>
        <item x="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5"/>
        <item x="115"/>
        <item x="116"/>
        <item x="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7"/>
        <item x="141"/>
        <item x="8"/>
        <item x="142"/>
        <item x="143"/>
        <item x="144"/>
        <item x="145"/>
        <item x="146"/>
        <item x="147"/>
        <item x="148"/>
        <item x="9"/>
        <item x="149"/>
        <item x="150"/>
        <item x="10"/>
        <item x="11"/>
        <item x="151"/>
        <item x="152"/>
        <item x="153"/>
        <item x="154"/>
        <item x="155"/>
        <item x="156"/>
        <item x="157"/>
        <item x="158"/>
        <item x="12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3"/>
        <item x="177"/>
        <item x="178"/>
        <item x="179"/>
        <item x="180"/>
        <item x="181"/>
        <item x="14"/>
        <item x="182"/>
        <item x="183"/>
        <item x="184"/>
        <item x="1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6"/>
        <item x="198"/>
        <item x="199"/>
        <item x="200"/>
        <item x="201"/>
        <item x="202"/>
        <item x="17"/>
        <item x="203"/>
        <item x="204"/>
        <item x="18"/>
        <item x="205"/>
        <item x="19"/>
        <item x="206"/>
        <item x="20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1"/>
        <item x="223"/>
        <item x="224"/>
        <item x="225"/>
        <item x="226"/>
        <item x="227"/>
        <item x="228"/>
        <item x="22"/>
        <item x="23"/>
        <item x="229"/>
        <item x="230"/>
        <item x="231"/>
        <item x="232"/>
        <item x="233"/>
        <item x="234"/>
        <item x="2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7"/>
        <item x="28"/>
        <item x="29"/>
        <item x="287"/>
        <item x="288"/>
        <item x="289"/>
        <item x="290"/>
        <item x="291"/>
        <item x="292"/>
        <item x="293"/>
        <item x="294"/>
        <item t="countA"/>
      </items>
    </pivotField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>
      <items count="4">
        <item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 countASubtotal="1">
      <items count="3">
        <item n="Minecraft Não" sd="0" x="1"/>
        <item n="Manicraft Sim" sd="0" x="0"/>
        <item t="countA"/>
      </items>
    </pivotField>
    <pivotField dataField="1" numFmtId="44" showAll="0"/>
    <pivotField numFmtId="44" showAll="0"/>
    <pivotField numFmtId="44" showAll="0"/>
    <pivotField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Média de Minecraft Season Pass Price" fld="10" subtotal="average" baseField="0" baseItem="9"/>
  </dataFields>
  <formats count="22">
    <format dxfId="384">
      <pivotArea type="all" dataOnly="0" outline="0" fieldPosition="0"/>
    </format>
    <format dxfId="383">
      <pivotArea type="all" dataOnly="0" outline="0" fieldPosition="0"/>
    </format>
    <format dxfId="382">
      <pivotArea field="2" type="button" dataOnly="0" labelOnly="1" outline="0"/>
    </format>
    <format dxfId="381">
      <pivotArea dataOnly="0" labelOnly="1" outline="0" axis="axisValues" fieldPosition="0"/>
    </format>
    <format dxfId="380">
      <pivotArea field="2" type="button" dataOnly="0" labelOnly="1" outline="0"/>
    </format>
    <format dxfId="379">
      <pivotArea dataOnly="0" labelOnly="1" outline="0" axis="axisValues" fieldPosition="0"/>
    </format>
    <format dxfId="378">
      <pivotArea field="2" type="button" dataOnly="0" labelOnly="1" outline="0"/>
    </format>
    <format dxfId="377">
      <pivotArea dataOnly="0" labelOnly="1" outline="0" axis="axisValues" fieldPosition="0"/>
    </format>
    <format dxfId="376">
      <pivotArea type="all" dataOnly="0" outline="0" fieldPosition="0"/>
    </format>
    <format dxfId="375">
      <pivotArea outline="0" collapsedLevelsAreSubtotals="1" fieldPosition="0"/>
    </format>
    <format dxfId="374">
      <pivotArea field="2" type="button" dataOnly="0" labelOnly="1" outline="0"/>
    </format>
    <format dxfId="373">
      <pivotArea dataOnly="0" labelOnly="1" grandRow="1" outline="0" fieldPosition="0"/>
    </format>
    <format dxfId="372">
      <pivotArea dataOnly="0" labelOnly="1" outline="0" axis="axisValues" fieldPosition="0"/>
    </format>
    <format dxfId="371">
      <pivotArea type="all" dataOnly="0" outline="0" fieldPosition="0"/>
    </format>
    <format dxfId="370">
      <pivotArea outline="0" collapsedLevelsAreSubtotals="1" fieldPosition="0"/>
    </format>
    <format dxfId="369">
      <pivotArea field="2" type="button" dataOnly="0" labelOnly="1" outline="0"/>
    </format>
    <format dxfId="368">
      <pivotArea dataOnly="0" labelOnly="1" grandRow="1" outline="0" fieldPosition="0"/>
    </format>
    <format dxfId="367">
      <pivotArea dataOnly="0" labelOnly="1" outline="0" axis="axisValues" fieldPosition="0"/>
    </format>
    <format dxfId="366">
      <pivotArea type="all" dataOnly="0" outline="0" fieldPosition="0"/>
    </format>
    <format dxfId="365">
      <pivotArea outline="0" collapsedLevelsAreSubtotals="1" fieldPosition="0"/>
    </format>
    <format dxfId="364">
      <pivotArea collapsedLevelsAreSubtotals="1" fieldPosition="0">
        <references count="1">
          <reference field="9" count="1">
            <x v="1"/>
          </reference>
        </references>
      </pivotArea>
    </format>
    <format dxfId="36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7E1B9-3C12-4139-A163-5FB81A00CB0D}" name="ASSINATURA, EA PLAY SEASON, MINECRAFT SEASON, CUPOM DE DESCONTO E PERCENTUAL DOS PLANO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Tipos de Planos" colHeaderCaption="">
  <location ref="A116:H120" firstHeaderRow="0" firstDataRow="1" firstDataCol="1"/>
  <pivotFields count="16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dataField="1"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dataField="1" numFmtId="44" showAll="0"/>
    <pivotField dataField="1" numFmtId="44" showAll="0"/>
    <pivotField dataField="1" numFmtId="44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Quantidade" fld="2" subtotal="count" baseField="2" baseItem="0"/>
    <dataField name="Inscrição" fld="5" baseField="0" baseItem="0" numFmtId="164"/>
    <dataField name="Total EA Play Season Pass" fld="8" baseField="2" baseItem="0" numFmtId="164"/>
    <dataField name="Preço Total Minecraft Season Pass" fld="10" baseField="0" baseItem="0" numFmtId="164"/>
    <dataField name="Total Desconto" fld="11" baseField="0" baseItem="0" numFmtId="164"/>
    <dataField name="Total dos Planos" fld="12" baseField="0" baseItem="0" numFmtId="164"/>
    <dataField name="Total Subscription stacking" fld="13" baseField="0" baseItem="0"/>
  </dataFields>
  <formats count="38">
    <format dxfId="422">
      <pivotArea type="all" dataOnly="0" outline="0" fieldPosition="0"/>
    </format>
    <format dxfId="421">
      <pivotArea outline="0" collapsedLevelsAreSubtotals="1" fieldPosition="0"/>
    </format>
    <format dxfId="420">
      <pivotArea field="2" type="button" dataOnly="0" labelOnly="1" outline="0" axis="axisRow" fieldPosition="0"/>
    </format>
    <format dxfId="419">
      <pivotArea dataOnly="0" labelOnly="1" outline="0" axis="axisValues" fieldPosition="0"/>
    </format>
    <format dxfId="418">
      <pivotArea outline="0" collapsedLevelsAreSubtotals="1" fieldPosition="0"/>
    </format>
    <format dxfId="417">
      <pivotArea dataOnly="0" labelOnly="1" outline="0" axis="axisValues" fieldPosition="0"/>
    </format>
    <format dxfId="416">
      <pivotArea outline="0" collapsedLevelsAreSubtotals="1" fieldPosition="0"/>
    </format>
    <format dxfId="415">
      <pivotArea dataOnly="0" labelOnly="1" outline="0" axis="axisValues" fieldPosition="0"/>
    </format>
    <format dxfId="41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0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5">
      <pivotArea field="2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03">
      <pivotArea field="2" dataOnly="0" grandRow="1" axis="axisRow" fieldPosition="0">
        <references count="1">
          <reference field="2" count="0"/>
        </references>
      </pivotArea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field="2" type="button" dataOnly="0" labelOnly="1" outline="0" axis="axisRow" fieldPosition="0"/>
    </format>
    <format dxfId="399">
      <pivotArea dataOnly="0" labelOnly="1" fieldPosition="0">
        <references count="1">
          <reference field="2" count="0"/>
        </references>
      </pivotArea>
    </format>
    <format dxfId="398">
      <pivotArea dataOnly="0" labelOnly="1" grandRow="1" outline="0" fieldPosition="0"/>
    </format>
    <format dxfId="39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9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95">
      <pivotArea field="2" type="button" dataOnly="0" labelOnly="1" outline="0" axis="axisRow" fieldPosition="0"/>
    </format>
    <format dxfId="3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3">
      <pivotArea type="all" dataOnly="0" outline="0" fieldPosition="0"/>
    </format>
    <format dxfId="392">
      <pivotArea outline="0" collapsedLevelsAreSubtotals="1" fieldPosition="0"/>
    </format>
    <format dxfId="391">
      <pivotArea field="2" type="button" dataOnly="0" labelOnly="1" outline="0" axis="axisRow" fieldPosition="0"/>
    </format>
    <format dxfId="390">
      <pivotArea dataOnly="0" labelOnly="1" fieldPosition="0">
        <references count="1">
          <reference field="2" count="0"/>
        </references>
      </pivotArea>
    </format>
    <format dxfId="389">
      <pivotArea dataOnly="0" labelOnly="1" grandRow="1" outline="0" fieldPosition="0"/>
    </format>
    <format dxfId="38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87">
      <pivotArea field="2" type="button" dataOnly="0" labelOnly="1" outline="0" axis="axisRow" fieldPosition="0"/>
    </format>
    <format dxfId="38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85">
      <pivotArea dataOnly="0" grandRow="1" axis="axisRow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E7586-B95C-4FBE-9947-9854BDEB33D8}" name="XBOX PASS ASSINATUR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XBOX Pass assinaturas">
  <location ref="A27:C31" firstHeaderRow="0" firstDataRow="1" firstDataCol="1" rowPageCount="1" colPageCount="1"/>
  <pivotFields count="16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dataField="1"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/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Quantidade Subscriber ID" fld="0" subtotal="count" baseField="2" baseItem="0"/>
    <dataField name="Valor Subscription" fld="5" baseField="0" baseItem="0" numFmtId="164"/>
  </dataFields>
  <formats count="8">
    <format dxfId="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">
      <pivotArea field="2" type="button" dataOnly="0" labelOnly="1" outline="0" axis="axisRow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dataOnly="0" grandRow="1" axis="axisRow" fieldPosition="0"/>
    </format>
    <format dxfId="62">
      <pivotArea outline="0" collapsedLevelsAreSubtotals="1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field="2" type="button" dataOnly="0" labelOnly="1" outline="0" axis="axisRow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43B55-0809-4BEA-802E-9457BB73E43A}" name="ASSINATURA XBOX PAS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nos" colHeaderCaption="">
  <location ref="A136:B137" firstHeaderRow="0" firstDataRow="1" firstDataCol="0" rowPageCount="1" colPageCount="1"/>
  <pivotFields count="16">
    <pivotField dataField="1" showAll="0" countASubtotal="1">
      <items count="296"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"/>
        <item x="65"/>
        <item x="66"/>
        <item x="67"/>
        <item x="68"/>
        <item x="69"/>
        <item x="70"/>
        <item x="71"/>
        <item x="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5"/>
        <item x="115"/>
        <item x="116"/>
        <item x="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7"/>
        <item x="141"/>
        <item x="8"/>
        <item x="142"/>
        <item x="143"/>
        <item x="144"/>
        <item x="145"/>
        <item x="146"/>
        <item x="147"/>
        <item x="148"/>
        <item x="9"/>
        <item x="149"/>
        <item x="150"/>
        <item x="10"/>
        <item x="11"/>
        <item x="151"/>
        <item x="152"/>
        <item x="153"/>
        <item x="154"/>
        <item x="155"/>
        <item x="156"/>
        <item x="157"/>
        <item x="158"/>
        <item x="12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3"/>
        <item x="177"/>
        <item x="178"/>
        <item x="179"/>
        <item x="180"/>
        <item x="181"/>
        <item x="14"/>
        <item x="182"/>
        <item x="183"/>
        <item x="184"/>
        <item x="1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6"/>
        <item x="198"/>
        <item x="199"/>
        <item x="200"/>
        <item x="201"/>
        <item x="202"/>
        <item x="17"/>
        <item x="203"/>
        <item x="204"/>
        <item x="18"/>
        <item x="205"/>
        <item x="19"/>
        <item x="206"/>
        <item x="20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1"/>
        <item x="223"/>
        <item x="224"/>
        <item x="225"/>
        <item x="226"/>
        <item x="227"/>
        <item x="228"/>
        <item x="22"/>
        <item x="23"/>
        <item x="229"/>
        <item x="230"/>
        <item x="231"/>
        <item x="232"/>
        <item x="233"/>
        <item x="234"/>
        <item x="2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6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7"/>
        <item x="28"/>
        <item x="29"/>
        <item x="287"/>
        <item x="288"/>
        <item x="289"/>
        <item x="290"/>
        <item x="291"/>
        <item x="292"/>
        <item x="293"/>
        <item x="294"/>
        <item t="countA"/>
      </items>
    </pivotField>
    <pivotField showAll="0"/>
    <pivotField showAll="0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numFmtId="44" showAll="0"/>
    <pivotField showAll="0"/>
    <pivotField showAll="0">
      <items count="3">
        <item x="1"/>
        <item x="0"/>
        <item t="default"/>
      </items>
    </pivotField>
    <pivotField showAll="0"/>
    <pivotField showAll="0" countASubtotal="1">
      <items count="3">
        <item n="Minecraft Não" sd="0" x="1"/>
        <item n="Manicraft Sim" sd="0" x="0"/>
        <item t="countA"/>
      </items>
    </pivotField>
    <pivotField numFmtId="44" showAll="0"/>
    <pivotField numFmtId="44" showAll="0"/>
    <pivotField numFmtId="44" showAll="0"/>
    <pivotField dataField="1" showAll="0">
      <items count="4">
        <item x="2"/>
        <item x="1"/>
        <item x="0"/>
        <item t="default"/>
      </items>
    </pivotField>
    <pivotField axis="axisPage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Soma de Subscription stacking" fld="13" baseField="0" baseItem="0"/>
    <dataField name="Contagem de Subscriber ID" fld="0" subtotal="count" baseField="0" baseItem="1"/>
  </dataFields>
  <formats count="22">
    <format dxfId="444">
      <pivotArea type="all" dataOnly="0" outline="0" fieldPosition="0"/>
    </format>
    <format dxfId="443">
      <pivotArea type="all" dataOnly="0" outline="0" fieldPosition="0"/>
    </format>
    <format dxfId="442">
      <pivotArea field="2" type="button" dataOnly="0" labelOnly="1" outline="0"/>
    </format>
    <format dxfId="441">
      <pivotArea dataOnly="0" labelOnly="1" outline="0" axis="axisValues" fieldPosition="0"/>
    </format>
    <format dxfId="440">
      <pivotArea field="2" type="button" dataOnly="0" labelOnly="1" outline="0"/>
    </format>
    <format dxfId="439">
      <pivotArea dataOnly="0" labelOnly="1" outline="0" axis="axisValues" fieldPosition="0"/>
    </format>
    <format dxfId="438">
      <pivotArea field="2" type="button" dataOnly="0" labelOnly="1" outline="0"/>
    </format>
    <format dxfId="437">
      <pivotArea dataOnly="0" labelOnly="1" outline="0" axis="axisValues" fieldPosition="0"/>
    </format>
    <format dxfId="436">
      <pivotArea type="all" dataOnly="0" outline="0" fieldPosition="0"/>
    </format>
    <format dxfId="435">
      <pivotArea outline="0" collapsedLevelsAreSubtotals="1" fieldPosition="0"/>
    </format>
    <format dxfId="434">
      <pivotArea field="2" type="button" dataOnly="0" labelOnly="1" outline="0"/>
    </format>
    <format dxfId="433">
      <pivotArea dataOnly="0" labelOnly="1" grandRow="1" outline="0" fieldPosition="0"/>
    </format>
    <format dxfId="432">
      <pivotArea dataOnly="0" labelOnly="1" outline="0" axis="axisValues" fieldPosition="0"/>
    </format>
    <format dxfId="431">
      <pivotArea type="all" dataOnly="0" outline="0" fieldPosition="0"/>
    </format>
    <format dxfId="430">
      <pivotArea outline="0" collapsedLevelsAreSubtotals="1" fieldPosition="0"/>
    </format>
    <format dxfId="429">
      <pivotArea field="2" type="button" dataOnly="0" labelOnly="1" outline="0"/>
    </format>
    <format dxfId="428">
      <pivotArea dataOnly="0" labelOnly="1" grandRow="1" outline="0" fieldPosition="0"/>
    </format>
    <format dxfId="427">
      <pivotArea dataOnly="0" labelOnly="1" outline="0" axis="axisValues" fieldPosition="0"/>
    </format>
    <format dxfId="4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5">
      <pivotArea type="all" dataOnly="0" outline="0" fieldPosition="0"/>
    </format>
    <format dxfId="424">
      <pivotArea outline="0" collapsedLevelsAreSubtotals="1" fieldPosition="0"/>
    </format>
    <format dxfId="4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22AE8-3B9D-45BF-87C8-EFB3FD680EAA}" name="FATURAMENTO AO LONGO DOS MESES" cacheId="0" applyNumberFormats="0" applyBorderFormats="0" applyFontFormats="0" applyPatternFormats="0" applyAlignmentFormats="0" applyWidthHeightFormats="1" dataCaption="Valores" grandTotalCaption="Quantidade" updatedVersion="7" minRefreshableVersion="3" useAutoFormatting="1" itemPrintTitles="1" createdVersion="7" indent="0" outline="1" outlineData="1" multipleFieldFilters="0" chartFormat="4" rowHeaderCaption="Datas de Inscrição" colHeaderCaption="Filtro dos Planos">
  <location ref="A141:B154" firstHeaderRow="1" firstDataRow="1" firstDataCol="1"/>
  <pivotFields count="16">
    <pivotField showAll="0"/>
    <pivotField showAll="0"/>
    <pivotField showAll="0" sortType="ascending">
      <items count="4">
        <item x="2"/>
        <item x="1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0"/>
        <item x="6"/>
        <item x="8"/>
        <item x="7"/>
        <item x="1"/>
        <item x="2"/>
        <item x="14"/>
        <item x="12"/>
        <item x="4"/>
        <item x="9"/>
        <item x="13"/>
        <item x="0"/>
        <item x="11"/>
        <item x="3"/>
        <item x="5"/>
        <item t="default"/>
      </items>
    </pivotField>
    <pivotField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dragToRow="0" dragToCol="0" dragToPage="0" showAll="0" defaultSubtota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Total Value" fld="12" baseField="0" baseItem="0"/>
  </dataFields>
  <formats count="29">
    <format dxfId="473">
      <pivotArea type="all" dataOnly="0" outline="0" fieldPosition="0"/>
    </format>
    <format dxfId="472">
      <pivotArea outline="0" collapsedLevelsAreSubtotals="1" fieldPosition="0"/>
    </format>
    <format dxfId="471">
      <pivotArea dataOnly="0" labelOnly="1" outline="0" axis="axisValues" fieldPosition="0"/>
    </format>
    <format dxfId="470">
      <pivotArea outline="0" collapsedLevelsAreSubtotals="1" fieldPosition="0"/>
    </format>
    <format dxfId="469">
      <pivotArea dataOnly="0" labelOnly="1" outline="0" axis="axisValues" fieldPosition="0"/>
    </format>
    <format dxfId="468">
      <pivotArea outline="0" collapsedLevelsAreSubtotals="1" fieldPosition="0"/>
    </format>
    <format dxfId="467">
      <pivotArea dataOnly="0" labelOnly="1" outline="0" axis="axisValues" fieldPosition="0"/>
    </format>
    <format dxfId="466">
      <pivotArea type="all" dataOnly="0" outline="0" fieldPosition="0"/>
    </format>
    <format dxfId="465">
      <pivotArea type="origin" dataOnly="0" labelOnly="1" outline="0" fieldPosition="0"/>
    </format>
    <format dxfId="464">
      <pivotArea field="2" type="button" dataOnly="0" labelOnly="1" outline="0"/>
    </format>
    <format dxfId="463">
      <pivotArea type="topRight" dataOnly="0" labelOnly="1" outline="0" fieldPosition="0"/>
    </format>
    <format dxfId="462">
      <pivotArea field="14" type="button" dataOnly="0" labelOnly="1" outline="0" axis="axisRow" fieldPosition="0"/>
    </format>
    <format dxfId="461">
      <pivotArea dataOnly="0" labelOnly="1" grandCol="1" outline="0" fieldPosition="0"/>
    </format>
    <format dxfId="460">
      <pivotArea type="origin" dataOnly="0" labelOnly="1" outline="0" fieldPosition="0"/>
    </format>
    <format dxfId="459">
      <pivotArea field="2" type="button" dataOnly="0" labelOnly="1" outline="0"/>
    </format>
    <format dxfId="458">
      <pivotArea type="topRight" dataOnly="0" labelOnly="1" outline="0" fieldPosition="0"/>
    </format>
    <format dxfId="457">
      <pivotArea field="14" type="button" dataOnly="0" labelOnly="1" outline="0" axis="axisRow" fieldPosition="0"/>
    </format>
    <format dxfId="456">
      <pivotArea dataOnly="0" labelOnly="1" grandCol="1" outline="0" fieldPosition="0"/>
    </format>
    <format dxfId="455">
      <pivotArea dataOnly="0" grandRow="1" axis="axisRow" fieldPosition="0"/>
    </format>
    <format dxfId="454">
      <pivotArea type="all" dataOnly="0" outline="0" fieldPosition="0"/>
    </format>
    <format dxfId="453">
      <pivotArea outline="0" collapsedLevelsAreSubtotals="1" fieldPosition="0"/>
    </format>
    <format dxfId="452">
      <pivotArea field="14" type="button" dataOnly="0" labelOnly="1" outline="0" axis="axisRow" fieldPosition="0"/>
    </format>
    <format dxfId="451">
      <pivotArea dataOnly="0" labelOnly="1" grandRow="1" outline="0" fieldPosition="0"/>
    </format>
    <format dxfId="450">
      <pivotArea field="14" type="button" dataOnly="0" labelOnly="1" outline="0" axis="axisRow" fieldPosition="0"/>
    </format>
    <format dxfId="449">
      <pivotArea outline="0" collapsedLevelsAreSubtotals="1" fieldPosition="0"/>
    </format>
    <format dxfId="448">
      <pivotArea field="14" type="button" dataOnly="0" labelOnly="1" outline="0" axis="axisRow" fieldPosition="0"/>
    </format>
    <format dxfId="447">
      <pivotArea dataOnly="0" labelOnly="1" outline="0" axis="axisValues" fieldPosition="0"/>
    </format>
    <format dxfId="446">
      <pivotArea grandRow="1" outline="0" collapsedLevelsAreSubtotals="1" fieldPosition="0"/>
    </format>
    <format dxfId="445">
      <pivotArea dataOnly="0" labelOnly="1" grandRow="1" outline="0" fieldPosition="0"/>
    </format>
  </formats>
  <chartFormats count="13">
    <chartFormat chart="0" format="175" series="1">
      <pivotArea type="data" outline="0" fieldPosition="0">
        <references count="1">
          <reference field="14" count="1" selected="0">
            <x v="11"/>
          </reference>
        </references>
      </pivotArea>
    </chartFormat>
    <chartFormat chart="0" format="176" series="1">
      <pivotArea type="data" outline="0" fieldPosition="0">
        <references count="1">
          <reference field="14" count="1" selected="0">
            <x v="10"/>
          </reference>
        </references>
      </pivotArea>
    </chartFormat>
    <chartFormat chart="0" format="177" series="1">
      <pivotArea type="data" outline="0" fieldPosition="0">
        <references count="1">
          <reference field="14" count="1" selected="0">
            <x v="9"/>
          </reference>
        </references>
      </pivotArea>
    </chartFormat>
    <chartFormat chart="0" format="178" series="1">
      <pivotArea type="data" outline="0" fieldPosition="0">
        <references count="1">
          <reference field="14" count="1" selected="0">
            <x v="8"/>
          </reference>
        </references>
      </pivotArea>
    </chartFormat>
    <chartFormat chart="0" format="179" series="1">
      <pivotArea type="data" outline="0" fieldPosition="0">
        <references count="1">
          <reference field="14" count="1" selected="0">
            <x v="7"/>
          </reference>
        </references>
      </pivotArea>
    </chartFormat>
    <chartFormat chart="0" format="180" series="1">
      <pivotArea type="data" outline="0" fieldPosition="0">
        <references count="1">
          <reference field="14" count="1" selected="0">
            <x v="6"/>
          </reference>
        </references>
      </pivotArea>
    </chartFormat>
    <chartFormat chart="0" format="181" series="1">
      <pivotArea type="data" outline="0" fieldPosition="0">
        <references count="1">
          <reference field="14" count="1" selected="0">
            <x v="5"/>
          </reference>
        </references>
      </pivotArea>
    </chartFormat>
    <chartFormat chart="0" format="182" series="1">
      <pivotArea type="data" outline="0" fieldPosition="0">
        <references count="1">
          <reference field="14" count="1" selected="0">
            <x v="4"/>
          </reference>
        </references>
      </pivotArea>
    </chartFormat>
    <chartFormat chart="0" format="183" series="1">
      <pivotArea type="data" outline="0" fieldPosition="0">
        <references count="1">
          <reference field="14" count="1" selected="0">
            <x v="3"/>
          </reference>
        </references>
      </pivotArea>
    </chartFormat>
    <chartFormat chart="0" format="184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0" format="185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0" format="186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1484917-7875-40A6-9F09-CB188C81B284}" sourceName="Subscription Type">
  <pivotTables>
    <pivotTable tabId="3" name="ASSINATURA E VALOR TOTAL E DESCONTO"/>
    <pivotTable tabId="3" name="EA PLAY SEASON PASS QUANTIDADES E VALORES"/>
    <pivotTable tabId="3" name="MANICRAFT SEASON PASS QUANTIDADES E VALORES"/>
    <pivotTable tabId="3" name="XBOX PASS ASSINATURAS"/>
    <pivotTable tabId="3" name="DESCRITIVOS DOS PREÇOS TOTAI"/>
    <pivotTable tabId="3" name="VALOR E INSCRIÇÃO TOTAIS"/>
  </pivotTables>
  <data>
    <tabular pivotCacheId="168067853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88E69F86-0637-4A74-B3BA-875B34C76A45}" sourceName="Meses">
  <pivotTables>
    <pivotTable tabId="3" name="ASSINATURA, EA PLAY SEASON, MINECRAFT SEASON, CUPOM DE DESCONTO E PERCENTUAL DOS PLANOS"/>
    <pivotTable tabId="3" name="RELAÇÃO TIPOS DE INSCRIÇAO X TIPOS DE PLANOS"/>
    <pivotTable tabId="3" name="ASSINATURA  MANICRAFT SEASON PASS"/>
    <pivotTable tabId="3" name="ASSINATURA  EA PLAY SEASON PASS"/>
    <pivotTable tabId="3" name="ASSINATURA XBOX PASS"/>
    <pivotTable tabId="3" name="TICKET MEDIO XBOX PASS"/>
    <pivotTable tabId="3" name="TICKET MÉDIO EA PLAY SEASON PASS"/>
    <pivotTable tabId="3" name="TICKET MEDIO MINECRAFT"/>
    <pivotTable tabId="3" name="FATURAMENTO AO LONGO DOS MESES"/>
  </pivotTables>
  <data>
    <tabular pivotCacheId="16806785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085ADD34-F0C0-4261-810D-0DE5A46ADF17}" sourceName="Plan">
  <pivotTables>
    <pivotTable tabId="3" name="ASSINATURA, EA PLAY SEASON, MINECRAFT SEASON, CUPOM DE DESCONTO E PERCENTUAL DOS PLANOS"/>
    <pivotTable tabId="3" name="RELAÇÃO TIPOS DE INSCRIÇAO X TIPOS DE PLANOS"/>
    <pivotTable tabId="3" name="ASSINATURA  MANICRAFT SEASON PASS"/>
    <pivotTable tabId="3" name="ASSINATURA  EA PLAY SEASON PASS"/>
    <pivotTable tabId="3" name="ASSINATURA XBOX PASS"/>
    <pivotTable tabId="3" name="TICKET MEDIO XBOX PASS"/>
    <pivotTable tabId="3" name="TICKET MÉDIO EA PLAY SEASON PASS"/>
    <pivotTable tabId="3" name="TICKET MEDIO MINECRAFT"/>
    <pivotTable tabId="3" name="XBOX PASS ASSINATURAS"/>
    <pivotTable tabId="3" name="FATURAMENTO AO LONGO DOS MESES"/>
  </pivotTables>
  <data>
    <tabular pivotCacheId="168067853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A382A10-8358-4B75-98B0-92545F1D80D1}" cache="SegmentaçãodeDados_Subscription_Type" caption="Subscription Type" style="SlicerStyleLight3 2 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D2BF889A-6268-4362-A097-0935DB9091F8}" cache="SegmentaçãodeDados_Subscription_Type" caption="Subscription Type" style="SlicerStyleLight3 2 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34B79C55-44CB-4EA3-B5EB-A45AEBA1C45D}" cache="SegmentaçãodeDados_Meses" caption="Meses" style="SlicerStyleLight3 2 4" rowHeight="241300"/>
  <slicer name="Plan" xr10:uid="{3A58EFB4-1C94-47D1-9077-D0AA7E77CB7E}" cache="SegmentaçãodeDados_Plan" caption="Plan" style="SlicerStyleLight3 2 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679">
  <autoFilter ref="A1:N296" xr:uid="{34E0E886-4200-4B36-97B3-63DB74FF40A0}"/>
  <tableColumns count="14">
    <tableColumn id="1" xr3:uid="{C4A90516-688A-46BF-9167-EA16C2A8A652}" name="Subscriber ID" dataDxfId="678"/>
    <tableColumn id="2" xr3:uid="{53DD39D0-2220-4121-9E9D-4EAA7E151C0F}" name="Name" dataDxfId="677"/>
    <tableColumn id="3" xr3:uid="{4F5FF271-4C57-4BE0-8F2C-F82C8551625C}" name="Plan" dataDxfId="676"/>
    <tableColumn id="4" xr3:uid="{8C17EB93-79B9-4E55-B8F7-BEB82F8253E9}" name="Start Date" dataDxfId="675"/>
    <tableColumn id="5" xr3:uid="{48CEDF9B-1689-482A-A828-5CCE7713264A}" name="Auto Renewal" dataDxfId="674"/>
    <tableColumn id="6" xr3:uid="{78B82374-9AA7-4E38-AE4F-78CDE6C83720}" name="Subscription Price" dataDxfId="673" dataCellStyle="Moeda"/>
    <tableColumn id="7" xr3:uid="{F2433F68-AF33-49D0-B1FB-19A396074EDE}" name="Subscription Type" dataDxfId="672"/>
    <tableColumn id="8" xr3:uid="{FD4D9C95-F6E5-4933-9068-A71FF7DF9343}" name="EA Play Season Pass" dataDxfId="671"/>
    <tableColumn id="13" xr3:uid="{978DD0D2-834E-4CE4-A39B-30976086932F}" name="EA Play Season Pass_x000a_Price" dataDxfId="670" dataCellStyle="Moeda"/>
    <tableColumn id="9" xr3:uid="{6E29F111-C395-4580-9DAD-3407D9E8B1A4}" name="Minecraft Season Pass" dataDxfId="669"/>
    <tableColumn id="10" xr3:uid="{EF544EAA-7F25-4FD5-A10E-8E62804DB9E3}" name="Minecraft Season Pass Price" dataDxfId="668" dataCellStyle="Moeda"/>
    <tableColumn id="11" xr3:uid="{7F6EB64A-1F07-4E48-9F0F-AC7D9DCD26F8}" name="Coupon Value" dataDxfId="667" dataCellStyle="Moeda"/>
    <tableColumn id="12" xr3:uid="{2B04ABC8-DE6F-426E-ADC0-D8AFC68CA58E}" name="Total Value" dataDxfId="666" dataCellStyle="Moeda"/>
    <tableColumn id="14" xr3:uid="{792ADEDC-06EF-499E-B2CA-77CCF1ADA5E6}" name="Subscription stacking" dataDxfId="665" dataCellStyle="Moeda">
      <calculatedColumnFormula>IF(Tabela1[[#This Row],[Subscriber ID]]&lt;&gt;"", 1, 0) +
IF(Tabela1[[#This Row],[EA Play Season Pass]]="Yes", 1, 0) +
IF(Tabela1[[#This Row],[Minecraft Season Pass]]="Yes", 1, 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6"/>
  <sheetViews>
    <sheetView showGridLines="0" showRowColHeaders="0" topLeftCell="A4" zoomScaleNormal="100" workbookViewId="0">
      <selection activeCell="D16" sqref="D16:G1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  <c r="J3" s="1" t="s">
        <v>322</v>
      </c>
      <c r="K3" s="1"/>
      <c r="L3" s="1"/>
      <c r="M3" s="1"/>
      <c r="N3" s="1"/>
      <c r="O3" s="1"/>
      <c r="P3" s="1"/>
    </row>
    <row r="4" spans="2:16" ht="15" thickTop="1"/>
    <row r="5" spans="2:16" ht="16.5">
      <c r="B5" s="3" t="s">
        <v>325</v>
      </c>
      <c r="C5" t="s">
        <v>3</v>
      </c>
      <c r="E5" s="7" t="s">
        <v>309</v>
      </c>
      <c r="F5" t="s">
        <v>2</v>
      </c>
      <c r="J5" s="269" t="s">
        <v>324</v>
      </c>
      <c r="K5" s="269"/>
      <c r="L5" s="26" t="s">
        <v>323</v>
      </c>
      <c r="M5" s="25">
        <v>22</v>
      </c>
      <c r="N5" t="s">
        <v>333</v>
      </c>
    </row>
    <row r="6" spans="2:16" ht="16.5">
      <c r="B6" s="4" t="s">
        <v>321</v>
      </c>
      <c r="C6" t="s">
        <v>3</v>
      </c>
      <c r="E6" s="12" t="s">
        <v>308</v>
      </c>
      <c r="J6" t="s">
        <v>331</v>
      </c>
      <c r="L6" s="26" t="s">
        <v>323</v>
      </c>
      <c r="M6" s="25">
        <v>12</v>
      </c>
      <c r="N6" t="s">
        <v>333</v>
      </c>
    </row>
    <row r="7" spans="2:16">
      <c r="B7" s="5" t="s">
        <v>326</v>
      </c>
      <c r="C7" t="s">
        <v>4</v>
      </c>
      <c r="J7" t="s">
        <v>332</v>
      </c>
      <c r="L7" t="s">
        <v>323</v>
      </c>
      <c r="M7" s="25">
        <v>11</v>
      </c>
    </row>
    <row r="8" spans="2:16">
      <c r="B8" s="6" t="s">
        <v>327</v>
      </c>
      <c r="C8" t="s">
        <v>4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/>
      <c r="C23" s="2"/>
      <c r="D23" s="2"/>
      <c r="E23" s="2"/>
      <c r="F23" s="2"/>
      <c r="G23" s="2"/>
      <c r="H23" s="2"/>
    </row>
    <row r="24" spans="2:8">
      <c r="B24" s="2"/>
      <c r="C24" s="2"/>
      <c r="D24" s="2"/>
      <c r="E24" s="2"/>
      <c r="F24" s="2"/>
      <c r="G24" s="2"/>
      <c r="H24" s="2"/>
    </row>
    <row r="25" spans="2:8">
      <c r="B25" s="2"/>
      <c r="C25" s="2"/>
      <c r="D25" s="2"/>
      <c r="E25" s="2"/>
      <c r="F25" s="2"/>
      <c r="G25" s="2"/>
      <c r="H25" s="2"/>
    </row>
    <row r="26" spans="2:8">
      <c r="B26" s="2"/>
      <c r="C26" s="2"/>
      <c r="D26" s="2"/>
      <c r="E26" s="2"/>
      <c r="F26" s="2"/>
      <c r="G26" s="2"/>
      <c r="H26" s="2"/>
    </row>
  </sheetData>
  <sheetProtection algorithmName="SHA-512" hashValue="YjryKiJtzDDx7mcUCSWuAmVmKxjDQfz0LxcX7e27cbLiMvFpzoxuEMX2ac7bB2LGYFGN7WwGbUyIk+prALqdWA==" saltValue="EZicoOPIi1+95t6zqnTiFg==" spinCount="100000" sheet="1" objects="1" scenarios="1" selectLockedCells="1"/>
  <mergeCells count="1">
    <mergeCell ref="J5:K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6" zoomScaleNormal="96" workbookViewId="0">
      <selection activeCell="D16" sqref="D16:G16"/>
    </sheetView>
  </sheetViews>
  <sheetFormatPr defaultRowHeight="14.25"/>
  <cols>
    <col min="1" max="1" width="17.875" style="36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  <col min="14" max="14" width="15.25" style="121" customWidth="1"/>
  </cols>
  <sheetData>
    <row r="1" spans="1:14" ht="30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  <c r="N1" s="37" t="s">
        <v>403</v>
      </c>
    </row>
    <row r="2" spans="1:14" ht="16.5" customHeight="1">
      <c r="A2" s="35">
        <v>3245</v>
      </c>
      <c r="B2" s="8" t="s">
        <v>38</v>
      </c>
      <c r="C2" s="8" t="s">
        <v>13</v>
      </c>
      <c r="D2" s="10">
        <v>45362</v>
      </c>
      <c r="E2" s="8" t="s">
        <v>18</v>
      </c>
      <c r="F2" s="11">
        <v>15</v>
      </c>
      <c r="G2" s="8" t="s">
        <v>15</v>
      </c>
      <c r="H2" s="37" t="s">
        <v>14</v>
      </c>
      <c r="I2" s="11">
        <v>30</v>
      </c>
      <c r="J2" s="8" t="s">
        <v>14</v>
      </c>
      <c r="K2" s="11">
        <v>20</v>
      </c>
      <c r="L2" s="11">
        <v>8</v>
      </c>
      <c r="M2" s="11">
        <v>57</v>
      </c>
      <c r="N2" s="167">
        <f>IF(Tabela1[[#This Row],[Subscriber ID]]&lt;&gt;"", 1, 0) +
IF(Tabela1[[#This Row],[EA Play Season Pass]]="Yes", 1, 0) +
IF(Tabela1[[#This Row],[Minecraft Season Pass]]="Yes", 1, 0)</f>
        <v>3</v>
      </c>
    </row>
    <row r="3" spans="1:14" ht="16.5" customHeight="1">
      <c r="A3" s="35">
        <v>3246</v>
      </c>
      <c r="B3" s="8" t="s">
        <v>39</v>
      </c>
      <c r="C3" s="8" t="s">
        <v>21</v>
      </c>
      <c r="D3" s="10">
        <v>45363</v>
      </c>
      <c r="E3" s="8" t="s">
        <v>14</v>
      </c>
      <c r="F3" s="11">
        <v>10</v>
      </c>
      <c r="G3" s="8" t="s">
        <v>19</v>
      </c>
      <c r="H3" s="8" t="s">
        <v>18</v>
      </c>
      <c r="I3" s="11" t="s">
        <v>306</v>
      </c>
      <c r="J3" s="8" t="s">
        <v>14</v>
      </c>
      <c r="K3" s="11">
        <v>20</v>
      </c>
      <c r="L3" s="11">
        <v>12</v>
      </c>
      <c r="M3" s="11">
        <v>18</v>
      </c>
      <c r="N3" s="167">
        <f>IF(Tabela1[[#This Row],[Subscriber ID]]&lt;&gt;"", 1, 0) +
IF(Tabela1[[#This Row],[EA Play Season Pass]]="Yes", 1, 0) +
IF(Tabela1[[#This Row],[Minecraft Season Pass]]="Yes", 1, 0)</f>
        <v>2</v>
      </c>
    </row>
    <row r="4" spans="1:14" ht="16.5" customHeight="1">
      <c r="A4" s="35">
        <v>3268</v>
      </c>
      <c r="B4" s="8" t="s">
        <v>61</v>
      </c>
      <c r="C4" s="8" t="s">
        <v>21</v>
      </c>
      <c r="D4" s="10">
        <v>45385</v>
      </c>
      <c r="E4" s="8" t="s">
        <v>14</v>
      </c>
      <c r="F4" s="11">
        <v>10</v>
      </c>
      <c r="G4" s="8" t="s">
        <v>19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  <c r="N4" s="167">
        <f>IF(Tabela1[[#This Row],[Subscriber ID]]&lt;&gt;"", 1, 0) +
IF(Tabela1[[#This Row],[EA Play Season Pass]]="Yes", 1, 0) +
IF(Tabela1[[#This Row],[Minecraft Season Pass]]="Yes", 1, 0)</f>
        <v>2</v>
      </c>
    </row>
    <row r="5" spans="1:14" ht="16.5" customHeight="1">
      <c r="A5" s="35">
        <v>3276</v>
      </c>
      <c r="B5" s="8" t="s">
        <v>69</v>
      </c>
      <c r="C5" s="8" t="s">
        <v>13</v>
      </c>
      <c r="D5" s="10">
        <v>45393</v>
      </c>
      <c r="E5" s="8" t="s">
        <v>14</v>
      </c>
      <c r="F5" s="11">
        <v>15</v>
      </c>
      <c r="G5" s="8" t="s">
        <v>19</v>
      </c>
      <c r="H5" s="8" t="s">
        <v>14</v>
      </c>
      <c r="I5" s="11">
        <v>30</v>
      </c>
      <c r="J5" s="8" t="s">
        <v>14</v>
      </c>
      <c r="K5" s="11">
        <v>20</v>
      </c>
      <c r="L5" s="11">
        <v>5</v>
      </c>
      <c r="M5" s="11">
        <v>60</v>
      </c>
      <c r="N5" s="167">
        <f>IF(Tabela1[[#This Row],[Subscriber ID]]&lt;&gt;"", 1, 0) +
IF(Tabela1[[#This Row],[EA Play Season Pass]]="Yes", 1, 0) +
IF(Tabela1[[#This Row],[Minecraft Season Pass]]="Yes", 1, 0)</f>
        <v>3</v>
      </c>
    </row>
    <row r="6" spans="1:14" ht="16.5" customHeight="1">
      <c r="A6" s="35">
        <v>3289</v>
      </c>
      <c r="B6" s="8" t="s">
        <v>82</v>
      </c>
      <c r="C6" s="8" t="s">
        <v>21</v>
      </c>
      <c r="D6" s="10">
        <v>45406</v>
      </c>
      <c r="E6" s="8" t="s">
        <v>18</v>
      </c>
      <c r="F6" s="11">
        <v>10</v>
      </c>
      <c r="G6" s="8" t="s">
        <v>15</v>
      </c>
      <c r="H6" s="8" t="s">
        <v>18</v>
      </c>
      <c r="I6" s="11" t="s">
        <v>306</v>
      </c>
      <c r="J6" s="8" t="s">
        <v>14</v>
      </c>
      <c r="K6" s="11">
        <v>20</v>
      </c>
      <c r="L6" s="11">
        <v>10</v>
      </c>
      <c r="M6" s="11">
        <v>20</v>
      </c>
      <c r="N6" s="167">
        <f>IF(Tabela1[[#This Row],[Subscriber ID]]&lt;&gt;"", 1, 0) +
IF(Tabela1[[#This Row],[EA Play Season Pass]]="Yes", 1, 0) +
IF(Tabela1[[#This Row],[Minecraft Season Pass]]="Yes", 1, 0)</f>
        <v>2</v>
      </c>
    </row>
    <row r="7" spans="1:14" ht="16.5" customHeight="1">
      <c r="A7" s="35">
        <v>3321</v>
      </c>
      <c r="B7" s="8" t="s">
        <v>114</v>
      </c>
      <c r="C7" s="8" t="s">
        <v>13</v>
      </c>
      <c r="D7" s="10">
        <v>45438</v>
      </c>
      <c r="E7" s="8" t="s">
        <v>14</v>
      </c>
      <c r="F7" s="11">
        <v>15</v>
      </c>
      <c r="G7" s="8" t="s">
        <v>15</v>
      </c>
      <c r="H7" s="8" t="s">
        <v>14</v>
      </c>
      <c r="I7" s="11">
        <v>30</v>
      </c>
      <c r="J7" s="8" t="s">
        <v>14</v>
      </c>
      <c r="K7" s="11">
        <v>20</v>
      </c>
      <c r="L7" s="11">
        <v>5</v>
      </c>
      <c r="M7" s="11">
        <v>60</v>
      </c>
      <c r="N7" s="167">
        <f>IF(Tabela1[[#This Row],[Subscriber ID]]&lt;&gt;"", 1, 0) +
IF(Tabela1[[#This Row],[EA Play Season Pass]]="Yes", 1, 0) +
IF(Tabela1[[#This Row],[Minecraft Season Pass]]="Yes", 1, 0)</f>
        <v>3</v>
      </c>
    </row>
    <row r="8" spans="1:14" ht="16.5" customHeight="1">
      <c r="A8" s="35">
        <v>3324</v>
      </c>
      <c r="B8" s="8" t="s">
        <v>117</v>
      </c>
      <c r="C8" s="8" t="s">
        <v>13</v>
      </c>
      <c r="D8" s="10">
        <v>45441</v>
      </c>
      <c r="E8" s="8" t="s">
        <v>18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20</v>
      </c>
      <c r="M8" s="11">
        <v>45</v>
      </c>
      <c r="N8" s="167">
        <f>IF(Tabela1[[#This Row],[Subscriber ID]]&lt;&gt;"", 1, 0) +
IF(Tabela1[[#This Row],[EA Play Season Pass]]="Yes", 1, 0) +
IF(Tabela1[[#This Row],[Minecraft Season Pass]]="Yes", 1, 0)</f>
        <v>3</v>
      </c>
    </row>
    <row r="9" spans="1:14" ht="16.5" customHeight="1">
      <c r="A9" s="35">
        <v>3349</v>
      </c>
      <c r="B9" s="8" t="s">
        <v>117</v>
      </c>
      <c r="C9" s="8" t="s">
        <v>13</v>
      </c>
      <c r="D9" s="10">
        <v>45466</v>
      </c>
      <c r="E9" s="8" t="s">
        <v>18</v>
      </c>
      <c r="F9" s="11">
        <v>15</v>
      </c>
      <c r="G9" s="8" t="s">
        <v>15</v>
      </c>
      <c r="H9" s="8" t="s">
        <v>14</v>
      </c>
      <c r="I9" s="11">
        <v>30</v>
      </c>
      <c r="J9" s="8" t="s">
        <v>14</v>
      </c>
      <c r="K9" s="11">
        <v>20</v>
      </c>
      <c r="L9" s="11">
        <v>3</v>
      </c>
      <c r="M9" s="11">
        <v>62</v>
      </c>
      <c r="N9" s="167">
        <f>IF(Tabela1[[#This Row],[Subscriber ID]]&lt;&gt;"", 1, 0) +
IF(Tabela1[[#This Row],[EA Play Season Pass]]="Yes", 1, 0) +
IF(Tabela1[[#This Row],[Minecraft Season Pass]]="Yes", 1, 0)</f>
        <v>3</v>
      </c>
    </row>
    <row r="10" spans="1:14" ht="16.5" customHeight="1">
      <c r="A10" s="35">
        <v>3351</v>
      </c>
      <c r="B10" s="8" t="s">
        <v>143</v>
      </c>
      <c r="C10" s="8" t="s">
        <v>17</v>
      </c>
      <c r="D10" s="10">
        <v>45468</v>
      </c>
      <c r="E10" s="8" t="s">
        <v>18</v>
      </c>
      <c r="F10" s="11">
        <v>5</v>
      </c>
      <c r="G10" s="8" t="s">
        <v>15</v>
      </c>
      <c r="H10" s="8" t="s">
        <v>18</v>
      </c>
      <c r="I10" s="11" t="s">
        <v>306</v>
      </c>
      <c r="J10" s="8" t="s">
        <v>18</v>
      </c>
      <c r="K10" s="11">
        <v>0</v>
      </c>
      <c r="L10" s="11">
        <v>1</v>
      </c>
      <c r="M10" s="11">
        <v>4</v>
      </c>
      <c r="N10" s="167">
        <f>IF(Tabela1[[#This Row],[Subscriber ID]]&lt;&gt;"", 1, 0) +
IF(Tabela1[[#This Row],[EA Play Season Pass]]="Yes", 1, 0) +
IF(Tabela1[[#This Row],[Minecraft Season Pass]]="Yes", 1, 0)</f>
        <v>1</v>
      </c>
    </row>
    <row r="11" spans="1:14" ht="16.5" customHeight="1">
      <c r="A11" s="35">
        <v>3359</v>
      </c>
      <c r="B11" s="8" t="s">
        <v>151</v>
      </c>
      <c r="C11" s="8" t="s">
        <v>21</v>
      </c>
      <c r="D11" s="10">
        <v>45476</v>
      </c>
      <c r="E11" s="8" t="s">
        <v>18</v>
      </c>
      <c r="F11" s="11">
        <v>10</v>
      </c>
      <c r="G11" s="8" t="s">
        <v>15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10</v>
      </c>
      <c r="M11" s="11">
        <v>20</v>
      </c>
      <c r="N11" s="167">
        <f>IF(Tabela1[[#This Row],[Subscriber ID]]&lt;&gt;"", 1, 0) +
IF(Tabela1[[#This Row],[EA Play Season Pass]]="Yes", 1, 0) +
IF(Tabela1[[#This Row],[Minecraft Season Pass]]="Yes", 1, 0)</f>
        <v>2</v>
      </c>
    </row>
    <row r="12" spans="1:14" ht="16.5" customHeight="1">
      <c r="A12" s="35">
        <v>3362</v>
      </c>
      <c r="B12" s="8" t="s">
        <v>154</v>
      </c>
      <c r="C12" s="8" t="s">
        <v>21</v>
      </c>
      <c r="D12" s="10">
        <v>45479</v>
      </c>
      <c r="E12" s="8" t="s">
        <v>14</v>
      </c>
      <c r="F12" s="11">
        <v>10</v>
      </c>
      <c r="G12" s="8" t="s">
        <v>19</v>
      </c>
      <c r="H12" s="8" t="s">
        <v>18</v>
      </c>
      <c r="I12" s="11" t="s">
        <v>306</v>
      </c>
      <c r="J12" s="8" t="s">
        <v>14</v>
      </c>
      <c r="K12" s="11">
        <v>20</v>
      </c>
      <c r="L12" s="11">
        <v>15</v>
      </c>
      <c r="M12" s="11">
        <v>15</v>
      </c>
      <c r="N12" s="167">
        <f>IF(Tabela1[[#This Row],[Subscriber ID]]&lt;&gt;"", 1, 0) +
IF(Tabela1[[#This Row],[EA Play Season Pass]]="Yes", 1, 0) +
IF(Tabela1[[#This Row],[Minecraft Season Pass]]="Yes", 1, 0)</f>
        <v>2</v>
      </c>
    </row>
    <row r="13" spans="1:14" ht="16.5" customHeight="1">
      <c r="A13" s="35">
        <v>3363</v>
      </c>
      <c r="B13" s="8" t="s">
        <v>155</v>
      </c>
      <c r="C13" s="8" t="s">
        <v>17</v>
      </c>
      <c r="D13" s="10">
        <v>45480</v>
      </c>
      <c r="E13" s="8" t="s">
        <v>18</v>
      </c>
      <c r="F13" s="11">
        <v>5</v>
      </c>
      <c r="G13" s="8" t="s">
        <v>15</v>
      </c>
      <c r="H13" s="8" t="s">
        <v>18</v>
      </c>
      <c r="I13" s="11" t="s">
        <v>306</v>
      </c>
      <c r="J13" s="8" t="s">
        <v>18</v>
      </c>
      <c r="K13" s="11">
        <v>0</v>
      </c>
      <c r="L13" s="11">
        <v>1</v>
      </c>
      <c r="M13" s="11">
        <v>4</v>
      </c>
      <c r="N13" s="167">
        <f>IF(Tabela1[[#This Row],[Subscriber ID]]&lt;&gt;"", 1, 0) +
IF(Tabela1[[#This Row],[EA Play Season Pass]]="Yes", 1, 0) +
IF(Tabela1[[#This Row],[Minecraft Season Pass]]="Yes", 1, 0)</f>
        <v>1</v>
      </c>
    </row>
    <row r="14" spans="1:14" ht="16.5" customHeight="1">
      <c r="A14" s="35">
        <v>3372</v>
      </c>
      <c r="B14" s="8" t="s">
        <v>164</v>
      </c>
      <c r="C14" s="8" t="s">
        <v>17</v>
      </c>
      <c r="D14" s="10">
        <v>45489</v>
      </c>
      <c r="E14" s="8" t="s">
        <v>14</v>
      </c>
      <c r="F14" s="11">
        <v>5</v>
      </c>
      <c r="G14" s="8" t="s">
        <v>19</v>
      </c>
      <c r="H14" s="8" t="s">
        <v>18</v>
      </c>
      <c r="I14" s="11" t="s">
        <v>306</v>
      </c>
      <c r="J14" s="8" t="s">
        <v>18</v>
      </c>
      <c r="K14" s="11">
        <v>0</v>
      </c>
      <c r="L14" s="11">
        <v>0</v>
      </c>
      <c r="M14" s="11">
        <v>5</v>
      </c>
      <c r="N14" s="167">
        <f>IF(Tabela1[[#This Row],[Subscriber ID]]&lt;&gt;"", 1, 0) +
IF(Tabela1[[#This Row],[EA Play Season Pass]]="Yes", 1, 0) +
IF(Tabela1[[#This Row],[Minecraft Season Pass]]="Yes", 1, 0)</f>
        <v>1</v>
      </c>
    </row>
    <row r="15" spans="1:14" ht="16.5" customHeight="1">
      <c r="A15" s="35">
        <v>3391</v>
      </c>
      <c r="B15" s="8" t="s">
        <v>82</v>
      </c>
      <c r="C15" s="8" t="s">
        <v>13</v>
      </c>
      <c r="D15" s="10">
        <v>45508</v>
      </c>
      <c r="E15" s="8" t="s">
        <v>18</v>
      </c>
      <c r="F15" s="11">
        <v>15</v>
      </c>
      <c r="G15" s="8" t="s">
        <v>15</v>
      </c>
      <c r="H15" s="8" t="s">
        <v>14</v>
      </c>
      <c r="I15" s="11">
        <v>30</v>
      </c>
      <c r="J15" s="8" t="s">
        <v>14</v>
      </c>
      <c r="K15" s="11">
        <v>20</v>
      </c>
      <c r="L15" s="11">
        <v>15</v>
      </c>
      <c r="M15" s="11">
        <v>50</v>
      </c>
      <c r="N15" s="167">
        <f>IF(Tabela1[[#This Row],[Subscriber ID]]&lt;&gt;"", 1, 0) +
IF(Tabela1[[#This Row],[EA Play Season Pass]]="Yes", 1, 0) +
IF(Tabela1[[#This Row],[Minecraft Season Pass]]="Yes", 1, 0)</f>
        <v>3</v>
      </c>
    </row>
    <row r="16" spans="1:14" ht="16.5" customHeight="1">
      <c r="A16" s="35">
        <v>3397</v>
      </c>
      <c r="B16" s="8" t="s">
        <v>114</v>
      </c>
      <c r="C16" s="8" t="s">
        <v>13</v>
      </c>
      <c r="D16" s="10">
        <v>45514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20</v>
      </c>
      <c r="M16" s="11">
        <v>45</v>
      </c>
      <c r="N16" s="167">
        <f>IF(Tabela1[[#This Row],[Subscriber ID]]&lt;&gt;"", 1, 0) +
IF(Tabela1[[#This Row],[EA Play Season Pass]]="Yes", 1, 0) +
IF(Tabela1[[#This Row],[Minecraft Season Pass]]="Yes", 1, 0)</f>
        <v>3</v>
      </c>
    </row>
    <row r="17" spans="1:14" ht="16.5" customHeight="1">
      <c r="A17" s="35">
        <v>3401</v>
      </c>
      <c r="B17" s="8" t="s">
        <v>191</v>
      </c>
      <c r="C17" s="8" t="s">
        <v>21</v>
      </c>
      <c r="D17" s="10">
        <v>45518</v>
      </c>
      <c r="E17" s="8" t="s">
        <v>18</v>
      </c>
      <c r="F17" s="11">
        <v>10</v>
      </c>
      <c r="G17" s="8" t="s">
        <v>15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10</v>
      </c>
      <c r="M17" s="11">
        <v>20</v>
      </c>
      <c r="N17" s="167">
        <f>IF(Tabela1[[#This Row],[Subscriber ID]]&lt;&gt;"", 1, 0) +
IF(Tabela1[[#This Row],[EA Play Season Pass]]="Yes", 1, 0) +
IF(Tabela1[[#This Row],[Minecraft Season Pass]]="Yes", 1, 0)</f>
        <v>2</v>
      </c>
    </row>
    <row r="18" spans="1:14" ht="16.5" customHeight="1">
      <c r="A18" s="35">
        <v>3415</v>
      </c>
      <c r="B18" s="8" t="s">
        <v>205</v>
      </c>
      <c r="C18" s="8" t="s">
        <v>17</v>
      </c>
      <c r="D18" s="10">
        <v>45532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  <c r="N18" s="167">
        <f>IF(Tabela1[[#This Row],[Subscriber ID]]&lt;&gt;"", 1, 0) +
IF(Tabela1[[#This Row],[EA Play Season Pass]]="Yes", 1, 0) +
IF(Tabela1[[#This Row],[Minecraft Season Pass]]="Yes", 1, 0)</f>
        <v>1</v>
      </c>
    </row>
    <row r="19" spans="1:14" ht="16.5" customHeight="1">
      <c r="A19" s="35">
        <v>3421</v>
      </c>
      <c r="B19" s="8" t="s">
        <v>39</v>
      </c>
      <c r="C19" s="8" t="s">
        <v>17</v>
      </c>
      <c r="D19" s="10">
        <v>45538</v>
      </c>
      <c r="E19" s="8" t="s">
        <v>18</v>
      </c>
      <c r="F19" s="11">
        <v>5</v>
      </c>
      <c r="G19" s="8" t="s">
        <v>15</v>
      </c>
      <c r="H19" s="8" t="s">
        <v>18</v>
      </c>
      <c r="I19" s="11" t="s">
        <v>306</v>
      </c>
      <c r="J19" s="8" t="s">
        <v>18</v>
      </c>
      <c r="K19" s="11">
        <v>0</v>
      </c>
      <c r="L19" s="11">
        <v>1</v>
      </c>
      <c r="M19" s="11">
        <v>4</v>
      </c>
      <c r="N19" s="167">
        <f>IF(Tabela1[[#This Row],[Subscriber ID]]&lt;&gt;"", 1, 0) +
IF(Tabela1[[#This Row],[EA Play Season Pass]]="Yes", 1, 0) +
IF(Tabela1[[#This Row],[Minecraft Season Pass]]="Yes", 1, 0)</f>
        <v>1</v>
      </c>
    </row>
    <row r="20" spans="1:14" ht="16.5" customHeight="1">
      <c r="A20" s="35">
        <v>3424</v>
      </c>
      <c r="B20" s="8" t="s">
        <v>38</v>
      </c>
      <c r="C20" s="8" t="s">
        <v>17</v>
      </c>
      <c r="D20" s="10">
        <v>45541</v>
      </c>
      <c r="E20" s="8" t="s">
        <v>14</v>
      </c>
      <c r="F20" s="11">
        <v>5</v>
      </c>
      <c r="G20" s="8" t="s">
        <v>19</v>
      </c>
      <c r="H20" s="8" t="s">
        <v>18</v>
      </c>
      <c r="I20" s="11" t="s">
        <v>306</v>
      </c>
      <c r="J20" s="8" t="s">
        <v>18</v>
      </c>
      <c r="K20" s="11">
        <v>0</v>
      </c>
      <c r="L20" s="11">
        <v>0</v>
      </c>
      <c r="M20" s="11">
        <v>5</v>
      </c>
      <c r="N20" s="167">
        <f>IF(Tabela1[[#This Row],[Subscriber ID]]&lt;&gt;"", 1, 0) +
IF(Tabela1[[#This Row],[EA Play Season Pass]]="Yes", 1, 0) +
IF(Tabela1[[#This Row],[Minecraft Season Pass]]="Yes", 1, 0)</f>
        <v>1</v>
      </c>
    </row>
    <row r="21" spans="1:14" ht="16.5" customHeight="1">
      <c r="A21" s="35">
        <v>3426</v>
      </c>
      <c r="B21" s="8" t="s">
        <v>191</v>
      </c>
      <c r="C21" s="8" t="s">
        <v>21</v>
      </c>
      <c r="D21" s="10">
        <v>45543</v>
      </c>
      <c r="E21" s="8" t="s">
        <v>14</v>
      </c>
      <c r="F21" s="11">
        <v>10</v>
      </c>
      <c r="G21" s="8" t="s">
        <v>22</v>
      </c>
      <c r="H21" s="8" t="s">
        <v>18</v>
      </c>
      <c r="I21" s="11" t="s">
        <v>306</v>
      </c>
      <c r="J21" s="8" t="s">
        <v>14</v>
      </c>
      <c r="K21" s="11">
        <v>20</v>
      </c>
      <c r="L21" s="11">
        <v>15</v>
      </c>
      <c r="M21" s="11">
        <v>15</v>
      </c>
      <c r="N21" s="167">
        <f>IF(Tabela1[[#This Row],[Subscriber ID]]&lt;&gt;"", 1, 0) +
IF(Tabela1[[#This Row],[EA Play Season Pass]]="Yes", 1, 0) +
IF(Tabela1[[#This Row],[Minecraft Season Pass]]="Yes", 1, 0)</f>
        <v>2</v>
      </c>
    </row>
    <row r="22" spans="1:14" ht="16.5" customHeight="1">
      <c r="A22" s="35">
        <v>3428</v>
      </c>
      <c r="B22" s="8" t="s">
        <v>215</v>
      </c>
      <c r="C22" s="8" t="s">
        <v>13</v>
      </c>
      <c r="D22" s="10">
        <v>45545</v>
      </c>
      <c r="E22" s="8" t="s">
        <v>14</v>
      </c>
      <c r="F22" s="11">
        <v>15</v>
      </c>
      <c r="G22" s="8" t="s">
        <v>19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  <c r="N22" s="167">
        <f>IF(Tabela1[[#This Row],[Subscriber ID]]&lt;&gt;"", 1, 0) +
IF(Tabela1[[#This Row],[EA Play Season Pass]]="Yes", 1, 0) +
IF(Tabela1[[#This Row],[Minecraft Season Pass]]="Yes", 1, 0)</f>
        <v>3</v>
      </c>
    </row>
    <row r="23" spans="1:14" ht="16.5" customHeight="1">
      <c r="A23" s="35">
        <v>3445</v>
      </c>
      <c r="B23" s="8" t="s">
        <v>61</v>
      </c>
      <c r="C23" s="8" t="s">
        <v>17</v>
      </c>
      <c r="D23" s="10">
        <v>45562</v>
      </c>
      <c r="E23" s="8" t="s">
        <v>18</v>
      </c>
      <c r="F23" s="11">
        <v>5</v>
      </c>
      <c r="G23" s="8" t="s">
        <v>15</v>
      </c>
      <c r="H23" s="8" t="s">
        <v>18</v>
      </c>
      <c r="I23" s="11" t="s">
        <v>306</v>
      </c>
      <c r="J23" s="8" t="s">
        <v>18</v>
      </c>
      <c r="K23" s="11">
        <v>0</v>
      </c>
      <c r="L23" s="11">
        <v>2</v>
      </c>
      <c r="M23" s="11">
        <v>3</v>
      </c>
      <c r="N23" s="167">
        <f>IF(Tabela1[[#This Row],[Subscriber ID]]&lt;&gt;"", 1, 0) +
IF(Tabela1[[#This Row],[EA Play Season Pass]]="Yes", 1, 0) +
IF(Tabela1[[#This Row],[Minecraft Season Pass]]="Yes", 1, 0)</f>
        <v>1</v>
      </c>
    </row>
    <row r="24" spans="1:14" ht="16.5" customHeight="1">
      <c r="A24" s="35">
        <v>3452</v>
      </c>
      <c r="B24" s="8" t="s">
        <v>215</v>
      </c>
      <c r="C24" s="8" t="s">
        <v>13</v>
      </c>
      <c r="D24" s="10">
        <v>45569</v>
      </c>
      <c r="E24" s="8" t="s">
        <v>14</v>
      </c>
      <c r="F24" s="11">
        <v>15</v>
      </c>
      <c r="G24" s="8" t="s">
        <v>22</v>
      </c>
      <c r="H24" s="8" t="s">
        <v>14</v>
      </c>
      <c r="I24" s="11">
        <v>30</v>
      </c>
      <c r="J24" s="8" t="s">
        <v>14</v>
      </c>
      <c r="K24" s="11">
        <v>20</v>
      </c>
      <c r="L24" s="11">
        <v>7</v>
      </c>
      <c r="M24" s="11">
        <v>58</v>
      </c>
      <c r="N24" s="167">
        <f>IF(Tabela1[[#This Row],[Subscriber ID]]&lt;&gt;"", 1, 0) +
IF(Tabela1[[#This Row],[EA Play Season Pass]]="Yes", 1, 0) +
IF(Tabela1[[#This Row],[Minecraft Season Pass]]="Yes", 1, 0)</f>
        <v>3</v>
      </c>
    </row>
    <row r="25" spans="1:14" ht="16.5" customHeight="1">
      <c r="A25" s="35">
        <v>3453</v>
      </c>
      <c r="B25" s="8" t="s">
        <v>69</v>
      </c>
      <c r="C25" s="8" t="s">
        <v>21</v>
      </c>
      <c r="D25" s="10">
        <v>45570</v>
      </c>
      <c r="E25" s="8" t="s">
        <v>18</v>
      </c>
      <c r="F25" s="11">
        <v>10</v>
      </c>
      <c r="G25" s="8" t="s">
        <v>15</v>
      </c>
      <c r="H25" s="8" t="s">
        <v>18</v>
      </c>
      <c r="I25" s="11" t="s">
        <v>306</v>
      </c>
      <c r="J25" s="8" t="s">
        <v>14</v>
      </c>
      <c r="K25" s="11">
        <v>20</v>
      </c>
      <c r="L25" s="11">
        <v>10</v>
      </c>
      <c r="M25" s="11">
        <v>20</v>
      </c>
      <c r="N25" s="167">
        <f>IF(Tabela1[[#This Row],[Subscriber ID]]&lt;&gt;"", 1, 0) +
IF(Tabela1[[#This Row],[EA Play Season Pass]]="Yes", 1, 0) +
IF(Tabela1[[#This Row],[Minecraft Season Pass]]="Yes", 1, 0)</f>
        <v>2</v>
      </c>
    </row>
    <row r="26" spans="1:14" ht="16.5" customHeight="1">
      <c r="A26" s="35">
        <v>3460</v>
      </c>
      <c r="B26" s="8" t="s">
        <v>151</v>
      </c>
      <c r="C26" s="8" t="s">
        <v>17</v>
      </c>
      <c r="D26" s="10">
        <v>45577</v>
      </c>
      <c r="E26" s="8" t="s">
        <v>14</v>
      </c>
      <c r="F26" s="11">
        <v>5</v>
      </c>
      <c r="G26" s="8" t="s">
        <v>22</v>
      </c>
      <c r="H26" s="8" t="s">
        <v>18</v>
      </c>
      <c r="I26" s="11" t="s">
        <v>306</v>
      </c>
      <c r="J26" s="8" t="s">
        <v>18</v>
      </c>
      <c r="K26" s="11">
        <v>0</v>
      </c>
      <c r="L26" s="11">
        <v>0</v>
      </c>
      <c r="M26" s="11">
        <v>5</v>
      </c>
      <c r="N26" s="167">
        <f>IF(Tabela1[[#This Row],[Subscriber ID]]&lt;&gt;"", 1, 0) +
IF(Tabela1[[#This Row],[EA Play Season Pass]]="Yes", 1, 0) +
IF(Tabela1[[#This Row],[Minecraft Season Pass]]="Yes", 1, 0)</f>
        <v>1</v>
      </c>
    </row>
    <row r="27" spans="1:14" ht="16.5" customHeight="1">
      <c r="A27" s="35">
        <v>3473</v>
      </c>
      <c r="B27" s="8" t="s">
        <v>164</v>
      </c>
      <c r="C27" s="8" t="s">
        <v>13</v>
      </c>
      <c r="D27" s="10">
        <v>45590</v>
      </c>
      <c r="E27" s="8" t="s">
        <v>18</v>
      </c>
      <c r="F27" s="11">
        <v>15</v>
      </c>
      <c r="G27" s="8" t="s">
        <v>15</v>
      </c>
      <c r="H27" s="8" t="s">
        <v>14</v>
      </c>
      <c r="I27" s="11">
        <v>30</v>
      </c>
      <c r="J27" s="8" t="s">
        <v>14</v>
      </c>
      <c r="K27" s="11">
        <v>20</v>
      </c>
      <c r="L27" s="11">
        <v>3</v>
      </c>
      <c r="M27" s="11">
        <v>62</v>
      </c>
      <c r="N27" s="167">
        <f>IF(Tabela1[[#This Row],[Subscriber ID]]&lt;&gt;"", 1, 0) +
IF(Tabela1[[#This Row],[EA Play Season Pass]]="Yes", 1, 0) +
IF(Tabela1[[#This Row],[Minecraft Season Pass]]="Yes", 1, 0)</f>
        <v>3</v>
      </c>
    </row>
    <row r="28" spans="1:14" ht="16.5" customHeight="1">
      <c r="A28" s="35">
        <v>3503</v>
      </c>
      <c r="B28" s="8" t="s">
        <v>143</v>
      </c>
      <c r="C28" s="8" t="s">
        <v>21</v>
      </c>
      <c r="D28" s="10">
        <v>45620</v>
      </c>
      <c r="E28" s="8" t="s">
        <v>18</v>
      </c>
      <c r="F28" s="11">
        <v>10</v>
      </c>
      <c r="G28" s="8" t="s">
        <v>15</v>
      </c>
      <c r="H28" s="8" t="s">
        <v>18</v>
      </c>
      <c r="I28" s="11" t="s">
        <v>306</v>
      </c>
      <c r="J28" s="8" t="s">
        <v>14</v>
      </c>
      <c r="K28" s="11">
        <v>20</v>
      </c>
      <c r="L28" s="11">
        <v>10</v>
      </c>
      <c r="M28" s="11">
        <v>20</v>
      </c>
      <c r="N28" s="167">
        <f>IF(Tabela1[[#This Row],[Subscriber ID]]&lt;&gt;"", 1, 0) +
IF(Tabela1[[#This Row],[EA Play Season Pass]]="Yes", 1, 0) +
IF(Tabela1[[#This Row],[Minecraft Season Pass]]="Yes", 1, 0)</f>
        <v>2</v>
      </c>
    </row>
    <row r="29" spans="1:14" ht="16.5" customHeight="1">
      <c r="A29" s="35">
        <v>3515</v>
      </c>
      <c r="B29" s="8" t="s">
        <v>154</v>
      </c>
      <c r="C29" s="8" t="s">
        <v>21</v>
      </c>
      <c r="D29" s="10">
        <v>45632</v>
      </c>
      <c r="E29" s="8" t="s">
        <v>18</v>
      </c>
      <c r="F29" s="11">
        <v>10</v>
      </c>
      <c r="G29" s="8" t="s">
        <v>15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10</v>
      </c>
      <c r="M29" s="11">
        <v>20</v>
      </c>
      <c r="N29" s="167">
        <f>IF(Tabela1[[#This Row],[Subscriber ID]]&lt;&gt;"", 1, 0) +
IF(Tabela1[[#This Row],[EA Play Season Pass]]="Yes", 1, 0) +
IF(Tabela1[[#This Row],[Minecraft Season Pass]]="Yes", 1, 0)</f>
        <v>2</v>
      </c>
    </row>
    <row r="30" spans="1:14" ht="16.5" customHeight="1">
      <c r="A30" s="35">
        <v>3516</v>
      </c>
      <c r="B30" s="8" t="s">
        <v>155</v>
      </c>
      <c r="C30" s="8" t="s">
        <v>17</v>
      </c>
      <c r="D30" s="10">
        <v>45633</v>
      </c>
      <c r="E30" s="8" t="s">
        <v>14</v>
      </c>
      <c r="F30" s="11">
        <v>5</v>
      </c>
      <c r="G30" s="8" t="s">
        <v>19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0</v>
      </c>
      <c r="M30" s="11">
        <v>5</v>
      </c>
      <c r="N30" s="167">
        <f>IF(Tabela1[[#This Row],[Subscriber ID]]&lt;&gt;"", 1, 0) +
IF(Tabela1[[#This Row],[EA Play Season Pass]]="Yes", 1, 0) +
IF(Tabela1[[#This Row],[Minecraft Season Pass]]="Yes", 1, 0)</f>
        <v>1</v>
      </c>
    </row>
    <row r="31" spans="1:14" ht="16.5" customHeight="1">
      <c r="A31" s="35">
        <v>3517</v>
      </c>
      <c r="B31" s="8" t="s">
        <v>205</v>
      </c>
      <c r="C31" s="8" t="s">
        <v>13</v>
      </c>
      <c r="D31" s="10">
        <v>45634</v>
      </c>
      <c r="E31" s="8" t="s">
        <v>18</v>
      </c>
      <c r="F31" s="11">
        <v>15</v>
      </c>
      <c r="G31" s="8" t="s">
        <v>15</v>
      </c>
      <c r="H31" s="8" t="s">
        <v>14</v>
      </c>
      <c r="I31" s="11">
        <v>30</v>
      </c>
      <c r="J31" s="8" t="s">
        <v>14</v>
      </c>
      <c r="K31" s="11">
        <v>20</v>
      </c>
      <c r="L31" s="11">
        <v>20</v>
      </c>
      <c r="M31" s="11">
        <v>45</v>
      </c>
      <c r="N31" s="167">
        <f>IF(Tabela1[[#This Row],[Subscriber ID]]&lt;&gt;"", 1, 0) +
IF(Tabela1[[#This Row],[EA Play Season Pass]]="Yes", 1, 0) +
IF(Tabela1[[#This Row],[Minecraft Season Pass]]="Yes", 1, 0)</f>
        <v>3</v>
      </c>
    </row>
    <row r="32" spans="1:14" ht="16.5" customHeight="1">
      <c r="A32" s="35">
        <v>3231</v>
      </c>
      <c r="B32" s="8" t="s">
        <v>12</v>
      </c>
      <c r="C32" s="8" t="s">
        <v>13</v>
      </c>
      <c r="D32" s="10">
        <v>45292</v>
      </c>
      <c r="E32" s="8" t="s">
        <v>14</v>
      </c>
      <c r="F32" s="11">
        <v>15</v>
      </c>
      <c r="G32" s="8" t="s">
        <v>15</v>
      </c>
      <c r="H32" s="8" t="s">
        <v>14</v>
      </c>
      <c r="I32" s="11">
        <v>30</v>
      </c>
      <c r="J32" s="8" t="s">
        <v>14</v>
      </c>
      <c r="K32" s="11">
        <v>20</v>
      </c>
      <c r="L32" s="11">
        <v>5</v>
      </c>
      <c r="M32" s="11">
        <v>60</v>
      </c>
      <c r="N32" s="167">
        <f>IF(Tabela1[[#This Row],[Subscriber ID]]&lt;&gt;"", 1, 0) +
IF(Tabela1[[#This Row],[EA Play Season Pass]]="Yes", 1, 0) +
IF(Tabela1[[#This Row],[Minecraft Season Pass]]="Yes", 1, 0)</f>
        <v>3</v>
      </c>
    </row>
    <row r="33" spans="1:14" ht="16.5" customHeight="1">
      <c r="A33" s="35">
        <v>3232</v>
      </c>
      <c r="B33" s="8" t="s">
        <v>16</v>
      </c>
      <c r="C33" s="8" t="s">
        <v>17</v>
      </c>
      <c r="D33" s="10">
        <v>45306</v>
      </c>
      <c r="E33" s="8" t="s">
        <v>18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  <c r="N33" s="167">
        <f>IF(Tabela1[[#This Row],[Subscriber ID]]&lt;&gt;"", 1, 0) +
IF(Tabela1[[#This Row],[EA Play Season Pass]]="Yes", 1, 0) +
IF(Tabela1[[#This Row],[Minecraft Season Pass]]="Yes", 1, 0)</f>
        <v>1</v>
      </c>
    </row>
    <row r="34" spans="1:14" ht="16.5" customHeight="1">
      <c r="A34" s="35">
        <v>3233</v>
      </c>
      <c r="B34" s="8" t="s">
        <v>20</v>
      </c>
      <c r="C34" s="8" t="s">
        <v>21</v>
      </c>
      <c r="D34" s="10">
        <v>45332</v>
      </c>
      <c r="E34" s="8" t="s">
        <v>14</v>
      </c>
      <c r="F34" s="11">
        <v>10</v>
      </c>
      <c r="G34" s="8" t="s">
        <v>22</v>
      </c>
      <c r="H34" s="8" t="s">
        <v>18</v>
      </c>
      <c r="I34" s="11" t="s">
        <v>306</v>
      </c>
      <c r="J34" s="8" t="s">
        <v>14</v>
      </c>
      <c r="K34" s="11">
        <v>20</v>
      </c>
      <c r="L34" s="11">
        <v>10</v>
      </c>
      <c r="M34" s="11">
        <v>20</v>
      </c>
      <c r="N34" s="167">
        <f>IF(Tabela1[[#This Row],[Subscriber ID]]&lt;&gt;"", 1, 0) +
IF(Tabela1[[#This Row],[EA Play Season Pass]]="Yes", 1, 0) +
IF(Tabela1[[#This Row],[Minecraft Season Pass]]="Yes", 1, 0)</f>
        <v>2</v>
      </c>
    </row>
    <row r="35" spans="1:14" ht="16.5" customHeight="1">
      <c r="A35" s="35">
        <v>3234</v>
      </c>
      <c r="B35" s="8" t="s">
        <v>23</v>
      </c>
      <c r="C35" s="8" t="s">
        <v>13</v>
      </c>
      <c r="D35" s="10">
        <v>45342</v>
      </c>
      <c r="E35" s="8" t="s">
        <v>18</v>
      </c>
      <c r="F35" s="11">
        <v>15</v>
      </c>
      <c r="G35" s="8" t="s">
        <v>15</v>
      </c>
      <c r="H35" s="8" t="s">
        <v>14</v>
      </c>
      <c r="I35" s="11">
        <v>30</v>
      </c>
      <c r="J35" s="8" t="s">
        <v>14</v>
      </c>
      <c r="K35" s="11">
        <v>20</v>
      </c>
      <c r="L35" s="11">
        <v>3</v>
      </c>
      <c r="M35" s="11">
        <v>62</v>
      </c>
      <c r="N35" s="167">
        <f>IF(Tabela1[[#This Row],[Subscriber ID]]&lt;&gt;"", 1, 0) +
IF(Tabela1[[#This Row],[EA Play Season Pass]]="Yes", 1, 0) +
IF(Tabela1[[#This Row],[Minecraft Season Pass]]="Yes", 1, 0)</f>
        <v>3</v>
      </c>
    </row>
    <row r="36" spans="1:14" ht="16.5" customHeight="1">
      <c r="A36" s="35">
        <v>3235</v>
      </c>
      <c r="B36" s="8" t="s">
        <v>24</v>
      </c>
      <c r="C36" s="8" t="s">
        <v>17</v>
      </c>
      <c r="D36" s="10">
        <v>45356</v>
      </c>
      <c r="E36" s="8" t="s">
        <v>14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  <c r="N36" s="167">
        <f>IF(Tabela1[[#This Row],[Subscriber ID]]&lt;&gt;"", 1, 0) +
IF(Tabela1[[#This Row],[EA Play Season Pass]]="Yes", 1, 0) +
IF(Tabela1[[#This Row],[Minecraft Season Pass]]="Yes", 1, 0)</f>
        <v>1</v>
      </c>
    </row>
    <row r="37" spans="1:14" ht="16.5" customHeight="1">
      <c r="A37" s="35">
        <v>3236</v>
      </c>
      <c r="B37" s="8" t="s">
        <v>29</v>
      </c>
      <c r="C37" s="8" t="s">
        <v>21</v>
      </c>
      <c r="D37" s="10">
        <v>45353</v>
      </c>
      <c r="E37" s="8" t="s">
        <v>18</v>
      </c>
      <c r="F37" s="11">
        <v>10</v>
      </c>
      <c r="G37" s="8" t="s">
        <v>15</v>
      </c>
      <c r="H37" s="8" t="s">
        <v>18</v>
      </c>
      <c r="I37" s="11" t="s">
        <v>306</v>
      </c>
      <c r="J37" s="8" t="s">
        <v>14</v>
      </c>
      <c r="K37" s="11">
        <v>20</v>
      </c>
      <c r="L37" s="11">
        <v>2</v>
      </c>
      <c r="M37" s="11">
        <v>28</v>
      </c>
      <c r="N37" s="167">
        <f>IF(Tabela1[[#This Row],[Subscriber ID]]&lt;&gt;"", 1, 0) +
IF(Tabela1[[#This Row],[EA Play Season Pass]]="Yes", 1, 0) +
IF(Tabela1[[#This Row],[Minecraft Season Pass]]="Yes", 1, 0)</f>
        <v>2</v>
      </c>
    </row>
    <row r="38" spans="1:14" ht="16.5" customHeight="1">
      <c r="A38" s="35">
        <v>3237</v>
      </c>
      <c r="B38" s="8" t="s">
        <v>30</v>
      </c>
      <c r="C38" s="8" t="s">
        <v>13</v>
      </c>
      <c r="D38" s="10">
        <v>45354</v>
      </c>
      <c r="E38" s="8" t="s">
        <v>14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10</v>
      </c>
      <c r="M38" s="11">
        <v>55</v>
      </c>
      <c r="N38" s="167">
        <f>IF(Tabela1[[#This Row],[Subscriber ID]]&lt;&gt;"", 1, 0) +
IF(Tabela1[[#This Row],[EA Play Season Pass]]="Yes", 1, 0) +
IF(Tabela1[[#This Row],[Minecraft Season Pass]]="Yes", 1, 0)</f>
        <v>3</v>
      </c>
    </row>
    <row r="39" spans="1:14" ht="16.5" customHeight="1">
      <c r="A39" s="35">
        <v>3238</v>
      </c>
      <c r="B39" s="8" t="s">
        <v>31</v>
      </c>
      <c r="C39" s="8" t="s">
        <v>17</v>
      </c>
      <c r="D39" s="10">
        <v>45355</v>
      </c>
      <c r="E39" s="8" t="s">
        <v>14</v>
      </c>
      <c r="F39" s="11">
        <v>5</v>
      </c>
      <c r="G39" s="8" t="s">
        <v>19</v>
      </c>
      <c r="H39" s="8" t="s">
        <v>18</v>
      </c>
      <c r="I39" s="11" t="s">
        <v>306</v>
      </c>
      <c r="J39" s="8" t="s">
        <v>18</v>
      </c>
      <c r="K39" s="11">
        <v>0</v>
      </c>
      <c r="L39" s="11">
        <v>0</v>
      </c>
      <c r="M39" s="11">
        <v>5</v>
      </c>
      <c r="N39" s="167">
        <f>IF(Tabela1[[#This Row],[Subscriber ID]]&lt;&gt;"", 1, 0) +
IF(Tabela1[[#This Row],[EA Play Season Pass]]="Yes", 1, 0) +
IF(Tabela1[[#This Row],[Minecraft Season Pass]]="Yes", 1, 0)</f>
        <v>1</v>
      </c>
    </row>
    <row r="40" spans="1:14" ht="16.5" customHeight="1">
      <c r="A40" s="35">
        <v>3239</v>
      </c>
      <c r="B40" s="8" t="s">
        <v>32</v>
      </c>
      <c r="C40" s="8" t="s">
        <v>13</v>
      </c>
      <c r="D40" s="10">
        <v>45356</v>
      </c>
      <c r="E40" s="8" t="s">
        <v>18</v>
      </c>
      <c r="F40" s="11">
        <v>15</v>
      </c>
      <c r="G40" s="8" t="s">
        <v>15</v>
      </c>
      <c r="H40" s="8" t="s">
        <v>14</v>
      </c>
      <c r="I40" s="11">
        <v>30</v>
      </c>
      <c r="J40" s="8" t="s">
        <v>14</v>
      </c>
      <c r="K40" s="11">
        <v>20</v>
      </c>
      <c r="L40" s="11">
        <v>5</v>
      </c>
      <c r="M40" s="11">
        <v>60</v>
      </c>
      <c r="N40" s="167">
        <f>IF(Tabela1[[#This Row],[Subscriber ID]]&lt;&gt;"", 1, 0) +
IF(Tabela1[[#This Row],[EA Play Season Pass]]="Yes", 1, 0) +
IF(Tabela1[[#This Row],[Minecraft Season Pass]]="Yes", 1, 0)</f>
        <v>3</v>
      </c>
    </row>
    <row r="41" spans="1:14" ht="16.5" customHeight="1">
      <c r="A41" s="35">
        <v>3240</v>
      </c>
      <c r="B41" s="8" t="s">
        <v>33</v>
      </c>
      <c r="C41" s="8" t="s">
        <v>21</v>
      </c>
      <c r="D41" s="10">
        <v>45357</v>
      </c>
      <c r="E41" s="8" t="s">
        <v>14</v>
      </c>
      <c r="F41" s="11">
        <v>10</v>
      </c>
      <c r="G41" s="8" t="s">
        <v>22</v>
      </c>
      <c r="H41" s="8" t="s">
        <v>18</v>
      </c>
      <c r="I41" s="11" t="s">
        <v>306</v>
      </c>
      <c r="J41" s="8" t="s">
        <v>14</v>
      </c>
      <c r="K41" s="11">
        <v>20</v>
      </c>
      <c r="L41" s="11">
        <v>15</v>
      </c>
      <c r="M41" s="11">
        <v>15</v>
      </c>
      <c r="N41" s="167">
        <f>IF(Tabela1[[#This Row],[Subscriber ID]]&lt;&gt;"", 1, 0) +
IF(Tabela1[[#This Row],[EA Play Season Pass]]="Yes", 1, 0) +
IF(Tabela1[[#This Row],[Minecraft Season Pass]]="Yes", 1, 0)</f>
        <v>2</v>
      </c>
    </row>
    <row r="42" spans="1:14" ht="16.5" customHeight="1">
      <c r="A42" s="35">
        <v>3241</v>
      </c>
      <c r="B42" s="8" t="s">
        <v>34</v>
      </c>
      <c r="C42" s="8" t="s">
        <v>17</v>
      </c>
      <c r="D42" s="10">
        <v>45358</v>
      </c>
      <c r="E42" s="8" t="s">
        <v>18</v>
      </c>
      <c r="F42" s="11">
        <v>5</v>
      </c>
      <c r="G42" s="8" t="s">
        <v>15</v>
      </c>
      <c r="H42" s="8" t="s">
        <v>18</v>
      </c>
      <c r="I42" s="11" t="s">
        <v>306</v>
      </c>
      <c r="J42" s="8" t="s">
        <v>18</v>
      </c>
      <c r="K42" s="11">
        <v>0</v>
      </c>
      <c r="L42" s="11">
        <v>1</v>
      </c>
      <c r="M42" s="11">
        <v>4</v>
      </c>
      <c r="N42" s="167">
        <f>IF(Tabela1[[#This Row],[Subscriber ID]]&lt;&gt;"", 1, 0) +
IF(Tabela1[[#This Row],[EA Play Season Pass]]="Yes", 1, 0) +
IF(Tabela1[[#This Row],[Minecraft Season Pass]]="Yes", 1, 0)</f>
        <v>1</v>
      </c>
    </row>
    <row r="43" spans="1:14" ht="16.5" customHeight="1">
      <c r="A43" s="35">
        <v>3242</v>
      </c>
      <c r="B43" s="8" t="s">
        <v>35</v>
      </c>
      <c r="C43" s="8" t="s">
        <v>13</v>
      </c>
      <c r="D43" s="10">
        <v>45359</v>
      </c>
      <c r="E43" s="8" t="s">
        <v>14</v>
      </c>
      <c r="F43" s="11">
        <v>15</v>
      </c>
      <c r="G43" s="8" t="s">
        <v>19</v>
      </c>
      <c r="H43" s="8" t="s">
        <v>14</v>
      </c>
      <c r="I43" s="11">
        <v>30</v>
      </c>
      <c r="J43" s="8" t="s">
        <v>14</v>
      </c>
      <c r="K43" s="11">
        <v>20</v>
      </c>
      <c r="L43" s="11">
        <v>20</v>
      </c>
      <c r="M43" s="11">
        <v>45</v>
      </c>
      <c r="N43" s="167">
        <f>IF(Tabela1[[#This Row],[Subscriber ID]]&lt;&gt;"", 1, 0) +
IF(Tabela1[[#This Row],[EA Play Season Pass]]="Yes", 1, 0) +
IF(Tabela1[[#This Row],[Minecraft Season Pass]]="Yes", 1, 0)</f>
        <v>3</v>
      </c>
    </row>
    <row r="44" spans="1:14" ht="16.5" customHeight="1">
      <c r="A44" s="35">
        <v>3243</v>
      </c>
      <c r="B44" s="8" t="s">
        <v>36</v>
      </c>
      <c r="C44" s="8" t="s">
        <v>21</v>
      </c>
      <c r="D44" s="10">
        <v>45360</v>
      </c>
      <c r="E44" s="8" t="s">
        <v>18</v>
      </c>
      <c r="F44" s="11">
        <v>10</v>
      </c>
      <c r="G44" s="8" t="s">
        <v>15</v>
      </c>
      <c r="H44" s="8" t="s">
        <v>18</v>
      </c>
      <c r="I44" s="11" t="s">
        <v>306</v>
      </c>
      <c r="J44" s="8" t="s">
        <v>14</v>
      </c>
      <c r="K44" s="11">
        <v>20</v>
      </c>
      <c r="L44" s="11">
        <v>10</v>
      </c>
      <c r="M44" s="11">
        <v>20</v>
      </c>
      <c r="N44" s="167">
        <f>IF(Tabela1[[#This Row],[Subscriber ID]]&lt;&gt;"", 1, 0) +
IF(Tabela1[[#This Row],[EA Play Season Pass]]="Yes", 1, 0) +
IF(Tabela1[[#This Row],[Minecraft Season Pass]]="Yes", 1, 0)</f>
        <v>2</v>
      </c>
    </row>
    <row r="45" spans="1:14" ht="16.5" customHeight="1">
      <c r="A45" s="35">
        <v>3244</v>
      </c>
      <c r="B45" s="8" t="s">
        <v>37</v>
      </c>
      <c r="C45" s="8" t="s">
        <v>17</v>
      </c>
      <c r="D45" s="10">
        <v>45361</v>
      </c>
      <c r="E45" s="8" t="s">
        <v>14</v>
      </c>
      <c r="F45" s="11">
        <v>5</v>
      </c>
      <c r="G45" s="8" t="s">
        <v>22</v>
      </c>
      <c r="H45" s="8" t="s">
        <v>18</v>
      </c>
      <c r="I45" s="11" t="s">
        <v>306</v>
      </c>
      <c r="J45" s="8" t="s">
        <v>18</v>
      </c>
      <c r="K45" s="11">
        <v>0</v>
      </c>
      <c r="L45" s="11">
        <v>0</v>
      </c>
      <c r="M45" s="11">
        <v>5</v>
      </c>
      <c r="N45" s="167">
        <f>IF(Tabela1[[#This Row],[Subscriber ID]]&lt;&gt;"", 1, 0) +
IF(Tabela1[[#This Row],[EA Play Season Pass]]="Yes", 1, 0) +
IF(Tabela1[[#This Row],[Minecraft Season Pass]]="Yes", 1, 0)</f>
        <v>1</v>
      </c>
    </row>
    <row r="46" spans="1:14" ht="16.5" customHeight="1">
      <c r="A46" s="35">
        <v>3247</v>
      </c>
      <c r="B46" s="8" t="s">
        <v>40</v>
      </c>
      <c r="C46" s="8" t="s">
        <v>17</v>
      </c>
      <c r="D46" s="10">
        <v>45364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  <c r="N46" s="167">
        <f>IF(Tabela1[[#This Row],[Subscriber ID]]&lt;&gt;"", 1, 0) +
IF(Tabela1[[#This Row],[EA Play Season Pass]]="Yes", 1, 0) +
IF(Tabela1[[#This Row],[Minecraft Season Pass]]="Yes", 1, 0)</f>
        <v>1</v>
      </c>
    </row>
    <row r="47" spans="1:14" ht="16.5" customHeight="1">
      <c r="A47" s="35">
        <v>3248</v>
      </c>
      <c r="B47" s="8" t="s">
        <v>41</v>
      </c>
      <c r="C47" s="8" t="s">
        <v>13</v>
      </c>
      <c r="D47" s="10">
        <v>45365</v>
      </c>
      <c r="E47" s="8" t="s">
        <v>14</v>
      </c>
      <c r="F47" s="11">
        <v>15</v>
      </c>
      <c r="G47" s="8" t="s">
        <v>22</v>
      </c>
      <c r="H47" s="8" t="s">
        <v>14</v>
      </c>
      <c r="I47" s="11">
        <v>30</v>
      </c>
      <c r="J47" s="8" t="s">
        <v>14</v>
      </c>
      <c r="K47" s="11">
        <v>20</v>
      </c>
      <c r="L47" s="11">
        <v>7</v>
      </c>
      <c r="M47" s="11">
        <v>58</v>
      </c>
      <c r="N47" s="167">
        <f>IF(Tabela1[[#This Row],[Subscriber ID]]&lt;&gt;"", 1, 0) +
IF(Tabela1[[#This Row],[EA Play Season Pass]]="Yes", 1, 0) +
IF(Tabela1[[#This Row],[Minecraft Season Pass]]="Yes", 1, 0)</f>
        <v>3</v>
      </c>
    </row>
    <row r="48" spans="1:14" ht="16.5" customHeight="1">
      <c r="A48" s="35">
        <v>3249</v>
      </c>
      <c r="B48" s="8" t="s">
        <v>42</v>
      </c>
      <c r="C48" s="8" t="s">
        <v>21</v>
      </c>
      <c r="D48" s="10">
        <v>45366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5</v>
      </c>
      <c r="M48" s="11">
        <v>25</v>
      </c>
      <c r="N48" s="167">
        <f>IF(Tabela1[[#This Row],[Subscriber ID]]&lt;&gt;"", 1, 0) +
IF(Tabela1[[#This Row],[EA Play Season Pass]]="Yes", 1, 0) +
IF(Tabela1[[#This Row],[Minecraft Season Pass]]="Yes", 1, 0)</f>
        <v>2</v>
      </c>
    </row>
    <row r="49" spans="1:14" ht="16.5" customHeight="1">
      <c r="A49" s="35">
        <v>3250</v>
      </c>
      <c r="B49" s="8" t="s">
        <v>43</v>
      </c>
      <c r="C49" s="8" t="s">
        <v>17</v>
      </c>
      <c r="D49" s="10">
        <v>45367</v>
      </c>
      <c r="E49" s="8" t="s">
        <v>14</v>
      </c>
      <c r="F49" s="11">
        <v>5</v>
      </c>
      <c r="G49" s="8" t="s">
        <v>19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  <c r="N49" s="167">
        <f>IF(Tabela1[[#This Row],[Subscriber ID]]&lt;&gt;"", 1, 0) +
IF(Tabela1[[#This Row],[EA Play Season Pass]]="Yes", 1, 0) +
IF(Tabela1[[#This Row],[Minecraft Season Pass]]="Yes", 1, 0)</f>
        <v>1</v>
      </c>
    </row>
    <row r="50" spans="1:14" ht="16.5" customHeight="1">
      <c r="A50" s="35">
        <v>3251</v>
      </c>
      <c r="B50" s="8" t="s">
        <v>44</v>
      </c>
      <c r="C50" s="8" t="s">
        <v>13</v>
      </c>
      <c r="D50" s="10">
        <v>45368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  <c r="N50" s="167">
        <f>IF(Tabela1[[#This Row],[Subscriber ID]]&lt;&gt;"", 1, 0) +
IF(Tabela1[[#This Row],[EA Play Season Pass]]="Yes", 1, 0) +
IF(Tabela1[[#This Row],[Minecraft Season Pass]]="Yes", 1, 0)</f>
        <v>3</v>
      </c>
    </row>
    <row r="51" spans="1:14" ht="16.5" customHeight="1">
      <c r="A51" s="35">
        <v>3252</v>
      </c>
      <c r="B51" s="8" t="s">
        <v>45</v>
      </c>
      <c r="C51" s="8" t="s">
        <v>21</v>
      </c>
      <c r="D51" s="10">
        <v>45369</v>
      </c>
      <c r="E51" s="8" t="s">
        <v>14</v>
      </c>
      <c r="F51" s="11">
        <v>10</v>
      </c>
      <c r="G51" s="8" t="s">
        <v>22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  <c r="N51" s="167">
        <f>IF(Tabela1[[#This Row],[Subscriber ID]]&lt;&gt;"", 1, 0) +
IF(Tabela1[[#This Row],[EA Play Season Pass]]="Yes", 1, 0) +
IF(Tabela1[[#This Row],[Minecraft Season Pass]]="Yes", 1, 0)</f>
        <v>2</v>
      </c>
    </row>
    <row r="52" spans="1:14" ht="16.5" customHeight="1">
      <c r="A52" s="35">
        <v>3253</v>
      </c>
      <c r="B52" s="8" t="s">
        <v>46</v>
      </c>
      <c r="C52" s="8" t="s">
        <v>17</v>
      </c>
      <c r="D52" s="10">
        <v>45370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  <c r="N52" s="167">
        <f>IF(Tabela1[[#This Row],[Subscriber ID]]&lt;&gt;"", 1, 0) +
IF(Tabela1[[#This Row],[EA Play Season Pass]]="Yes", 1, 0) +
IF(Tabela1[[#This Row],[Minecraft Season Pass]]="Yes", 1, 0)</f>
        <v>1</v>
      </c>
    </row>
    <row r="53" spans="1:14" ht="16.5" customHeight="1">
      <c r="A53" s="35">
        <v>3254</v>
      </c>
      <c r="B53" s="8" t="s">
        <v>47</v>
      </c>
      <c r="C53" s="8" t="s">
        <v>13</v>
      </c>
      <c r="D53" s="10">
        <v>45371</v>
      </c>
      <c r="E53" s="8" t="s">
        <v>14</v>
      </c>
      <c r="F53" s="11">
        <v>15</v>
      </c>
      <c r="G53" s="8" t="s">
        <v>19</v>
      </c>
      <c r="H53" s="8" t="s">
        <v>14</v>
      </c>
      <c r="I53" s="11">
        <v>30</v>
      </c>
      <c r="J53" s="8" t="s">
        <v>14</v>
      </c>
      <c r="K53" s="11">
        <v>20</v>
      </c>
      <c r="L53" s="11">
        <v>20</v>
      </c>
      <c r="M53" s="11">
        <v>45</v>
      </c>
      <c r="N53" s="167">
        <f>IF(Tabela1[[#This Row],[Subscriber ID]]&lt;&gt;"", 1, 0) +
IF(Tabela1[[#This Row],[EA Play Season Pass]]="Yes", 1, 0) +
IF(Tabela1[[#This Row],[Minecraft Season Pass]]="Yes", 1, 0)</f>
        <v>3</v>
      </c>
    </row>
    <row r="54" spans="1:14" ht="16.5" customHeight="1">
      <c r="A54" s="35">
        <v>3255</v>
      </c>
      <c r="B54" s="8" t="s">
        <v>48</v>
      </c>
      <c r="C54" s="8" t="s">
        <v>21</v>
      </c>
      <c r="D54" s="10">
        <v>45372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  <c r="N54" s="167">
        <f>IF(Tabela1[[#This Row],[Subscriber ID]]&lt;&gt;"", 1, 0) +
IF(Tabela1[[#This Row],[EA Play Season Pass]]="Yes", 1, 0) +
IF(Tabela1[[#This Row],[Minecraft Season Pass]]="Yes", 1, 0)</f>
        <v>2</v>
      </c>
    </row>
    <row r="55" spans="1:14" ht="16.5" customHeight="1">
      <c r="A55" s="35">
        <v>3256</v>
      </c>
      <c r="B55" s="8" t="s">
        <v>49</v>
      </c>
      <c r="C55" s="8" t="s">
        <v>17</v>
      </c>
      <c r="D55" s="10">
        <v>45373</v>
      </c>
      <c r="E55" s="8" t="s">
        <v>14</v>
      </c>
      <c r="F55" s="11">
        <v>5</v>
      </c>
      <c r="G55" s="8" t="s">
        <v>22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  <c r="N55" s="167">
        <f>IF(Tabela1[[#This Row],[Subscriber ID]]&lt;&gt;"", 1, 0) +
IF(Tabela1[[#This Row],[EA Play Season Pass]]="Yes", 1, 0) +
IF(Tabela1[[#This Row],[Minecraft Season Pass]]="Yes", 1, 0)</f>
        <v>1</v>
      </c>
    </row>
    <row r="56" spans="1:14" ht="16.5" customHeight="1">
      <c r="A56" s="35">
        <v>3257</v>
      </c>
      <c r="B56" s="8" t="s">
        <v>50</v>
      </c>
      <c r="C56" s="8" t="s">
        <v>13</v>
      </c>
      <c r="D56" s="10">
        <v>45374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5</v>
      </c>
      <c r="M56" s="11">
        <v>60</v>
      </c>
      <c r="N56" s="167">
        <f>IF(Tabela1[[#This Row],[Subscriber ID]]&lt;&gt;"", 1, 0) +
IF(Tabela1[[#This Row],[EA Play Season Pass]]="Yes", 1, 0) +
IF(Tabela1[[#This Row],[Minecraft Season Pass]]="Yes", 1, 0)</f>
        <v>3</v>
      </c>
    </row>
    <row r="57" spans="1:14" ht="16.5" customHeight="1">
      <c r="A57" s="35">
        <v>3258</v>
      </c>
      <c r="B57" s="8" t="s">
        <v>51</v>
      </c>
      <c r="C57" s="8" t="s">
        <v>21</v>
      </c>
      <c r="D57" s="10">
        <v>45375</v>
      </c>
      <c r="E57" s="8" t="s">
        <v>14</v>
      </c>
      <c r="F57" s="11">
        <v>10</v>
      </c>
      <c r="G57" s="8" t="s">
        <v>19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  <c r="N57" s="167">
        <f>IF(Tabela1[[#This Row],[Subscriber ID]]&lt;&gt;"", 1, 0) +
IF(Tabela1[[#This Row],[EA Play Season Pass]]="Yes", 1, 0) +
IF(Tabela1[[#This Row],[Minecraft Season Pass]]="Yes", 1, 0)</f>
        <v>2</v>
      </c>
    </row>
    <row r="58" spans="1:14" ht="16.5" customHeight="1">
      <c r="A58" s="35">
        <v>3259</v>
      </c>
      <c r="B58" s="8" t="s">
        <v>52</v>
      </c>
      <c r="C58" s="8" t="s">
        <v>17</v>
      </c>
      <c r="D58" s="10">
        <v>45376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  <c r="N58" s="167">
        <f>IF(Tabela1[[#This Row],[Subscriber ID]]&lt;&gt;"", 1, 0) +
IF(Tabela1[[#This Row],[EA Play Season Pass]]="Yes", 1, 0) +
IF(Tabela1[[#This Row],[Minecraft Season Pass]]="Yes", 1, 0)</f>
        <v>1</v>
      </c>
    </row>
    <row r="59" spans="1:14" ht="16.5" customHeight="1">
      <c r="A59" s="35">
        <v>3260</v>
      </c>
      <c r="B59" s="8" t="s">
        <v>53</v>
      </c>
      <c r="C59" s="8" t="s">
        <v>13</v>
      </c>
      <c r="D59" s="10">
        <v>45377</v>
      </c>
      <c r="E59" s="8" t="s">
        <v>14</v>
      </c>
      <c r="F59" s="11">
        <v>15</v>
      </c>
      <c r="G59" s="8" t="s">
        <v>22</v>
      </c>
      <c r="H59" s="8" t="s">
        <v>14</v>
      </c>
      <c r="I59" s="11">
        <v>30</v>
      </c>
      <c r="J59" s="8" t="s">
        <v>14</v>
      </c>
      <c r="K59" s="11">
        <v>20</v>
      </c>
      <c r="L59" s="11">
        <v>7</v>
      </c>
      <c r="M59" s="11">
        <v>58</v>
      </c>
      <c r="N59" s="167">
        <f>IF(Tabela1[[#This Row],[Subscriber ID]]&lt;&gt;"", 1, 0) +
IF(Tabela1[[#This Row],[EA Play Season Pass]]="Yes", 1, 0) +
IF(Tabela1[[#This Row],[Minecraft Season Pass]]="Yes", 1, 0)</f>
        <v>3</v>
      </c>
    </row>
    <row r="60" spans="1:14" ht="16.5" customHeight="1">
      <c r="A60" s="35">
        <v>3261</v>
      </c>
      <c r="B60" s="8" t="s">
        <v>54</v>
      </c>
      <c r="C60" s="8" t="s">
        <v>21</v>
      </c>
      <c r="D60" s="10">
        <v>45378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  <c r="N60" s="167">
        <f>IF(Tabela1[[#This Row],[Subscriber ID]]&lt;&gt;"", 1, 0) +
IF(Tabela1[[#This Row],[EA Play Season Pass]]="Yes", 1, 0) +
IF(Tabela1[[#This Row],[Minecraft Season Pass]]="Yes", 1, 0)</f>
        <v>2</v>
      </c>
    </row>
    <row r="61" spans="1:14" ht="16.5" customHeight="1">
      <c r="A61" s="35">
        <v>3262</v>
      </c>
      <c r="B61" s="8" t="s">
        <v>55</v>
      </c>
      <c r="C61" s="8" t="s">
        <v>17</v>
      </c>
      <c r="D61" s="10">
        <v>45379</v>
      </c>
      <c r="E61" s="8" t="s">
        <v>14</v>
      </c>
      <c r="F61" s="11">
        <v>5</v>
      </c>
      <c r="G61" s="8" t="s">
        <v>19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  <c r="N61" s="167">
        <f>IF(Tabela1[[#This Row],[Subscriber ID]]&lt;&gt;"", 1, 0) +
IF(Tabela1[[#This Row],[EA Play Season Pass]]="Yes", 1, 0) +
IF(Tabela1[[#This Row],[Minecraft Season Pass]]="Yes", 1, 0)</f>
        <v>1</v>
      </c>
    </row>
    <row r="62" spans="1:14" ht="16.5" customHeight="1">
      <c r="A62" s="35">
        <v>3263</v>
      </c>
      <c r="B62" s="8" t="s">
        <v>56</v>
      </c>
      <c r="C62" s="8" t="s">
        <v>13</v>
      </c>
      <c r="D62" s="10">
        <v>45380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3</v>
      </c>
      <c r="M62" s="11">
        <v>62</v>
      </c>
      <c r="N62" s="167">
        <f>IF(Tabela1[[#This Row],[Subscriber ID]]&lt;&gt;"", 1, 0) +
IF(Tabela1[[#This Row],[EA Play Season Pass]]="Yes", 1, 0) +
IF(Tabela1[[#This Row],[Minecraft Season Pass]]="Yes", 1, 0)</f>
        <v>3</v>
      </c>
    </row>
    <row r="63" spans="1:14" ht="16.5" customHeight="1">
      <c r="A63" s="35">
        <v>3264</v>
      </c>
      <c r="B63" s="8" t="s">
        <v>57</v>
      </c>
      <c r="C63" s="8" t="s">
        <v>21</v>
      </c>
      <c r="D63" s="10">
        <v>45381</v>
      </c>
      <c r="E63" s="8" t="s">
        <v>14</v>
      </c>
      <c r="F63" s="11">
        <v>10</v>
      </c>
      <c r="G63" s="8" t="s">
        <v>22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  <c r="N63" s="167">
        <f>IF(Tabela1[[#This Row],[Subscriber ID]]&lt;&gt;"", 1, 0) +
IF(Tabela1[[#This Row],[EA Play Season Pass]]="Yes", 1, 0) +
IF(Tabela1[[#This Row],[Minecraft Season Pass]]="Yes", 1, 0)</f>
        <v>2</v>
      </c>
    </row>
    <row r="64" spans="1:14" ht="16.5" customHeight="1">
      <c r="A64" s="35">
        <v>3265</v>
      </c>
      <c r="B64" s="8" t="s">
        <v>58</v>
      </c>
      <c r="C64" s="8" t="s">
        <v>17</v>
      </c>
      <c r="D64" s="10">
        <v>45382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  <c r="N64" s="167">
        <f>IF(Tabela1[[#This Row],[Subscriber ID]]&lt;&gt;"", 1, 0) +
IF(Tabela1[[#This Row],[EA Play Season Pass]]="Yes", 1, 0) +
IF(Tabela1[[#This Row],[Minecraft Season Pass]]="Yes", 1, 0)</f>
        <v>1</v>
      </c>
    </row>
    <row r="65" spans="1:14" ht="16.5" customHeight="1">
      <c r="A65" s="35">
        <v>3266</v>
      </c>
      <c r="B65" s="8" t="s">
        <v>59</v>
      </c>
      <c r="C65" s="8" t="s">
        <v>17</v>
      </c>
      <c r="D65" s="10">
        <v>45383</v>
      </c>
      <c r="E65" s="8" t="s">
        <v>14</v>
      </c>
      <c r="F65" s="11">
        <v>5</v>
      </c>
      <c r="G65" s="8" t="s">
        <v>15</v>
      </c>
      <c r="H65" s="8" t="s">
        <v>18</v>
      </c>
      <c r="I65" s="11" t="s">
        <v>306</v>
      </c>
      <c r="J65" s="8" t="s">
        <v>18</v>
      </c>
      <c r="K65" s="11">
        <v>0</v>
      </c>
      <c r="L65" s="11">
        <v>0</v>
      </c>
      <c r="M65" s="11">
        <v>5</v>
      </c>
      <c r="N65" s="167">
        <f>IF(Tabela1[[#This Row],[Subscriber ID]]&lt;&gt;"", 1, 0) +
IF(Tabela1[[#This Row],[EA Play Season Pass]]="Yes", 1, 0) +
IF(Tabela1[[#This Row],[Minecraft Season Pass]]="Yes", 1, 0)</f>
        <v>1</v>
      </c>
    </row>
    <row r="66" spans="1:14" ht="16.5" customHeight="1">
      <c r="A66" s="35">
        <v>3267</v>
      </c>
      <c r="B66" s="8" t="s">
        <v>60</v>
      </c>
      <c r="C66" s="8" t="s">
        <v>13</v>
      </c>
      <c r="D66" s="10">
        <v>45384</v>
      </c>
      <c r="E66" s="8" t="s">
        <v>18</v>
      </c>
      <c r="F66" s="11">
        <v>15</v>
      </c>
      <c r="G66" s="8" t="s">
        <v>22</v>
      </c>
      <c r="H66" s="8" t="s">
        <v>14</v>
      </c>
      <c r="I66" s="11">
        <v>30</v>
      </c>
      <c r="J66" s="8" t="s">
        <v>14</v>
      </c>
      <c r="K66" s="11">
        <v>20</v>
      </c>
      <c r="L66" s="11">
        <v>7</v>
      </c>
      <c r="M66" s="11">
        <v>58</v>
      </c>
      <c r="N66" s="167">
        <f>IF(Tabela1[[#This Row],[Subscriber ID]]&lt;&gt;"", 1, 0) +
IF(Tabela1[[#This Row],[EA Play Season Pass]]="Yes", 1, 0) +
IF(Tabela1[[#This Row],[Minecraft Season Pass]]="Yes", 1, 0)</f>
        <v>3</v>
      </c>
    </row>
    <row r="67" spans="1:14" ht="16.5" customHeight="1">
      <c r="A67" s="35">
        <v>3269</v>
      </c>
      <c r="B67" s="8" t="s">
        <v>62</v>
      </c>
      <c r="C67" s="8" t="s">
        <v>17</v>
      </c>
      <c r="D67" s="10">
        <v>45386</v>
      </c>
      <c r="E67" s="8" t="s">
        <v>18</v>
      </c>
      <c r="F67" s="11">
        <v>5</v>
      </c>
      <c r="G67" s="8" t="s">
        <v>22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1</v>
      </c>
      <c r="M67" s="11">
        <v>4</v>
      </c>
      <c r="N67" s="167">
        <f>IF(Tabela1[[#This Row],[Subscriber ID]]&lt;&gt;"", 1, 0) +
IF(Tabela1[[#This Row],[EA Play Season Pass]]="Yes", 1, 0) +
IF(Tabela1[[#This Row],[Minecraft Season Pass]]="Yes", 1, 0)</f>
        <v>1</v>
      </c>
    </row>
    <row r="68" spans="1:14" ht="16.5" customHeight="1">
      <c r="A68" s="35">
        <v>3270</v>
      </c>
      <c r="B68" s="8" t="s">
        <v>63</v>
      </c>
      <c r="C68" s="8" t="s">
        <v>13</v>
      </c>
      <c r="D68" s="10">
        <v>45387</v>
      </c>
      <c r="E68" s="8" t="s">
        <v>14</v>
      </c>
      <c r="F68" s="11">
        <v>15</v>
      </c>
      <c r="G68" s="8" t="s">
        <v>15</v>
      </c>
      <c r="H68" s="8" t="s">
        <v>14</v>
      </c>
      <c r="I68" s="11">
        <v>30</v>
      </c>
      <c r="J68" s="8" t="s">
        <v>14</v>
      </c>
      <c r="K68" s="11">
        <v>20</v>
      </c>
      <c r="L68" s="11">
        <v>15</v>
      </c>
      <c r="M68" s="11">
        <v>50</v>
      </c>
      <c r="N68" s="167">
        <f>IF(Tabela1[[#This Row],[Subscriber ID]]&lt;&gt;"", 1, 0) +
IF(Tabela1[[#This Row],[EA Play Season Pass]]="Yes", 1, 0) +
IF(Tabela1[[#This Row],[Minecraft Season Pass]]="Yes", 1, 0)</f>
        <v>3</v>
      </c>
    </row>
    <row r="69" spans="1:14" ht="16.5" customHeight="1">
      <c r="A69" s="35">
        <v>3271</v>
      </c>
      <c r="B69" s="8" t="s">
        <v>64</v>
      </c>
      <c r="C69" s="8" t="s">
        <v>21</v>
      </c>
      <c r="D69" s="10">
        <v>45388</v>
      </c>
      <c r="E69" s="8" t="s">
        <v>18</v>
      </c>
      <c r="F69" s="11">
        <v>10</v>
      </c>
      <c r="G69" s="8" t="s">
        <v>15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5</v>
      </c>
      <c r="M69" s="11">
        <v>25</v>
      </c>
      <c r="N69" s="167">
        <f>IF(Tabela1[[#This Row],[Subscriber ID]]&lt;&gt;"", 1, 0) +
IF(Tabela1[[#This Row],[EA Play Season Pass]]="Yes", 1, 0) +
IF(Tabela1[[#This Row],[Minecraft Season Pass]]="Yes", 1, 0)</f>
        <v>2</v>
      </c>
    </row>
    <row r="70" spans="1:14" ht="16.5" customHeight="1">
      <c r="A70" s="35">
        <v>3272</v>
      </c>
      <c r="B70" s="8" t="s">
        <v>65</v>
      </c>
      <c r="C70" s="8" t="s">
        <v>17</v>
      </c>
      <c r="D70" s="10">
        <v>45389</v>
      </c>
      <c r="E70" s="8" t="s">
        <v>14</v>
      </c>
      <c r="F70" s="11">
        <v>5</v>
      </c>
      <c r="G70" s="8" t="s">
        <v>19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0</v>
      </c>
      <c r="M70" s="11">
        <v>5</v>
      </c>
      <c r="N70" s="167">
        <f>IF(Tabela1[[#This Row],[Subscriber ID]]&lt;&gt;"", 1, 0) +
IF(Tabela1[[#This Row],[EA Play Season Pass]]="Yes", 1, 0) +
IF(Tabela1[[#This Row],[Minecraft Season Pass]]="Yes", 1, 0)</f>
        <v>1</v>
      </c>
    </row>
    <row r="71" spans="1:14" ht="16.5" customHeight="1">
      <c r="A71" s="35">
        <v>3273</v>
      </c>
      <c r="B71" s="8" t="s">
        <v>66</v>
      </c>
      <c r="C71" s="8" t="s">
        <v>13</v>
      </c>
      <c r="D71" s="10">
        <v>45390</v>
      </c>
      <c r="E71" s="8" t="s">
        <v>18</v>
      </c>
      <c r="F71" s="11">
        <v>15</v>
      </c>
      <c r="G71" s="8" t="s">
        <v>22</v>
      </c>
      <c r="H71" s="8" t="s">
        <v>14</v>
      </c>
      <c r="I71" s="11">
        <v>30</v>
      </c>
      <c r="J71" s="8" t="s">
        <v>14</v>
      </c>
      <c r="K71" s="11">
        <v>20</v>
      </c>
      <c r="L71" s="11">
        <v>20</v>
      </c>
      <c r="M71" s="11">
        <v>45</v>
      </c>
      <c r="N71" s="167">
        <f>IF(Tabela1[[#This Row],[Subscriber ID]]&lt;&gt;"", 1, 0) +
IF(Tabela1[[#This Row],[EA Play Season Pass]]="Yes", 1, 0) +
IF(Tabela1[[#This Row],[Minecraft Season Pass]]="Yes", 1, 0)</f>
        <v>3</v>
      </c>
    </row>
    <row r="72" spans="1:14" ht="16.5" customHeight="1">
      <c r="A72" s="35">
        <v>3274</v>
      </c>
      <c r="B72" s="8" t="s">
        <v>67</v>
      </c>
      <c r="C72" s="8" t="s">
        <v>21</v>
      </c>
      <c r="D72" s="10">
        <v>45391</v>
      </c>
      <c r="E72" s="8" t="s">
        <v>14</v>
      </c>
      <c r="F72" s="11">
        <v>10</v>
      </c>
      <c r="G72" s="8" t="s">
        <v>22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12</v>
      </c>
      <c r="M72" s="11">
        <v>18</v>
      </c>
      <c r="N72" s="167">
        <f>IF(Tabela1[[#This Row],[Subscriber ID]]&lt;&gt;"", 1, 0) +
IF(Tabela1[[#This Row],[EA Play Season Pass]]="Yes", 1, 0) +
IF(Tabela1[[#This Row],[Minecraft Season Pass]]="Yes", 1, 0)</f>
        <v>2</v>
      </c>
    </row>
    <row r="73" spans="1:14" ht="16.5" customHeight="1">
      <c r="A73" s="35">
        <v>3275</v>
      </c>
      <c r="B73" s="8" t="s">
        <v>68</v>
      </c>
      <c r="C73" s="8" t="s">
        <v>17</v>
      </c>
      <c r="D73" s="10">
        <v>45392</v>
      </c>
      <c r="E73" s="8" t="s">
        <v>18</v>
      </c>
      <c r="F73" s="11">
        <v>5</v>
      </c>
      <c r="G73" s="8" t="s">
        <v>15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2</v>
      </c>
      <c r="M73" s="11">
        <v>3</v>
      </c>
      <c r="N73" s="167">
        <f>IF(Tabela1[[#This Row],[Subscriber ID]]&lt;&gt;"", 1, 0) +
IF(Tabela1[[#This Row],[EA Play Season Pass]]="Yes", 1, 0) +
IF(Tabela1[[#This Row],[Minecraft Season Pass]]="Yes", 1, 0)</f>
        <v>1</v>
      </c>
    </row>
    <row r="74" spans="1:14" ht="16.5" customHeight="1">
      <c r="A74" s="35">
        <v>3277</v>
      </c>
      <c r="B74" s="8" t="s">
        <v>70</v>
      </c>
      <c r="C74" s="8" t="s">
        <v>21</v>
      </c>
      <c r="D74" s="10">
        <v>45394</v>
      </c>
      <c r="E74" s="8" t="s">
        <v>18</v>
      </c>
      <c r="F74" s="11">
        <v>10</v>
      </c>
      <c r="G74" s="8" t="s">
        <v>15</v>
      </c>
      <c r="H74" s="8" t="s">
        <v>18</v>
      </c>
      <c r="I74" s="11" t="s">
        <v>306</v>
      </c>
      <c r="J74" s="8" t="s">
        <v>14</v>
      </c>
      <c r="K74" s="11">
        <v>20</v>
      </c>
      <c r="L74" s="11">
        <v>10</v>
      </c>
      <c r="M74" s="11">
        <v>20</v>
      </c>
      <c r="N74" s="167">
        <f>IF(Tabela1[[#This Row],[Subscriber ID]]&lt;&gt;"", 1, 0) +
IF(Tabela1[[#This Row],[EA Play Season Pass]]="Yes", 1, 0) +
IF(Tabela1[[#This Row],[Minecraft Season Pass]]="Yes", 1, 0)</f>
        <v>2</v>
      </c>
    </row>
    <row r="75" spans="1:14" ht="16.5" customHeight="1">
      <c r="A75" s="35">
        <v>3278</v>
      </c>
      <c r="B75" s="8" t="s">
        <v>71</v>
      </c>
      <c r="C75" s="8" t="s">
        <v>17</v>
      </c>
      <c r="D75" s="10">
        <v>45395</v>
      </c>
      <c r="E75" s="8" t="s">
        <v>14</v>
      </c>
      <c r="F75" s="11">
        <v>5</v>
      </c>
      <c r="G75" s="8" t="s">
        <v>22</v>
      </c>
      <c r="H75" s="8" t="s">
        <v>18</v>
      </c>
      <c r="I75" s="11" t="s">
        <v>306</v>
      </c>
      <c r="J75" s="8" t="s">
        <v>18</v>
      </c>
      <c r="K75" s="11">
        <v>0</v>
      </c>
      <c r="L75" s="11">
        <v>0</v>
      </c>
      <c r="M75" s="11">
        <v>5</v>
      </c>
      <c r="N75" s="167">
        <f>IF(Tabela1[[#This Row],[Subscriber ID]]&lt;&gt;"", 1, 0) +
IF(Tabela1[[#This Row],[EA Play Season Pass]]="Yes", 1, 0) +
IF(Tabela1[[#This Row],[Minecraft Season Pass]]="Yes", 1, 0)</f>
        <v>1</v>
      </c>
    </row>
    <row r="76" spans="1:14" ht="16.5" customHeight="1">
      <c r="A76" s="35">
        <v>3279</v>
      </c>
      <c r="B76" s="8" t="s">
        <v>72</v>
      </c>
      <c r="C76" s="8" t="s">
        <v>13</v>
      </c>
      <c r="D76" s="10">
        <v>45396</v>
      </c>
      <c r="E76" s="8" t="s">
        <v>18</v>
      </c>
      <c r="F76" s="11">
        <v>15</v>
      </c>
      <c r="G76" s="8" t="s">
        <v>15</v>
      </c>
      <c r="H76" s="8" t="s">
        <v>14</v>
      </c>
      <c r="I76" s="11">
        <v>30</v>
      </c>
      <c r="J76" s="8" t="s">
        <v>14</v>
      </c>
      <c r="K76" s="11">
        <v>20</v>
      </c>
      <c r="L76" s="11">
        <v>3</v>
      </c>
      <c r="M76" s="11">
        <v>62</v>
      </c>
      <c r="N76" s="167">
        <f>IF(Tabela1[[#This Row],[Subscriber ID]]&lt;&gt;"", 1, 0) +
IF(Tabela1[[#This Row],[EA Play Season Pass]]="Yes", 1, 0) +
IF(Tabela1[[#This Row],[Minecraft Season Pass]]="Yes", 1, 0)</f>
        <v>3</v>
      </c>
    </row>
    <row r="77" spans="1:14" ht="16.5" customHeight="1">
      <c r="A77" s="35">
        <v>3280</v>
      </c>
      <c r="B77" s="8" t="s">
        <v>73</v>
      </c>
      <c r="C77" s="8" t="s">
        <v>21</v>
      </c>
      <c r="D77" s="10">
        <v>45397</v>
      </c>
      <c r="E77" s="8" t="s">
        <v>14</v>
      </c>
      <c r="F77" s="11">
        <v>10</v>
      </c>
      <c r="G77" s="8" t="s">
        <v>19</v>
      </c>
      <c r="H77" s="8" t="s">
        <v>18</v>
      </c>
      <c r="I77" s="11" t="s">
        <v>306</v>
      </c>
      <c r="J77" s="8" t="s">
        <v>14</v>
      </c>
      <c r="K77" s="11">
        <v>20</v>
      </c>
      <c r="L77" s="11">
        <v>15</v>
      </c>
      <c r="M77" s="11">
        <v>15</v>
      </c>
      <c r="N77" s="167">
        <f>IF(Tabela1[[#This Row],[Subscriber ID]]&lt;&gt;"", 1, 0) +
IF(Tabela1[[#This Row],[EA Play Season Pass]]="Yes", 1, 0) +
IF(Tabela1[[#This Row],[Minecraft Season Pass]]="Yes", 1, 0)</f>
        <v>2</v>
      </c>
    </row>
    <row r="78" spans="1:14" ht="16.5" customHeight="1">
      <c r="A78" s="35">
        <v>3281</v>
      </c>
      <c r="B78" s="8" t="s">
        <v>74</v>
      </c>
      <c r="C78" s="8" t="s">
        <v>17</v>
      </c>
      <c r="D78" s="10">
        <v>45398</v>
      </c>
      <c r="E78" s="8" t="s">
        <v>18</v>
      </c>
      <c r="F78" s="11">
        <v>5</v>
      </c>
      <c r="G78" s="8" t="s">
        <v>15</v>
      </c>
      <c r="H78" s="8" t="s">
        <v>18</v>
      </c>
      <c r="I78" s="11" t="s">
        <v>306</v>
      </c>
      <c r="J78" s="8" t="s">
        <v>18</v>
      </c>
      <c r="K78" s="11">
        <v>0</v>
      </c>
      <c r="L78" s="11">
        <v>1</v>
      </c>
      <c r="M78" s="11">
        <v>4</v>
      </c>
      <c r="N78" s="167">
        <f>IF(Tabela1[[#This Row],[Subscriber ID]]&lt;&gt;"", 1, 0) +
IF(Tabela1[[#This Row],[EA Play Season Pass]]="Yes", 1, 0) +
IF(Tabela1[[#This Row],[Minecraft Season Pass]]="Yes", 1, 0)</f>
        <v>1</v>
      </c>
    </row>
    <row r="79" spans="1:14" ht="16.5" customHeight="1">
      <c r="A79" s="35">
        <v>3282</v>
      </c>
      <c r="B79" s="8" t="s">
        <v>75</v>
      </c>
      <c r="C79" s="8" t="s">
        <v>13</v>
      </c>
      <c r="D79" s="10">
        <v>45399</v>
      </c>
      <c r="E79" s="8" t="s">
        <v>14</v>
      </c>
      <c r="F79" s="11">
        <v>15</v>
      </c>
      <c r="G79" s="8" t="s">
        <v>22</v>
      </c>
      <c r="H79" s="8" t="s">
        <v>14</v>
      </c>
      <c r="I79" s="11">
        <v>30</v>
      </c>
      <c r="J79" s="8" t="s">
        <v>14</v>
      </c>
      <c r="K79" s="11">
        <v>20</v>
      </c>
      <c r="L79" s="11">
        <v>7</v>
      </c>
      <c r="M79" s="11">
        <v>58</v>
      </c>
      <c r="N79" s="167">
        <f>IF(Tabela1[[#This Row],[Subscriber ID]]&lt;&gt;"", 1, 0) +
IF(Tabela1[[#This Row],[EA Play Season Pass]]="Yes", 1, 0) +
IF(Tabela1[[#This Row],[Minecraft Season Pass]]="Yes", 1, 0)</f>
        <v>3</v>
      </c>
    </row>
    <row r="80" spans="1:14" ht="16.5" customHeight="1">
      <c r="A80" s="35">
        <v>3283</v>
      </c>
      <c r="B80" s="8" t="s">
        <v>76</v>
      </c>
      <c r="C80" s="8" t="s">
        <v>21</v>
      </c>
      <c r="D80" s="10">
        <v>45400</v>
      </c>
      <c r="E80" s="8" t="s">
        <v>18</v>
      </c>
      <c r="F80" s="11">
        <v>10</v>
      </c>
      <c r="G80" s="8" t="s">
        <v>15</v>
      </c>
      <c r="H80" s="8" t="s">
        <v>18</v>
      </c>
      <c r="I80" s="11" t="s">
        <v>306</v>
      </c>
      <c r="J80" s="8" t="s">
        <v>14</v>
      </c>
      <c r="K80" s="11">
        <v>20</v>
      </c>
      <c r="L80" s="11">
        <v>10</v>
      </c>
      <c r="M80" s="11">
        <v>20</v>
      </c>
      <c r="N80" s="167">
        <f>IF(Tabela1[[#This Row],[Subscriber ID]]&lt;&gt;"", 1, 0) +
IF(Tabela1[[#This Row],[EA Play Season Pass]]="Yes", 1, 0) +
IF(Tabela1[[#This Row],[Minecraft Season Pass]]="Yes", 1, 0)</f>
        <v>2</v>
      </c>
    </row>
    <row r="81" spans="1:14" ht="16.5" customHeight="1">
      <c r="A81" s="35">
        <v>3284</v>
      </c>
      <c r="B81" s="8" t="s">
        <v>77</v>
      </c>
      <c r="C81" s="8" t="s">
        <v>17</v>
      </c>
      <c r="D81" s="10">
        <v>45401</v>
      </c>
      <c r="E81" s="8" t="s">
        <v>14</v>
      </c>
      <c r="F81" s="11">
        <v>5</v>
      </c>
      <c r="G81" s="8" t="s">
        <v>19</v>
      </c>
      <c r="H81" s="8" t="s">
        <v>18</v>
      </c>
      <c r="I81" s="11" t="s">
        <v>306</v>
      </c>
      <c r="J81" s="8" t="s">
        <v>18</v>
      </c>
      <c r="K81" s="11">
        <v>0</v>
      </c>
      <c r="L81" s="11">
        <v>0</v>
      </c>
      <c r="M81" s="11">
        <v>5</v>
      </c>
      <c r="N81" s="167">
        <f>IF(Tabela1[[#This Row],[Subscriber ID]]&lt;&gt;"", 1, 0) +
IF(Tabela1[[#This Row],[EA Play Season Pass]]="Yes", 1, 0) +
IF(Tabela1[[#This Row],[Minecraft Season Pass]]="Yes", 1, 0)</f>
        <v>1</v>
      </c>
    </row>
    <row r="82" spans="1:14" ht="16.5" customHeight="1">
      <c r="A82" s="35">
        <v>3285</v>
      </c>
      <c r="B82" s="8" t="s">
        <v>78</v>
      </c>
      <c r="C82" s="8" t="s">
        <v>13</v>
      </c>
      <c r="D82" s="10">
        <v>45402</v>
      </c>
      <c r="E82" s="8" t="s">
        <v>18</v>
      </c>
      <c r="F82" s="11">
        <v>15</v>
      </c>
      <c r="G82" s="8" t="s">
        <v>15</v>
      </c>
      <c r="H82" s="8" t="s">
        <v>14</v>
      </c>
      <c r="I82" s="11">
        <v>30</v>
      </c>
      <c r="J82" s="8" t="s">
        <v>14</v>
      </c>
      <c r="K82" s="11">
        <v>20</v>
      </c>
      <c r="L82" s="11">
        <v>20</v>
      </c>
      <c r="M82" s="11">
        <v>45</v>
      </c>
      <c r="N82" s="167">
        <f>IF(Tabela1[[#This Row],[Subscriber ID]]&lt;&gt;"", 1, 0) +
IF(Tabela1[[#This Row],[EA Play Season Pass]]="Yes", 1, 0) +
IF(Tabela1[[#This Row],[Minecraft Season Pass]]="Yes", 1, 0)</f>
        <v>3</v>
      </c>
    </row>
    <row r="83" spans="1:14" ht="16.5" customHeight="1">
      <c r="A83" s="35">
        <v>3286</v>
      </c>
      <c r="B83" s="8" t="s">
        <v>79</v>
      </c>
      <c r="C83" s="8" t="s">
        <v>21</v>
      </c>
      <c r="D83" s="10">
        <v>45403</v>
      </c>
      <c r="E83" s="8" t="s">
        <v>14</v>
      </c>
      <c r="F83" s="11">
        <v>10</v>
      </c>
      <c r="G83" s="8" t="s">
        <v>22</v>
      </c>
      <c r="H83" s="8" t="s">
        <v>18</v>
      </c>
      <c r="I83" s="11" t="s">
        <v>306</v>
      </c>
      <c r="J83" s="8" t="s">
        <v>14</v>
      </c>
      <c r="K83" s="11">
        <v>20</v>
      </c>
      <c r="L83" s="11">
        <v>15</v>
      </c>
      <c r="M83" s="11">
        <v>15</v>
      </c>
      <c r="N83" s="167">
        <f>IF(Tabela1[[#This Row],[Subscriber ID]]&lt;&gt;"", 1, 0) +
IF(Tabela1[[#This Row],[EA Play Season Pass]]="Yes", 1, 0) +
IF(Tabela1[[#This Row],[Minecraft Season Pass]]="Yes", 1, 0)</f>
        <v>2</v>
      </c>
    </row>
    <row r="84" spans="1:14" ht="16.5" customHeight="1">
      <c r="A84" s="35">
        <v>3287</v>
      </c>
      <c r="B84" s="8" t="s">
        <v>80</v>
      </c>
      <c r="C84" s="8" t="s">
        <v>17</v>
      </c>
      <c r="D84" s="10">
        <v>45404</v>
      </c>
      <c r="E84" s="8" t="s">
        <v>18</v>
      </c>
      <c r="F84" s="11">
        <v>5</v>
      </c>
      <c r="G84" s="8" t="s">
        <v>15</v>
      </c>
      <c r="H84" s="8" t="s">
        <v>18</v>
      </c>
      <c r="I84" s="11" t="s">
        <v>306</v>
      </c>
      <c r="J84" s="8" t="s">
        <v>18</v>
      </c>
      <c r="K84" s="11">
        <v>0</v>
      </c>
      <c r="L84" s="11">
        <v>1</v>
      </c>
      <c r="M84" s="11">
        <v>4</v>
      </c>
      <c r="N84" s="167">
        <f>IF(Tabela1[[#This Row],[Subscriber ID]]&lt;&gt;"", 1, 0) +
IF(Tabela1[[#This Row],[EA Play Season Pass]]="Yes", 1, 0) +
IF(Tabela1[[#This Row],[Minecraft Season Pass]]="Yes", 1, 0)</f>
        <v>1</v>
      </c>
    </row>
    <row r="85" spans="1:14" ht="16.5" customHeight="1">
      <c r="A85" s="35">
        <v>3288</v>
      </c>
      <c r="B85" s="8" t="s">
        <v>81</v>
      </c>
      <c r="C85" s="8" t="s">
        <v>13</v>
      </c>
      <c r="D85" s="10">
        <v>45405</v>
      </c>
      <c r="E85" s="8" t="s">
        <v>14</v>
      </c>
      <c r="F85" s="11">
        <v>15</v>
      </c>
      <c r="G85" s="8" t="s">
        <v>19</v>
      </c>
      <c r="H85" s="8" t="s">
        <v>14</v>
      </c>
      <c r="I85" s="11">
        <v>30</v>
      </c>
      <c r="J85" s="8" t="s">
        <v>14</v>
      </c>
      <c r="K85" s="11">
        <v>20</v>
      </c>
      <c r="L85" s="11">
        <v>3</v>
      </c>
      <c r="M85" s="11">
        <v>62</v>
      </c>
      <c r="N85" s="167">
        <f>IF(Tabela1[[#This Row],[Subscriber ID]]&lt;&gt;"", 1, 0) +
IF(Tabela1[[#This Row],[EA Play Season Pass]]="Yes", 1, 0) +
IF(Tabela1[[#This Row],[Minecraft Season Pass]]="Yes", 1, 0)</f>
        <v>3</v>
      </c>
    </row>
    <row r="86" spans="1:14" ht="16.5" customHeight="1">
      <c r="A86" s="35">
        <v>3290</v>
      </c>
      <c r="B86" s="8" t="s">
        <v>83</v>
      </c>
      <c r="C86" s="8" t="s">
        <v>17</v>
      </c>
      <c r="D86" s="10">
        <v>45407</v>
      </c>
      <c r="E86" s="8" t="s">
        <v>14</v>
      </c>
      <c r="F86" s="11">
        <v>5</v>
      </c>
      <c r="G86" s="8" t="s">
        <v>22</v>
      </c>
      <c r="H86" s="8" t="s">
        <v>18</v>
      </c>
      <c r="I86" s="11" t="s">
        <v>306</v>
      </c>
      <c r="J86" s="8" t="s">
        <v>18</v>
      </c>
      <c r="K86" s="11">
        <v>0</v>
      </c>
      <c r="L86" s="11">
        <v>0</v>
      </c>
      <c r="M86" s="11">
        <v>5</v>
      </c>
      <c r="N86" s="167">
        <f>IF(Tabela1[[#This Row],[Subscriber ID]]&lt;&gt;"", 1, 0) +
IF(Tabela1[[#This Row],[EA Play Season Pass]]="Yes", 1, 0) +
IF(Tabela1[[#This Row],[Minecraft Season Pass]]="Yes", 1, 0)</f>
        <v>1</v>
      </c>
    </row>
    <row r="87" spans="1:14" ht="16.5" customHeight="1">
      <c r="A87" s="35">
        <v>3291</v>
      </c>
      <c r="B87" s="8" t="s">
        <v>84</v>
      </c>
      <c r="C87" s="8" t="s">
        <v>13</v>
      </c>
      <c r="D87" s="10">
        <v>45408</v>
      </c>
      <c r="E87" s="8" t="s">
        <v>18</v>
      </c>
      <c r="F87" s="11">
        <v>15</v>
      </c>
      <c r="G87" s="8" t="s">
        <v>15</v>
      </c>
      <c r="H87" s="8" t="s">
        <v>14</v>
      </c>
      <c r="I87" s="11">
        <v>30</v>
      </c>
      <c r="J87" s="8" t="s">
        <v>14</v>
      </c>
      <c r="K87" s="11">
        <v>20</v>
      </c>
      <c r="L87" s="11">
        <v>5</v>
      </c>
      <c r="M87" s="11">
        <v>60</v>
      </c>
      <c r="N87" s="167">
        <f>IF(Tabela1[[#This Row],[Subscriber ID]]&lt;&gt;"", 1, 0) +
IF(Tabela1[[#This Row],[EA Play Season Pass]]="Yes", 1, 0) +
IF(Tabela1[[#This Row],[Minecraft Season Pass]]="Yes", 1, 0)</f>
        <v>3</v>
      </c>
    </row>
    <row r="88" spans="1:14" ht="16.5" customHeight="1">
      <c r="A88" s="35">
        <v>3292</v>
      </c>
      <c r="B88" s="8" t="s">
        <v>85</v>
      </c>
      <c r="C88" s="8" t="s">
        <v>21</v>
      </c>
      <c r="D88" s="10">
        <v>45409</v>
      </c>
      <c r="E88" s="8" t="s">
        <v>14</v>
      </c>
      <c r="F88" s="11">
        <v>10</v>
      </c>
      <c r="G88" s="8" t="s">
        <v>19</v>
      </c>
      <c r="H88" s="8" t="s">
        <v>18</v>
      </c>
      <c r="I88" s="11" t="s">
        <v>306</v>
      </c>
      <c r="J88" s="8" t="s">
        <v>14</v>
      </c>
      <c r="K88" s="11">
        <v>20</v>
      </c>
      <c r="L88" s="11">
        <v>15</v>
      </c>
      <c r="M88" s="11">
        <v>15</v>
      </c>
      <c r="N88" s="167">
        <f>IF(Tabela1[[#This Row],[Subscriber ID]]&lt;&gt;"", 1, 0) +
IF(Tabela1[[#This Row],[EA Play Season Pass]]="Yes", 1, 0) +
IF(Tabela1[[#This Row],[Minecraft Season Pass]]="Yes", 1, 0)</f>
        <v>2</v>
      </c>
    </row>
    <row r="89" spans="1:14" ht="16.5" customHeight="1">
      <c r="A89" s="35">
        <v>3293</v>
      </c>
      <c r="B89" s="8" t="s">
        <v>86</v>
      </c>
      <c r="C89" s="8" t="s">
        <v>17</v>
      </c>
      <c r="D89" s="10">
        <v>45410</v>
      </c>
      <c r="E89" s="8" t="s">
        <v>18</v>
      </c>
      <c r="F89" s="11">
        <v>5</v>
      </c>
      <c r="G89" s="8" t="s">
        <v>15</v>
      </c>
      <c r="H89" s="8" t="s">
        <v>18</v>
      </c>
      <c r="I89" s="11" t="s">
        <v>306</v>
      </c>
      <c r="J89" s="8" t="s">
        <v>18</v>
      </c>
      <c r="K89" s="11">
        <v>0</v>
      </c>
      <c r="L89" s="11">
        <v>1</v>
      </c>
      <c r="M89" s="11">
        <v>4</v>
      </c>
      <c r="N89" s="167">
        <f>IF(Tabela1[[#This Row],[Subscriber ID]]&lt;&gt;"", 1, 0) +
IF(Tabela1[[#This Row],[EA Play Season Pass]]="Yes", 1, 0) +
IF(Tabela1[[#This Row],[Minecraft Season Pass]]="Yes", 1, 0)</f>
        <v>1</v>
      </c>
    </row>
    <row r="90" spans="1:14" ht="16.5" customHeight="1">
      <c r="A90" s="35">
        <v>3294</v>
      </c>
      <c r="B90" s="8" t="s">
        <v>87</v>
      </c>
      <c r="C90" s="8" t="s">
        <v>13</v>
      </c>
      <c r="D90" s="10">
        <v>45411</v>
      </c>
      <c r="E90" s="8" t="s">
        <v>14</v>
      </c>
      <c r="F90" s="11">
        <v>15</v>
      </c>
      <c r="G90" s="8" t="s">
        <v>22</v>
      </c>
      <c r="H90" s="8" t="s">
        <v>14</v>
      </c>
      <c r="I90" s="11">
        <v>30</v>
      </c>
      <c r="J90" s="8" t="s">
        <v>14</v>
      </c>
      <c r="K90" s="11">
        <v>20</v>
      </c>
      <c r="L90" s="11">
        <v>20</v>
      </c>
      <c r="M90" s="11">
        <v>45</v>
      </c>
      <c r="N90" s="167">
        <f>IF(Tabela1[[#This Row],[Subscriber ID]]&lt;&gt;"", 1, 0) +
IF(Tabela1[[#This Row],[EA Play Season Pass]]="Yes", 1, 0) +
IF(Tabela1[[#This Row],[Minecraft Season Pass]]="Yes", 1, 0)</f>
        <v>3</v>
      </c>
    </row>
    <row r="91" spans="1:14" ht="16.5" customHeight="1">
      <c r="A91" s="35">
        <v>3295</v>
      </c>
      <c r="B91" s="8" t="s">
        <v>88</v>
      </c>
      <c r="C91" s="8" t="s">
        <v>21</v>
      </c>
      <c r="D91" s="10">
        <v>45412</v>
      </c>
      <c r="E91" s="8" t="s">
        <v>18</v>
      </c>
      <c r="F91" s="11">
        <v>10</v>
      </c>
      <c r="G91" s="8" t="s">
        <v>15</v>
      </c>
      <c r="H91" s="8" t="s">
        <v>18</v>
      </c>
      <c r="I91" s="11" t="s">
        <v>306</v>
      </c>
      <c r="J91" s="8" t="s">
        <v>14</v>
      </c>
      <c r="K91" s="11">
        <v>20</v>
      </c>
      <c r="L91" s="11">
        <v>5</v>
      </c>
      <c r="M91" s="11">
        <v>25</v>
      </c>
      <c r="N91" s="167">
        <f>IF(Tabela1[[#This Row],[Subscriber ID]]&lt;&gt;"", 1, 0) +
IF(Tabela1[[#This Row],[EA Play Season Pass]]="Yes", 1, 0) +
IF(Tabela1[[#This Row],[Minecraft Season Pass]]="Yes", 1, 0)</f>
        <v>2</v>
      </c>
    </row>
    <row r="92" spans="1:14" ht="16.5" customHeight="1">
      <c r="A92" s="35">
        <v>3296</v>
      </c>
      <c r="B92" s="8" t="s">
        <v>89</v>
      </c>
      <c r="C92" s="8" t="s">
        <v>17</v>
      </c>
      <c r="D92" s="10">
        <v>45413</v>
      </c>
      <c r="E92" s="8" t="s">
        <v>18</v>
      </c>
      <c r="F92" s="11">
        <v>5</v>
      </c>
      <c r="G92" s="8" t="s">
        <v>15</v>
      </c>
      <c r="H92" s="8" t="s">
        <v>18</v>
      </c>
      <c r="I92" s="11" t="s">
        <v>306</v>
      </c>
      <c r="J92" s="8" t="s">
        <v>18</v>
      </c>
      <c r="K92" s="11">
        <v>0</v>
      </c>
      <c r="L92" s="11">
        <v>0</v>
      </c>
      <c r="M92" s="11">
        <v>5</v>
      </c>
      <c r="N92" s="167">
        <f>IF(Tabela1[[#This Row],[Subscriber ID]]&lt;&gt;"", 1, 0) +
IF(Tabela1[[#This Row],[EA Play Season Pass]]="Yes", 1, 0) +
IF(Tabela1[[#This Row],[Minecraft Season Pass]]="Yes", 1, 0)</f>
        <v>1</v>
      </c>
    </row>
    <row r="93" spans="1:14" ht="16.5" customHeight="1">
      <c r="A93" s="35">
        <v>3297</v>
      </c>
      <c r="B93" s="8" t="s">
        <v>90</v>
      </c>
      <c r="C93" s="8" t="s">
        <v>13</v>
      </c>
      <c r="D93" s="10">
        <v>45414</v>
      </c>
      <c r="E93" s="8" t="s">
        <v>14</v>
      </c>
      <c r="F93" s="11">
        <v>15</v>
      </c>
      <c r="G93" s="8" t="s">
        <v>22</v>
      </c>
      <c r="H93" s="8" t="s">
        <v>14</v>
      </c>
      <c r="I93" s="11">
        <v>30</v>
      </c>
      <c r="J93" s="8" t="s">
        <v>14</v>
      </c>
      <c r="K93" s="11">
        <v>20</v>
      </c>
      <c r="L93" s="11">
        <v>7</v>
      </c>
      <c r="M93" s="11">
        <v>58</v>
      </c>
      <c r="N93" s="167">
        <f>IF(Tabela1[[#This Row],[Subscriber ID]]&lt;&gt;"", 1, 0) +
IF(Tabela1[[#This Row],[EA Play Season Pass]]="Yes", 1, 0) +
IF(Tabela1[[#This Row],[Minecraft Season Pass]]="Yes", 1, 0)</f>
        <v>3</v>
      </c>
    </row>
    <row r="94" spans="1:14" ht="16.5" customHeight="1">
      <c r="A94" s="35">
        <v>3298</v>
      </c>
      <c r="B94" s="8" t="s">
        <v>91</v>
      </c>
      <c r="C94" s="8" t="s">
        <v>21</v>
      </c>
      <c r="D94" s="10">
        <v>45415</v>
      </c>
      <c r="E94" s="8" t="s">
        <v>18</v>
      </c>
      <c r="F94" s="11">
        <v>10</v>
      </c>
      <c r="G94" s="8" t="s">
        <v>19</v>
      </c>
      <c r="H94" s="8" t="s">
        <v>18</v>
      </c>
      <c r="I94" s="11" t="s">
        <v>306</v>
      </c>
      <c r="J94" s="8" t="s">
        <v>14</v>
      </c>
      <c r="K94" s="11">
        <v>20</v>
      </c>
      <c r="L94" s="11">
        <v>10</v>
      </c>
      <c r="M94" s="11">
        <v>20</v>
      </c>
      <c r="N94" s="167">
        <f>IF(Tabela1[[#This Row],[Subscriber ID]]&lt;&gt;"", 1, 0) +
IF(Tabela1[[#This Row],[EA Play Season Pass]]="Yes", 1, 0) +
IF(Tabela1[[#This Row],[Minecraft Season Pass]]="Yes", 1, 0)</f>
        <v>2</v>
      </c>
    </row>
    <row r="95" spans="1:14" ht="16.5" customHeight="1">
      <c r="A95" s="35">
        <v>3299</v>
      </c>
      <c r="B95" s="8" t="s">
        <v>92</v>
      </c>
      <c r="C95" s="8" t="s">
        <v>17</v>
      </c>
      <c r="D95" s="10">
        <v>45416</v>
      </c>
      <c r="E95" s="8" t="s">
        <v>14</v>
      </c>
      <c r="F95" s="11">
        <v>5</v>
      </c>
      <c r="G95" s="8" t="s">
        <v>22</v>
      </c>
      <c r="H95" s="8" t="s">
        <v>18</v>
      </c>
      <c r="I95" s="11" t="s">
        <v>306</v>
      </c>
      <c r="J95" s="8" t="s">
        <v>18</v>
      </c>
      <c r="K95" s="11">
        <v>0</v>
      </c>
      <c r="L95" s="11">
        <v>1</v>
      </c>
      <c r="M95" s="11">
        <v>4</v>
      </c>
      <c r="N95" s="167">
        <f>IF(Tabela1[[#This Row],[Subscriber ID]]&lt;&gt;"", 1, 0) +
IF(Tabela1[[#This Row],[EA Play Season Pass]]="Yes", 1, 0) +
IF(Tabela1[[#This Row],[Minecraft Season Pass]]="Yes", 1, 0)</f>
        <v>1</v>
      </c>
    </row>
    <row r="96" spans="1:14" ht="16.5" customHeight="1">
      <c r="A96" s="35">
        <v>3300</v>
      </c>
      <c r="B96" s="8" t="s">
        <v>93</v>
      </c>
      <c r="C96" s="8" t="s">
        <v>13</v>
      </c>
      <c r="D96" s="10">
        <v>45417</v>
      </c>
      <c r="E96" s="8" t="s">
        <v>18</v>
      </c>
      <c r="F96" s="11">
        <v>15</v>
      </c>
      <c r="G96" s="8" t="s">
        <v>15</v>
      </c>
      <c r="H96" s="8" t="s">
        <v>14</v>
      </c>
      <c r="I96" s="11">
        <v>30</v>
      </c>
      <c r="J96" s="8" t="s">
        <v>14</v>
      </c>
      <c r="K96" s="11">
        <v>20</v>
      </c>
      <c r="L96" s="11">
        <v>15</v>
      </c>
      <c r="M96" s="11">
        <v>50</v>
      </c>
      <c r="N96" s="167">
        <f>IF(Tabela1[[#This Row],[Subscriber ID]]&lt;&gt;"", 1, 0) +
IF(Tabela1[[#This Row],[EA Play Season Pass]]="Yes", 1, 0) +
IF(Tabela1[[#This Row],[Minecraft Season Pass]]="Yes", 1, 0)</f>
        <v>3</v>
      </c>
    </row>
    <row r="97" spans="1:14" ht="16.5" customHeight="1">
      <c r="A97" s="35">
        <v>3301</v>
      </c>
      <c r="B97" s="8" t="s">
        <v>94</v>
      </c>
      <c r="C97" s="8" t="s">
        <v>21</v>
      </c>
      <c r="D97" s="10">
        <v>45418</v>
      </c>
      <c r="E97" s="8" t="s">
        <v>14</v>
      </c>
      <c r="F97" s="11">
        <v>10</v>
      </c>
      <c r="G97" s="8" t="s">
        <v>15</v>
      </c>
      <c r="H97" s="8" t="s">
        <v>18</v>
      </c>
      <c r="I97" s="11" t="s">
        <v>306</v>
      </c>
      <c r="J97" s="8" t="s">
        <v>14</v>
      </c>
      <c r="K97" s="11">
        <v>20</v>
      </c>
      <c r="L97" s="11">
        <v>5</v>
      </c>
      <c r="M97" s="11">
        <v>25</v>
      </c>
      <c r="N97" s="167">
        <f>IF(Tabela1[[#This Row],[Subscriber ID]]&lt;&gt;"", 1, 0) +
IF(Tabela1[[#This Row],[EA Play Season Pass]]="Yes", 1, 0) +
IF(Tabela1[[#This Row],[Minecraft Season Pass]]="Yes", 1, 0)</f>
        <v>2</v>
      </c>
    </row>
    <row r="98" spans="1:14" ht="16.5" customHeight="1">
      <c r="A98" s="35">
        <v>3302</v>
      </c>
      <c r="B98" s="8" t="s">
        <v>95</v>
      </c>
      <c r="C98" s="8" t="s">
        <v>17</v>
      </c>
      <c r="D98" s="10">
        <v>45419</v>
      </c>
      <c r="E98" s="8" t="s">
        <v>18</v>
      </c>
      <c r="F98" s="11">
        <v>5</v>
      </c>
      <c r="G98" s="8" t="s">
        <v>19</v>
      </c>
      <c r="H98" s="8" t="s">
        <v>18</v>
      </c>
      <c r="I98" s="11" t="s">
        <v>306</v>
      </c>
      <c r="J98" s="8" t="s">
        <v>18</v>
      </c>
      <c r="K98" s="11">
        <v>0</v>
      </c>
      <c r="L98" s="11">
        <v>0</v>
      </c>
      <c r="M98" s="11">
        <v>5</v>
      </c>
      <c r="N98" s="167">
        <f>IF(Tabela1[[#This Row],[Subscriber ID]]&lt;&gt;"", 1, 0) +
IF(Tabela1[[#This Row],[EA Play Season Pass]]="Yes", 1, 0) +
IF(Tabela1[[#This Row],[Minecraft Season Pass]]="Yes", 1, 0)</f>
        <v>1</v>
      </c>
    </row>
    <row r="99" spans="1:14" ht="16.5" customHeight="1">
      <c r="A99" s="35">
        <v>3303</v>
      </c>
      <c r="B99" s="8" t="s">
        <v>96</v>
      </c>
      <c r="C99" s="8" t="s">
        <v>13</v>
      </c>
      <c r="D99" s="10">
        <v>45420</v>
      </c>
      <c r="E99" s="8" t="s">
        <v>14</v>
      </c>
      <c r="F99" s="11">
        <v>15</v>
      </c>
      <c r="G99" s="8" t="s">
        <v>22</v>
      </c>
      <c r="H99" s="8" t="s">
        <v>14</v>
      </c>
      <c r="I99" s="11">
        <v>30</v>
      </c>
      <c r="J99" s="8" t="s">
        <v>14</v>
      </c>
      <c r="K99" s="11">
        <v>20</v>
      </c>
      <c r="L99" s="11">
        <v>20</v>
      </c>
      <c r="M99" s="11">
        <v>45</v>
      </c>
      <c r="N99" s="167">
        <f>IF(Tabela1[[#This Row],[Subscriber ID]]&lt;&gt;"", 1, 0) +
IF(Tabela1[[#This Row],[EA Play Season Pass]]="Yes", 1, 0) +
IF(Tabela1[[#This Row],[Minecraft Season Pass]]="Yes", 1, 0)</f>
        <v>3</v>
      </c>
    </row>
    <row r="100" spans="1:14" ht="16.5" customHeight="1">
      <c r="A100" s="35">
        <v>3304</v>
      </c>
      <c r="B100" s="8" t="s">
        <v>97</v>
      </c>
      <c r="C100" s="8" t="s">
        <v>21</v>
      </c>
      <c r="D100" s="10">
        <v>45421</v>
      </c>
      <c r="E100" s="8" t="s">
        <v>18</v>
      </c>
      <c r="F100" s="11">
        <v>10</v>
      </c>
      <c r="G100" s="8" t="s">
        <v>22</v>
      </c>
      <c r="H100" s="8" t="s">
        <v>18</v>
      </c>
      <c r="I100" s="11" t="s">
        <v>306</v>
      </c>
      <c r="J100" s="8" t="s">
        <v>14</v>
      </c>
      <c r="K100" s="11">
        <v>20</v>
      </c>
      <c r="L100" s="11">
        <v>12</v>
      </c>
      <c r="M100" s="11">
        <v>18</v>
      </c>
      <c r="N100" s="167">
        <f>IF(Tabela1[[#This Row],[Subscriber ID]]&lt;&gt;"", 1, 0) +
IF(Tabela1[[#This Row],[EA Play Season Pass]]="Yes", 1, 0) +
IF(Tabela1[[#This Row],[Minecraft Season Pass]]="Yes", 1, 0)</f>
        <v>2</v>
      </c>
    </row>
    <row r="101" spans="1:14" ht="16.5" customHeight="1">
      <c r="A101" s="35">
        <v>3305</v>
      </c>
      <c r="B101" s="8" t="s">
        <v>98</v>
      </c>
      <c r="C101" s="8" t="s">
        <v>17</v>
      </c>
      <c r="D101" s="10">
        <v>45422</v>
      </c>
      <c r="E101" s="8" t="s">
        <v>14</v>
      </c>
      <c r="F101" s="11">
        <v>5</v>
      </c>
      <c r="G101" s="8" t="s">
        <v>15</v>
      </c>
      <c r="H101" s="8" t="s">
        <v>18</v>
      </c>
      <c r="I101" s="11" t="s">
        <v>306</v>
      </c>
      <c r="J101" s="8" t="s">
        <v>18</v>
      </c>
      <c r="K101" s="11">
        <v>0</v>
      </c>
      <c r="L101" s="11">
        <v>2</v>
      </c>
      <c r="M101" s="11">
        <v>3</v>
      </c>
      <c r="N101" s="167">
        <f>IF(Tabela1[[#This Row],[Subscriber ID]]&lt;&gt;"", 1, 0) +
IF(Tabela1[[#This Row],[EA Play Season Pass]]="Yes", 1, 0) +
IF(Tabela1[[#This Row],[Minecraft Season Pass]]="Yes", 1, 0)</f>
        <v>1</v>
      </c>
    </row>
    <row r="102" spans="1:14" ht="16.5" customHeight="1">
      <c r="A102" s="35">
        <v>3306</v>
      </c>
      <c r="B102" s="8" t="s">
        <v>99</v>
      </c>
      <c r="C102" s="8" t="s">
        <v>13</v>
      </c>
      <c r="D102" s="10">
        <v>45423</v>
      </c>
      <c r="E102" s="8" t="s">
        <v>18</v>
      </c>
      <c r="F102" s="11">
        <v>15</v>
      </c>
      <c r="G102" s="8" t="s">
        <v>19</v>
      </c>
      <c r="H102" s="8" t="s">
        <v>14</v>
      </c>
      <c r="I102" s="11">
        <v>30</v>
      </c>
      <c r="J102" s="8" t="s">
        <v>14</v>
      </c>
      <c r="K102" s="11">
        <v>20</v>
      </c>
      <c r="L102" s="11">
        <v>5</v>
      </c>
      <c r="M102" s="11">
        <v>60</v>
      </c>
      <c r="N102" s="167">
        <f>IF(Tabela1[[#This Row],[Subscriber ID]]&lt;&gt;"", 1, 0) +
IF(Tabela1[[#This Row],[EA Play Season Pass]]="Yes", 1, 0) +
IF(Tabela1[[#This Row],[Minecraft Season Pass]]="Yes", 1, 0)</f>
        <v>3</v>
      </c>
    </row>
    <row r="103" spans="1:14" ht="16.5" customHeight="1">
      <c r="A103" s="35">
        <v>3307</v>
      </c>
      <c r="B103" s="8" t="s">
        <v>100</v>
      </c>
      <c r="C103" s="8" t="s">
        <v>21</v>
      </c>
      <c r="D103" s="10">
        <v>45424</v>
      </c>
      <c r="E103" s="8" t="s">
        <v>14</v>
      </c>
      <c r="F103" s="11">
        <v>10</v>
      </c>
      <c r="G103" s="8" t="s">
        <v>15</v>
      </c>
      <c r="H103" s="8" t="s">
        <v>18</v>
      </c>
      <c r="I103" s="11" t="s">
        <v>306</v>
      </c>
      <c r="J103" s="8" t="s">
        <v>14</v>
      </c>
      <c r="K103" s="11">
        <v>20</v>
      </c>
      <c r="L103" s="11">
        <v>10</v>
      </c>
      <c r="M103" s="11">
        <v>20</v>
      </c>
      <c r="N103" s="167">
        <f>IF(Tabela1[[#This Row],[Subscriber ID]]&lt;&gt;"", 1, 0) +
IF(Tabela1[[#This Row],[EA Play Season Pass]]="Yes", 1, 0) +
IF(Tabela1[[#This Row],[Minecraft Season Pass]]="Yes", 1, 0)</f>
        <v>2</v>
      </c>
    </row>
    <row r="104" spans="1:14" ht="16.5" customHeight="1">
      <c r="A104" s="35">
        <v>3308</v>
      </c>
      <c r="B104" s="8" t="s">
        <v>101</v>
      </c>
      <c r="C104" s="8" t="s">
        <v>17</v>
      </c>
      <c r="D104" s="10">
        <v>45425</v>
      </c>
      <c r="E104" s="8" t="s">
        <v>18</v>
      </c>
      <c r="F104" s="11">
        <v>5</v>
      </c>
      <c r="G104" s="8" t="s">
        <v>22</v>
      </c>
      <c r="H104" s="8" t="s">
        <v>18</v>
      </c>
      <c r="I104" s="11" t="s">
        <v>306</v>
      </c>
      <c r="J104" s="8" t="s">
        <v>18</v>
      </c>
      <c r="K104" s="11">
        <v>0</v>
      </c>
      <c r="L104" s="11">
        <v>0</v>
      </c>
      <c r="M104" s="11">
        <v>5</v>
      </c>
      <c r="N104" s="167">
        <f>IF(Tabela1[[#This Row],[Subscriber ID]]&lt;&gt;"", 1, 0) +
IF(Tabela1[[#This Row],[EA Play Season Pass]]="Yes", 1, 0) +
IF(Tabela1[[#This Row],[Minecraft Season Pass]]="Yes", 1, 0)</f>
        <v>1</v>
      </c>
    </row>
    <row r="105" spans="1:14" ht="16.5" customHeight="1">
      <c r="A105" s="35">
        <v>3309</v>
      </c>
      <c r="B105" s="8" t="s">
        <v>102</v>
      </c>
      <c r="C105" s="8" t="s">
        <v>13</v>
      </c>
      <c r="D105" s="10">
        <v>45426</v>
      </c>
      <c r="E105" s="8" t="s">
        <v>14</v>
      </c>
      <c r="F105" s="11">
        <v>15</v>
      </c>
      <c r="G105" s="8" t="s">
        <v>15</v>
      </c>
      <c r="H105" s="8" t="s">
        <v>14</v>
      </c>
      <c r="I105" s="11">
        <v>30</v>
      </c>
      <c r="J105" s="8" t="s">
        <v>14</v>
      </c>
      <c r="K105" s="11">
        <v>20</v>
      </c>
      <c r="L105" s="11">
        <v>3</v>
      </c>
      <c r="M105" s="11">
        <v>62</v>
      </c>
      <c r="N105" s="167">
        <f>IF(Tabela1[[#This Row],[Subscriber ID]]&lt;&gt;"", 1, 0) +
IF(Tabela1[[#This Row],[EA Play Season Pass]]="Yes", 1, 0) +
IF(Tabela1[[#This Row],[Minecraft Season Pass]]="Yes", 1, 0)</f>
        <v>3</v>
      </c>
    </row>
    <row r="106" spans="1:14" ht="16.5" customHeight="1">
      <c r="A106" s="35">
        <v>3310</v>
      </c>
      <c r="B106" s="8" t="s">
        <v>103</v>
      </c>
      <c r="C106" s="8" t="s">
        <v>21</v>
      </c>
      <c r="D106" s="10">
        <v>45427</v>
      </c>
      <c r="E106" s="8" t="s">
        <v>18</v>
      </c>
      <c r="F106" s="11">
        <v>10</v>
      </c>
      <c r="G106" s="8" t="s">
        <v>19</v>
      </c>
      <c r="H106" s="8" t="s">
        <v>18</v>
      </c>
      <c r="I106" s="11" t="s">
        <v>306</v>
      </c>
      <c r="J106" s="8" t="s">
        <v>14</v>
      </c>
      <c r="K106" s="11">
        <v>20</v>
      </c>
      <c r="L106" s="11">
        <v>15</v>
      </c>
      <c r="M106" s="11">
        <v>15</v>
      </c>
      <c r="N106" s="167">
        <f>IF(Tabela1[[#This Row],[Subscriber ID]]&lt;&gt;"", 1, 0) +
IF(Tabela1[[#This Row],[EA Play Season Pass]]="Yes", 1, 0) +
IF(Tabela1[[#This Row],[Minecraft Season Pass]]="Yes", 1, 0)</f>
        <v>2</v>
      </c>
    </row>
    <row r="107" spans="1:14" ht="16.5" customHeight="1">
      <c r="A107" s="35">
        <v>3311</v>
      </c>
      <c r="B107" s="8" t="s">
        <v>104</v>
      </c>
      <c r="C107" s="8" t="s">
        <v>17</v>
      </c>
      <c r="D107" s="10">
        <v>45428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1</v>
      </c>
      <c r="M107" s="11">
        <v>4</v>
      </c>
      <c r="N107" s="167">
        <f>IF(Tabela1[[#This Row],[Subscriber ID]]&lt;&gt;"", 1, 0) +
IF(Tabela1[[#This Row],[EA Play Season Pass]]="Yes", 1, 0) +
IF(Tabela1[[#This Row],[Minecraft Season Pass]]="Yes", 1, 0)</f>
        <v>1</v>
      </c>
    </row>
    <row r="108" spans="1:14" ht="16.5" customHeight="1">
      <c r="A108" s="35">
        <v>3312</v>
      </c>
      <c r="B108" s="8" t="s">
        <v>105</v>
      </c>
      <c r="C108" s="8" t="s">
        <v>13</v>
      </c>
      <c r="D108" s="10">
        <v>45429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  <c r="N108" s="167">
        <f>IF(Tabela1[[#This Row],[Subscriber ID]]&lt;&gt;"", 1, 0) +
IF(Tabela1[[#This Row],[EA Play Season Pass]]="Yes", 1, 0) +
IF(Tabela1[[#This Row],[Minecraft Season Pass]]="Yes", 1, 0)</f>
        <v>3</v>
      </c>
    </row>
    <row r="109" spans="1:14" ht="16.5" customHeight="1">
      <c r="A109" s="35">
        <v>3313</v>
      </c>
      <c r="B109" s="8" t="s">
        <v>106</v>
      </c>
      <c r="C109" s="8" t="s">
        <v>21</v>
      </c>
      <c r="D109" s="10">
        <v>45430</v>
      </c>
      <c r="E109" s="8" t="s">
        <v>14</v>
      </c>
      <c r="F109" s="11">
        <v>10</v>
      </c>
      <c r="G109" s="8" t="s">
        <v>15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  <c r="N109" s="167">
        <f>IF(Tabela1[[#This Row],[Subscriber ID]]&lt;&gt;"", 1, 0) +
IF(Tabela1[[#This Row],[EA Play Season Pass]]="Yes", 1, 0) +
IF(Tabela1[[#This Row],[Minecraft Season Pass]]="Yes", 1, 0)</f>
        <v>2</v>
      </c>
    </row>
    <row r="110" spans="1:14" ht="16.5" customHeight="1">
      <c r="A110" s="35">
        <v>3314</v>
      </c>
      <c r="B110" s="8" t="s">
        <v>107</v>
      </c>
      <c r="C110" s="8" t="s">
        <v>17</v>
      </c>
      <c r="D110" s="10">
        <v>45431</v>
      </c>
      <c r="E110" s="8" t="s">
        <v>18</v>
      </c>
      <c r="F110" s="11">
        <v>5</v>
      </c>
      <c r="G110" s="8" t="s">
        <v>19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0</v>
      </c>
      <c r="M110" s="11">
        <v>5</v>
      </c>
      <c r="N110" s="167">
        <f>IF(Tabela1[[#This Row],[Subscriber ID]]&lt;&gt;"", 1, 0) +
IF(Tabela1[[#This Row],[EA Play Season Pass]]="Yes", 1, 0) +
IF(Tabela1[[#This Row],[Minecraft Season Pass]]="Yes", 1, 0)</f>
        <v>1</v>
      </c>
    </row>
    <row r="111" spans="1:14" ht="16.5" customHeight="1">
      <c r="A111" s="35">
        <v>3315</v>
      </c>
      <c r="B111" s="8" t="s">
        <v>108</v>
      </c>
      <c r="C111" s="8" t="s">
        <v>13</v>
      </c>
      <c r="D111" s="10">
        <v>45432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20</v>
      </c>
      <c r="M111" s="11">
        <v>45</v>
      </c>
      <c r="N111" s="167">
        <f>IF(Tabela1[[#This Row],[Subscriber ID]]&lt;&gt;"", 1, 0) +
IF(Tabela1[[#This Row],[EA Play Season Pass]]="Yes", 1, 0) +
IF(Tabela1[[#This Row],[Minecraft Season Pass]]="Yes", 1, 0)</f>
        <v>3</v>
      </c>
    </row>
    <row r="112" spans="1:14" ht="16.5" customHeight="1">
      <c r="A112" s="35">
        <v>3316</v>
      </c>
      <c r="B112" s="8" t="s">
        <v>109</v>
      </c>
      <c r="C112" s="8" t="s">
        <v>21</v>
      </c>
      <c r="D112" s="10">
        <v>45433</v>
      </c>
      <c r="E112" s="8" t="s">
        <v>18</v>
      </c>
      <c r="F112" s="11">
        <v>10</v>
      </c>
      <c r="G112" s="8" t="s">
        <v>22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15</v>
      </c>
      <c r="M112" s="11">
        <v>15</v>
      </c>
      <c r="N112" s="167">
        <f>IF(Tabela1[[#This Row],[Subscriber ID]]&lt;&gt;"", 1, 0) +
IF(Tabela1[[#This Row],[EA Play Season Pass]]="Yes", 1, 0) +
IF(Tabela1[[#This Row],[Minecraft Season Pass]]="Yes", 1, 0)</f>
        <v>2</v>
      </c>
    </row>
    <row r="113" spans="1:14" ht="16.5" customHeight="1">
      <c r="A113" s="35">
        <v>3317</v>
      </c>
      <c r="B113" s="8" t="s">
        <v>110</v>
      </c>
      <c r="C113" s="8" t="s">
        <v>17</v>
      </c>
      <c r="D113" s="10">
        <v>45434</v>
      </c>
      <c r="E113" s="8" t="s">
        <v>14</v>
      </c>
      <c r="F113" s="11">
        <v>5</v>
      </c>
      <c r="G113" s="8" t="s">
        <v>15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1</v>
      </c>
      <c r="M113" s="11">
        <v>4</v>
      </c>
      <c r="N113" s="167">
        <f>IF(Tabela1[[#This Row],[Subscriber ID]]&lt;&gt;"", 1, 0) +
IF(Tabela1[[#This Row],[EA Play Season Pass]]="Yes", 1, 0) +
IF(Tabela1[[#This Row],[Minecraft Season Pass]]="Yes", 1, 0)</f>
        <v>1</v>
      </c>
    </row>
    <row r="114" spans="1:14" ht="16.5" customHeight="1">
      <c r="A114" s="35">
        <v>3318</v>
      </c>
      <c r="B114" s="8" t="s">
        <v>111</v>
      </c>
      <c r="C114" s="8" t="s">
        <v>13</v>
      </c>
      <c r="D114" s="10">
        <v>45435</v>
      </c>
      <c r="E114" s="8" t="s">
        <v>18</v>
      </c>
      <c r="F114" s="11">
        <v>15</v>
      </c>
      <c r="G114" s="8" t="s">
        <v>19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3</v>
      </c>
      <c r="M114" s="11">
        <v>62</v>
      </c>
      <c r="N114" s="167">
        <f>IF(Tabela1[[#This Row],[Subscriber ID]]&lt;&gt;"", 1, 0) +
IF(Tabela1[[#This Row],[EA Play Season Pass]]="Yes", 1, 0) +
IF(Tabela1[[#This Row],[Minecraft Season Pass]]="Yes", 1, 0)</f>
        <v>3</v>
      </c>
    </row>
    <row r="115" spans="1:14" ht="16.5" customHeight="1">
      <c r="A115" s="35">
        <v>3319</v>
      </c>
      <c r="B115" s="8" t="s">
        <v>112</v>
      </c>
      <c r="C115" s="8" t="s">
        <v>21</v>
      </c>
      <c r="D115" s="10">
        <v>45436</v>
      </c>
      <c r="E115" s="8" t="s">
        <v>14</v>
      </c>
      <c r="F115" s="11">
        <v>10</v>
      </c>
      <c r="G115" s="8" t="s">
        <v>15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10</v>
      </c>
      <c r="M115" s="11">
        <v>20</v>
      </c>
      <c r="N115" s="167">
        <f>IF(Tabela1[[#This Row],[Subscriber ID]]&lt;&gt;"", 1, 0) +
IF(Tabela1[[#This Row],[EA Play Season Pass]]="Yes", 1, 0) +
IF(Tabela1[[#This Row],[Minecraft Season Pass]]="Yes", 1, 0)</f>
        <v>2</v>
      </c>
    </row>
    <row r="116" spans="1:14" ht="16.5" customHeight="1">
      <c r="A116" s="35">
        <v>3320</v>
      </c>
      <c r="B116" s="8" t="s">
        <v>113</v>
      </c>
      <c r="C116" s="8" t="s">
        <v>17</v>
      </c>
      <c r="D116" s="10">
        <v>45437</v>
      </c>
      <c r="E116" s="8" t="s">
        <v>18</v>
      </c>
      <c r="F116" s="11">
        <v>5</v>
      </c>
      <c r="G116" s="8" t="s">
        <v>22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0</v>
      </c>
      <c r="M116" s="11">
        <v>5</v>
      </c>
      <c r="N116" s="167">
        <f>IF(Tabela1[[#This Row],[Subscriber ID]]&lt;&gt;"", 1, 0) +
IF(Tabela1[[#This Row],[EA Play Season Pass]]="Yes", 1, 0) +
IF(Tabela1[[#This Row],[Minecraft Season Pass]]="Yes", 1, 0)</f>
        <v>1</v>
      </c>
    </row>
    <row r="117" spans="1:14" ht="16.5" customHeight="1">
      <c r="A117" s="35">
        <v>3322</v>
      </c>
      <c r="B117" s="8" t="s">
        <v>115</v>
      </c>
      <c r="C117" s="8" t="s">
        <v>21</v>
      </c>
      <c r="D117" s="10">
        <v>45439</v>
      </c>
      <c r="E117" s="8" t="s">
        <v>18</v>
      </c>
      <c r="F117" s="11">
        <v>10</v>
      </c>
      <c r="G117" s="8" t="s">
        <v>19</v>
      </c>
      <c r="H117" s="8" t="s">
        <v>18</v>
      </c>
      <c r="I117" s="11" t="s">
        <v>306</v>
      </c>
      <c r="J117" s="8" t="s">
        <v>14</v>
      </c>
      <c r="K117" s="11">
        <v>20</v>
      </c>
      <c r="L117" s="11">
        <v>15</v>
      </c>
      <c r="M117" s="11">
        <v>15</v>
      </c>
      <c r="N117" s="167">
        <f>IF(Tabela1[[#This Row],[Subscriber ID]]&lt;&gt;"", 1, 0) +
IF(Tabela1[[#This Row],[EA Play Season Pass]]="Yes", 1, 0) +
IF(Tabela1[[#This Row],[Minecraft Season Pass]]="Yes", 1, 0)</f>
        <v>2</v>
      </c>
    </row>
    <row r="118" spans="1:14" ht="16.5" customHeight="1">
      <c r="A118" s="35">
        <v>3323</v>
      </c>
      <c r="B118" s="8" t="s">
        <v>116</v>
      </c>
      <c r="C118" s="8" t="s">
        <v>17</v>
      </c>
      <c r="D118" s="10">
        <v>45440</v>
      </c>
      <c r="E118" s="8" t="s">
        <v>14</v>
      </c>
      <c r="F118" s="11">
        <v>5</v>
      </c>
      <c r="G118" s="8" t="s">
        <v>15</v>
      </c>
      <c r="H118" s="8" t="s">
        <v>18</v>
      </c>
      <c r="I118" s="11" t="s">
        <v>306</v>
      </c>
      <c r="J118" s="8" t="s">
        <v>18</v>
      </c>
      <c r="K118" s="11">
        <v>0</v>
      </c>
      <c r="L118" s="11">
        <v>1</v>
      </c>
      <c r="M118" s="11">
        <v>4</v>
      </c>
      <c r="N118" s="167">
        <f>IF(Tabela1[[#This Row],[Subscriber ID]]&lt;&gt;"", 1, 0) +
IF(Tabela1[[#This Row],[EA Play Season Pass]]="Yes", 1, 0) +
IF(Tabela1[[#This Row],[Minecraft Season Pass]]="Yes", 1, 0)</f>
        <v>1</v>
      </c>
    </row>
    <row r="119" spans="1:14" ht="16.5" customHeight="1">
      <c r="A119" s="35">
        <v>3325</v>
      </c>
      <c r="B119" s="8" t="s">
        <v>118</v>
      </c>
      <c r="C119" s="8" t="s">
        <v>21</v>
      </c>
      <c r="D119" s="10">
        <v>45442</v>
      </c>
      <c r="E119" s="8" t="s">
        <v>14</v>
      </c>
      <c r="F119" s="11">
        <v>10</v>
      </c>
      <c r="G119" s="8" t="s">
        <v>22</v>
      </c>
      <c r="H119" s="8" t="s">
        <v>18</v>
      </c>
      <c r="I119" s="11" t="s">
        <v>306</v>
      </c>
      <c r="J119" s="8" t="s">
        <v>14</v>
      </c>
      <c r="K119" s="11">
        <v>20</v>
      </c>
      <c r="L119" s="11">
        <v>15</v>
      </c>
      <c r="M119" s="11">
        <v>15</v>
      </c>
      <c r="N119" s="167">
        <f>IF(Tabela1[[#This Row],[Subscriber ID]]&lt;&gt;"", 1, 0) +
IF(Tabela1[[#This Row],[EA Play Season Pass]]="Yes", 1, 0) +
IF(Tabela1[[#This Row],[Minecraft Season Pass]]="Yes", 1, 0)</f>
        <v>2</v>
      </c>
    </row>
    <row r="120" spans="1:14" ht="16.5" customHeight="1">
      <c r="A120" s="35">
        <v>3326</v>
      </c>
      <c r="B120" s="8" t="s">
        <v>119</v>
      </c>
      <c r="C120" s="8" t="s">
        <v>17</v>
      </c>
      <c r="D120" s="10">
        <v>45443</v>
      </c>
      <c r="E120" s="8" t="s">
        <v>18</v>
      </c>
      <c r="F120" s="11">
        <v>5</v>
      </c>
      <c r="G120" s="8" t="s">
        <v>19</v>
      </c>
      <c r="H120" s="8" t="s">
        <v>18</v>
      </c>
      <c r="I120" s="11" t="s">
        <v>306</v>
      </c>
      <c r="J120" s="8" t="s">
        <v>18</v>
      </c>
      <c r="K120" s="11">
        <v>0</v>
      </c>
      <c r="L120" s="11">
        <v>0</v>
      </c>
      <c r="M120" s="11">
        <v>5</v>
      </c>
      <c r="N120" s="167">
        <f>IF(Tabela1[[#This Row],[Subscriber ID]]&lt;&gt;"", 1, 0) +
IF(Tabela1[[#This Row],[EA Play Season Pass]]="Yes", 1, 0) +
IF(Tabela1[[#This Row],[Minecraft Season Pass]]="Yes", 1, 0)</f>
        <v>1</v>
      </c>
    </row>
    <row r="121" spans="1:14" ht="16.5" customHeight="1">
      <c r="A121" s="35">
        <v>3327</v>
      </c>
      <c r="B121" s="8" t="s">
        <v>120</v>
      </c>
      <c r="C121" s="8" t="s">
        <v>13</v>
      </c>
      <c r="D121" s="10">
        <v>45444</v>
      </c>
      <c r="E121" s="8" t="s">
        <v>14</v>
      </c>
      <c r="F121" s="11">
        <v>15</v>
      </c>
      <c r="G121" s="8" t="s">
        <v>15</v>
      </c>
      <c r="H121" s="8" t="s">
        <v>14</v>
      </c>
      <c r="I121" s="11">
        <v>30</v>
      </c>
      <c r="J121" s="8" t="s">
        <v>14</v>
      </c>
      <c r="K121" s="11">
        <v>20</v>
      </c>
      <c r="L121" s="11">
        <v>7</v>
      </c>
      <c r="M121" s="11">
        <v>58</v>
      </c>
      <c r="N121" s="167">
        <f>IF(Tabela1[[#This Row],[Subscriber ID]]&lt;&gt;"", 1, 0) +
IF(Tabela1[[#This Row],[EA Play Season Pass]]="Yes", 1, 0) +
IF(Tabela1[[#This Row],[Minecraft Season Pass]]="Yes", 1, 0)</f>
        <v>3</v>
      </c>
    </row>
    <row r="122" spans="1:14" ht="16.5" customHeight="1">
      <c r="A122" s="35">
        <v>3328</v>
      </c>
      <c r="B122" s="8" t="s">
        <v>121</v>
      </c>
      <c r="C122" s="8" t="s">
        <v>21</v>
      </c>
      <c r="D122" s="10">
        <v>45445</v>
      </c>
      <c r="E122" s="8" t="s">
        <v>18</v>
      </c>
      <c r="F122" s="11">
        <v>10</v>
      </c>
      <c r="G122" s="8" t="s">
        <v>19</v>
      </c>
      <c r="H122" s="8" t="s">
        <v>18</v>
      </c>
      <c r="I122" s="11" t="s">
        <v>306</v>
      </c>
      <c r="J122" s="8" t="s">
        <v>14</v>
      </c>
      <c r="K122" s="11">
        <v>20</v>
      </c>
      <c r="L122" s="11">
        <v>10</v>
      </c>
      <c r="M122" s="11">
        <v>20</v>
      </c>
      <c r="N122" s="167">
        <f>IF(Tabela1[[#This Row],[Subscriber ID]]&lt;&gt;"", 1, 0) +
IF(Tabela1[[#This Row],[EA Play Season Pass]]="Yes", 1, 0) +
IF(Tabela1[[#This Row],[Minecraft Season Pass]]="Yes", 1, 0)</f>
        <v>2</v>
      </c>
    </row>
    <row r="123" spans="1:14" ht="16.5" customHeight="1">
      <c r="A123" s="35">
        <v>3329</v>
      </c>
      <c r="B123" s="8" t="s">
        <v>122</v>
      </c>
      <c r="C123" s="8" t="s">
        <v>17</v>
      </c>
      <c r="D123" s="10">
        <v>45446</v>
      </c>
      <c r="E123" s="8" t="s">
        <v>14</v>
      </c>
      <c r="F123" s="11">
        <v>5</v>
      </c>
      <c r="G123" s="8" t="s">
        <v>22</v>
      </c>
      <c r="H123" s="8" t="s">
        <v>18</v>
      </c>
      <c r="I123" s="11" t="s">
        <v>306</v>
      </c>
      <c r="J123" s="8" t="s">
        <v>18</v>
      </c>
      <c r="K123" s="11">
        <v>0</v>
      </c>
      <c r="L123" s="11">
        <v>1</v>
      </c>
      <c r="M123" s="11">
        <v>4</v>
      </c>
      <c r="N123" s="167">
        <f>IF(Tabela1[[#This Row],[Subscriber ID]]&lt;&gt;"", 1, 0) +
IF(Tabela1[[#This Row],[EA Play Season Pass]]="Yes", 1, 0) +
IF(Tabela1[[#This Row],[Minecraft Season Pass]]="Yes", 1, 0)</f>
        <v>1</v>
      </c>
    </row>
    <row r="124" spans="1:14" ht="16.5" customHeight="1">
      <c r="A124" s="35">
        <v>3330</v>
      </c>
      <c r="B124" s="8" t="s">
        <v>123</v>
      </c>
      <c r="C124" s="8" t="s">
        <v>13</v>
      </c>
      <c r="D124" s="10">
        <v>45447</v>
      </c>
      <c r="E124" s="8" t="s">
        <v>18</v>
      </c>
      <c r="F124" s="11">
        <v>15</v>
      </c>
      <c r="G124" s="8" t="s">
        <v>15</v>
      </c>
      <c r="H124" s="8" t="s">
        <v>14</v>
      </c>
      <c r="I124" s="11">
        <v>30</v>
      </c>
      <c r="J124" s="8" t="s">
        <v>14</v>
      </c>
      <c r="K124" s="11">
        <v>20</v>
      </c>
      <c r="L124" s="11">
        <v>15</v>
      </c>
      <c r="M124" s="11">
        <v>50</v>
      </c>
      <c r="N124" s="167">
        <f>IF(Tabela1[[#This Row],[Subscriber ID]]&lt;&gt;"", 1, 0) +
IF(Tabela1[[#This Row],[EA Play Season Pass]]="Yes", 1, 0) +
IF(Tabela1[[#This Row],[Minecraft Season Pass]]="Yes", 1, 0)</f>
        <v>3</v>
      </c>
    </row>
    <row r="125" spans="1:14" ht="16.5" customHeight="1">
      <c r="A125" s="35">
        <v>3331</v>
      </c>
      <c r="B125" s="8" t="s">
        <v>124</v>
      </c>
      <c r="C125" s="8" t="s">
        <v>21</v>
      </c>
      <c r="D125" s="10">
        <v>45448</v>
      </c>
      <c r="E125" s="8" t="s">
        <v>14</v>
      </c>
      <c r="F125" s="11">
        <v>10</v>
      </c>
      <c r="G125" s="8" t="s">
        <v>15</v>
      </c>
      <c r="H125" s="8" t="s">
        <v>18</v>
      </c>
      <c r="I125" s="11" t="s">
        <v>306</v>
      </c>
      <c r="J125" s="8" t="s">
        <v>14</v>
      </c>
      <c r="K125" s="11">
        <v>20</v>
      </c>
      <c r="L125" s="11">
        <v>5</v>
      </c>
      <c r="M125" s="11">
        <v>25</v>
      </c>
      <c r="N125" s="167">
        <f>IF(Tabela1[[#This Row],[Subscriber ID]]&lt;&gt;"", 1, 0) +
IF(Tabela1[[#This Row],[EA Play Season Pass]]="Yes", 1, 0) +
IF(Tabela1[[#This Row],[Minecraft Season Pass]]="Yes", 1, 0)</f>
        <v>2</v>
      </c>
    </row>
    <row r="126" spans="1:14" ht="16.5" customHeight="1">
      <c r="A126" s="35">
        <v>3332</v>
      </c>
      <c r="B126" s="8" t="s">
        <v>125</v>
      </c>
      <c r="C126" s="8" t="s">
        <v>17</v>
      </c>
      <c r="D126" s="10">
        <v>45449</v>
      </c>
      <c r="E126" s="8" t="s">
        <v>18</v>
      </c>
      <c r="F126" s="11">
        <v>5</v>
      </c>
      <c r="G126" s="8" t="s">
        <v>19</v>
      </c>
      <c r="H126" s="8" t="s">
        <v>18</v>
      </c>
      <c r="I126" s="11" t="s">
        <v>306</v>
      </c>
      <c r="J126" s="8" t="s">
        <v>18</v>
      </c>
      <c r="K126" s="11">
        <v>0</v>
      </c>
      <c r="L126" s="11">
        <v>0</v>
      </c>
      <c r="M126" s="11">
        <v>5</v>
      </c>
      <c r="N126" s="167">
        <f>IF(Tabela1[[#This Row],[Subscriber ID]]&lt;&gt;"", 1, 0) +
IF(Tabela1[[#This Row],[EA Play Season Pass]]="Yes", 1, 0) +
IF(Tabela1[[#This Row],[Minecraft Season Pass]]="Yes", 1, 0)</f>
        <v>1</v>
      </c>
    </row>
    <row r="127" spans="1:14" ht="16.5" customHeight="1">
      <c r="A127" s="35">
        <v>3333</v>
      </c>
      <c r="B127" s="8" t="s">
        <v>126</v>
      </c>
      <c r="C127" s="8" t="s">
        <v>13</v>
      </c>
      <c r="D127" s="10">
        <v>45450</v>
      </c>
      <c r="E127" s="8" t="s">
        <v>14</v>
      </c>
      <c r="F127" s="11">
        <v>15</v>
      </c>
      <c r="G127" s="8" t="s">
        <v>22</v>
      </c>
      <c r="H127" s="8" t="s">
        <v>14</v>
      </c>
      <c r="I127" s="11">
        <v>30</v>
      </c>
      <c r="J127" s="8" t="s">
        <v>14</v>
      </c>
      <c r="K127" s="11">
        <v>20</v>
      </c>
      <c r="L127" s="11">
        <v>20</v>
      </c>
      <c r="M127" s="11">
        <v>45</v>
      </c>
      <c r="N127" s="167">
        <f>IF(Tabela1[[#This Row],[Subscriber ID]]&lt;&gt;"", 1, 0) +
IF(Tabela1[[#This Row],[EA Play Season Pass]]="Yes", 1, 0) +
IF(Tabela1[[#This Row],[Minecraft Season Pass]]="Yes", 1, 0)</f>
        <v>3</v>
      </c>
    </row>
    <row r="128" spans="1:14" ht="16.5" customHeight="1">
      <c r="A128" s="35">
        <v>3334</v>
      </c>
      <c r="B128" s="8" t="s">
        <v>127</v>
      </c>
      <c r="C128" s="8" t="s">
        <v>21</v>
      </c>
      <c r="D128" s="10">
        <v>45451</v>
      </c>
      <c r="E128" s="8" t="s">
        <v>18</v>
      </c>
      <c r="F128" s="11">
        <v>10</v>
      </c>
      <c r="G128" s="8" t="s">
        <v>22</v>
      </c>
      <c r="H128" s="8" t="s">
        <v>18</v>
      </c>
      <c r="I128" s="11" t="s">
        <v>306</v>
      </c>
      <c r="J128" s="8" t="s">
        <v>14</v>
      </c>
      <c r="K128" s="11">
        <v>20</v>
      </c>
      <c r="L128" s="11">
        <v>12</v>
      </c>
      <c r="M128" s="11">
        <v>18</v>
      </c>
      <c r="N128" s="167">
        <f>IF(Tabela1[[#This Row],[Subscriber ID]]&lt;&gt;"", 1, 0) +
IF(Tabela1[[#This Row],[EA Play Season Pass]]="Yes", 1, 0) +
IF(Tabela1[[#This Row],[Minecraft Season Pass]]="Yes", 1, 0)</f>
        <v>2</v>
      </c>
    </row>
    <row r="129" spans="1:14" ht="16.5" customHeight="1">
      <c r="A129" s="35">
        <v>3335</v>
      </c>
      <c r="B129" s="8" t="s">
        <v>128</v>
      </c>
      <c r="C129" s="8" t="s">
        <v>17</v>
      </c>
      <c r="D129" s="10">
        <v>45452</v>
      </c>
      <c r="E129" s="8" t="s">
        <v>14</v>
      </c>
      <c r="F129" s="11">
        <v>5</v>
      </c>
      <c r="G129" s="8" t="s">
        <v>15</v>
      </c>
      <c r="H129" s="8" t="s">
        <v>18</v>
      </c>
      <c r="I129" s="11" t="s">
        <v>306</v>
      </c>
      <c r="J129" s="8" t="s">
        <v>18</v>
      </c>
      <c r="K129" s="11">
        <v>0</v>
      </c>
      <c r="L129" s="11">
        <v>2</v>
      </c>
      <c r="M129" s="11">
        <v>3</v>
      </c>
      <c r="N129" s="167">
        <f>IF(Tabela1[[#This Row],[Subscriber ID]]&lt;&gt;"", 1, 0) +
IF(Tabela1[[#This Row],[EA Play Season Pass]]="Yes", 1, 0) +
IF(Tabela1[[#This Row],[Minecraft Season Pass]]="Yes", 1, 0)</f>
        <v>1</v>
      </c>
    </row>
    <row r="130" spans="1:14" ht="16.5" customHeight="1">
      <c r="A130" s="35">
        <v>3336</v>
      </c>
      <c r="B130" s="8" t="s">
        <v>129</v>
      </c>
      <c r="C130" s="8" t="s">
        <v>17</v>
      </c>
      <c r="D130" s="10">
        <v>45453</v>
      </c>
      <c r="E130" s="8" t="s">
        <v>14</v>
      </c>
      <c r="F130" s="11">
        <v>5</v>
      </c>
      <c r="G130" s="8" t="s">
        <v>15</v>
      </c>
      <c r="H130" s="8" t="s">
        <v>18</v>
      </c>
      <c r="I130" s="11" t="s">
        <v>306</v>
      </c>
      <c r="J130" s="8" t="s">
        <v>18</v>
      </c>
      <c r="K130" s="11">
        <v>0</v>
      </c>
      <c r="L130" s="11">
        <v>0</v>
      </c>
      <c r="M130" s="11">
        <v>5</v>
      </c>
      <c r="N130" s="167">
        <f>IF(Tabela1[[#This Row],[Subscriber ID]]&lt;&gt;"", 1, 0) +
IF(Tabela1[[#This Row],[EA Play Season Pass]]="Yes", 1, 0) +
IF(Tabela1[[#This Row],[Minecraft Season Pass]]="Yes", 1, 0)</f>
        <v>1</v>
      </c>
    </row>
    <row r="131" spans="1:14" ht="16.5" customHeight="1">
      <c r="A131" s="35">
        <v>3337</v>
      </c>
      <c r="B131" s="8" t="s">
        <v>130</v>
      </c>
      <c r="C131" s="8" t="s">
        <v>13</v>
      </c>
      <c r="D131" s="10">
        <v>45454</v>
      </c>
      <c r="E131" s="8" t="s">
        <v>18</v>
      </c>
      <c r="F131" s="11">
        <v>15</v>
      </c>
      <c r="G131" s="8" t="s">
        <v>22</v>
      </c>
      <c r="H131" s="8" t="s">
        <v>14</v>
      </c>
      <c r="I131" s="11">
        <v>30</v>
      </c>
      <c r="J131" s="8" t="s">
        <v>14</v>
      </c>
      <c r="K131" s="11">
        <v>20</v>
      </c>
      <c r="L131" s="11">
        <v>7</v>
      </c>
      <c r="M131" s="11">
        <v>58</v>
      </c>
      <c r="N131" s="167">
        <f>IF(Tabela1[[#This Row],[Subscriber ID]]&lt;&gt;"", 1, 0) +
IF(Tabela1[[#This Row],[EA Play Season Pass]]="Yes", 1, 0) +
IF(Tabela1[[#This Row],[Minecraft Season Pass]]="Yes", 1, 0)</f>
        <v>3</v>
      </c>
    </row>
    <row r="132" spans="1:14" ht="16.5" customHeight="1">
      <c r="A132" s="35">
        <v>3338</v>
      </c>
      <c r="B132" s="8" t="s">
        <v>131</v>
      </c>
      <c r="C132" s="8" t="s">
        <v>21</v>
      </c>
      <c r="D132" s="10">
        <v>45455</v>
      </c>
      <c r="E132" s="8" t="s">
        <v>14</v>
      </c>
      <c r="F132" s="11">
        <v>10</v>
      </c>
      <c r="G132" s="8" t="s">
        <v>19</v>
      </c>
      <c r="H132" s="8" t="s">
        <v>18</v>
      </c>
      <c r="I132" s="11" t="s">
        <v>306</v>
      </c>
      <c r="J132" s="8" t="s">
        <v>14</v>
      </c>
      <c r="K132" s="11">
        <v>20</v>
      </c>
      <c r="L132" s="11">
        <v>10</v>
      </c>
      <c r="M132" s="11">
        <v>20</v>
      </c>
      <c r="N132" s="167">
        <f>IF(Tabela1[[#This Row],[Subscriber ID]]&lt;&gt;"", 1, 0) +
IF(Tabela1[[#This Row],[EA Play Season Pass]]="Yes", 1, 0) +
IF(Tabela1[[#This Row],[Minecraft Season Pass]]="Yes", 1, 0)</f>
        <v>2</v>
      </c>
    </row>
    <row r="133" spans="1:14" ht="16.5" customHeight="1">
      <c r="A133" s="35">
        <v>3339</v>
      </c>
      <c r="B133" s="8" t="s">
        <v>132</v>
      </c>
      <c r="C133" s="8" t="s">
        <v>17</v>
      </c>
      <c r="D133" s="10">
        <v>45456</v>
      </c>
      <c r="E133" s="8" t="s">
        <v>18</v>
      </c>
      <c r="F133" s="11">
        <v>5</v>
      </c>
      <c r="G133" s="8" t="s">
        <v>22</v>
      </c>
      <c r="H133" s="8" t="s">
        <v>18</v>
      </c>
      <c r="I133" s="11" t="s">
        <v>306</v>
      </c>
      <c r="J133" s="8" t="s">
        <v>18</v>
      </c>
      <c r="K133" s="11">
        <v>0</v>
      </c>
      <c r="L133" s="11">
        <v>1</v>
      </c>
      <c r="M133" s="11">
        <v>4</v>
      </c>
      <c r="N133" s="167">
        <f>IF(Tabela1[[#This Row],[Subscriber ID]]&lt;&gt;"", 1, 0) +
IF(Tabela1[[#This Row],[EA Play Season Pass]]="Yes", 1, 0) +
IF(Tabela1[[#This Row],[Minecraft Season Pass]]="Yes", 1, 0)</f>
        <v>1</v>
      </c>
    </row>
    <row r="134" spans="1:14" ht="16.5" customHeight="1">
      <c r="A134" s="35">
        <v>3340</v>
      </c>
      <c r="B134" s="8" t="s">
        <v>133</v>
      </c>
      <c r="C134" s="8" t="s">
        <v>13</v>
      </c>
      <c r="D134" s="10">
        <v>45457</v>
      </c>
      <c r="E134" s="8" t="s">
        <v>14</v>
      </c>
      <c r="F134" s="11">
        <v>15</v>
      </c>
      <c r="G134" s="8" t="s">
        <v>15</v>
      </c>
      <c r="H134" s="8" t="s">
        <v>14</v>
      </c>
      <c r="I134" s="11">
        <v>30</v>
      </c>
      <c r="J134" s="8" t="s">
        <v>14</v>
      </c>
      <c r="K134" s="11">
        <v>20</v>
      </c>
      <c r="L134" s="11">
        <v>15</v>
      </c>
      <c r="M134" s="11">
        <v>50</v>
      </c>
      <c r="N134" s="167">
        <f>IF(Tabela1[[#This Row],[Subscriber ID]]&lt;&gt;"", 1, 0) +
IF(Tabela1[[#This Row],[EA Play Season Pass]]="Yes", 1, 0) +
IF(Tabela1[[#This Row],[Minecraft Season Pass]]="Yes", 1, 0)</f>
        <v>3</v>
      </c>
    </row>
    <row r="135" spans="1:14" ht="16.5" customHeight="1">
      <c r="A135" s="35">
        <v>3341</v>
      </c>
      <c r="B135" s="8" t="s">
        <v>134</v>
      </c>
      <c r="C135" s="8" t="s">
        <v>21</v>
      </c>
      <c r="D135" s="10">
        <v>45458</v>
      </c>
      <c r="E135" s="8" t="s">
        <v>18</v>
      </c>
      <c r="F135" s="11">
        <v>10</v>
      </c>
      <c r="G135" s="8" t="s">
        <v>15</v>
      </c>
      <c r="H135" s="8" t="s">
        <v>18</v>
      </c>
      <c r="I135" s="11" t="s">
        <v>306</v>
      </c>
      <c r="J135" s="8" t="s">
        <v>14</v>
      </c>
      <c r="K135" s="11">
        <v>20</v>
      </c>
      <c r="L135" s="11">
        <v>5</v>
      </c>
      <c r="M135" s="11">
        <v>25</v>
      </c>
      <c r="N135" s="167">
        <f>IF(Tabela1[[#This Row],[Subscriber ID]]&lt;&gt;"", 1, 0) +
IF(Tabela1[[#This Row],[EA Play Season Pass]]="Yes", 1, 0) +
IF(Tabela1[[#This Row],[Minecraft Season Pass]]="Yes", 1, 0)</f>
        <v>2</v>
      </c>
    </row>
    <row r="136" spans="1:14" ht="16.5" customHeight="1">
      <c r="A136" s="35">
        <v>3342</v>
      </c>
      <c r="B136" s="8" t="s">
        <v>135</v>
      </c>
      <c r="C136" s="8" t="s">
        <v>17</v>
      </c>
      <c r="D136" s="10">
        <v>45459</v>
      </c>
      <c r="E136" s="8" t="s">
        <v>14</v>
      </c>
      <c r="F136" s="11">
        <v>5</v>
      </c>
      <c r="G136" s="8" t="s">
        <v>19</v>
      </c>
      <c r="H136" s="8" t="s">
        <v>18</v>
      </c>
      <c r="I136" s="11" t="s">
        <v>306</v>
      </c>
      <c r="J136" s="8" t="s">
        <v>18</v>
      </c>
      <c r="K136" s="11">
        <v>0</v>
      </c>
      <c r="L136" s="11">
        <v>0</v>
      </c>
      <c r="M136" s="11">
        <v>5</v>
      </c>
      <c r="N136" s="167">
        <f>IF(Tabela1[[#This Row],[Subscriber ID]]&lt;&gt;"", 1, 0) +
IF(Tabela1[[#This Row],[EA Play Season Pass]]="Yes", 1, 0) +
IF(Tabela1[[#This Row],[Minecraft Season Pass]]="Yes", 1, 0)</f>
        <v>1</v>
      </c>
    </row>
    <row r="137" spans="1:14" ht="16.5" customHeight="1">
      <c r="A137" s="35">
        <v>3343</v>
      </c>
      <c r="B137" s="8" t="s">
        <v>136</v>
      </c>
      <c r="C137" s="8" t="s">
        <v>13</v>
      </c>
      <c r="D137" s="10">
        <v>45460</v>
      </c>
      <c r="E137" s="8" t="s">
        <v>18</v>
      </c>
      <c r="F137" s="11">
        <v>15</v>
      </c>
      <c r="G137" s="8" t="s">
        <v>22</v>
      </c>
      <c r="H137" s="8" t="s">
        <v>14</v>
      </c>
      <c r="I137" s="11">
        <v>30</v>
      </c>
      <c r="J137" s="8" t="s">
        <v>14</v>
      </c>
      <c r="K137" s="11">
        <v>20</v>
      </c>
      <c r="L137" s="11">
        <v>20</v>
      </c>
      <c r="M137" s="11">
        <v>45</v>
      </c>
      <c r="N137" s="167">
        <f>IF(Tabela1[[#This Row],[Subscriber ID]]&lt;&gt;"", 1, 0) +
IF(Tabela1[[#This Row],[EA Play Season Pass]]="Yes", 1, 0) +
IF(Tabela1[[#This Row],[Minecraft Season Pass]]="Yes", 1, 0)</f>
        <v>3</v>
      </c>
    </row>
    <row r="138" spans="1:14" ht="16.5" customHeight="1">
      <c r="A138" s="35">
        <v>3344</v>
      </c>
      <c r="B138" s="8" t="s">
        <v>137</v>
      </c>
      <c r="C138" s="8" t="s">
        <v>21</v>
      </c>
      <c r="D138" s="10">
        <v>45461</v>
      </c>
      <c r="E138" s="8" t="s">
        <v>14</v>
      </c>
      <c r="F138" s="11">
        <v>10</v>
      </c>
      <c r="G138" s="8" t="s">
        <v>22</v>
      </c>
      <c r="H138" s="8" t="s">
        <v>18</v>
      </c>
      <c r="I138" s="11" t="s">
        <v>306</v>
      </c>
      <c r="J138" s="8" t="s">
        <v>14</v>
      </c>
      <c r="K138" s="11">
        <v>20</v>
      </c>
      <c r="L138" s="11">
        <v>12</v>
      </c>
      <c r="M138" s="11">
        <v>18</v>
      </c>
      <c r="N138" s="167">
        <f>IF(Tabela1[[#This Row],[Subscriber ID]]&lt;&gt;"", 1, 0) +
IF(Tabela1[[#This Row],[EA Play Season Pass]]="Yes", 1, 0) +
IF(Tabela1[[#This Row],[Minecraft Season Pass]]="Yes", 1, 0)</f>
        <v>2</v>
      </c>
    </row>
    <row r="139" spans="1:14" ht="16.5" customHeight="1">
      <c r="A139" s="35">
        <v>3345</v>
      </c>
      <c r="B139" s="8" t="s">
        <v>138</v>
      </c>
      <c r="C139" s="8" t="s">
        <v>17</v>
      </c>
      <c r="D139" s="10">
        <v>45462</v>
      </c>
      <c r="E139" s="8" t="s">
        <v>18</v>
      </c>
      <c r="F139" s="11">
        <v>5</v>
      </c>
      <c r="G139" s="8" t="s">
        <v>15</v>
      </c>
      <c r="H139" s="8" t="s">
        <v>18</v>
      </c>
      <c r="I139" s="11" t="s">
        <v>306</v>
      </c>
      <c r="J139" s="8" t="s">
        <v>18</v>
      </c>
      <c r="K139" s="11">
        <v>0</v>
      </c>
      <c r="L139" s="11">
        <v>2</v>
      </c>
      <c r="M139" s="11">
        <v>3</v>
      </c>
      <c r="N139" s="167">
        <f>IF(Tabela1[[#This Row],[Subscriber ID]]&lt;&gt;"", 1, 0) +
IF(Tabela1[[#This Row],[EA Play Season Pass]]="Yes", 1, 0) +
IF(Tabela1[[#This Row],[Minecraft Season Pass]]="Yes", 1, 0)</f>
        <v>1</v>
      </c>
    </row>
    <row r="140" spans="1:14" ht="16.5" customHeight="1">
      <c r="A140" s="35">
        <v>3346</v>
      </c>
      <c r="B140" s="8" t="s">
        <v>139</v>
      </c>
      <c r="C140" s="8" t="s">
        <v>13</v>
      </c>
      <c r="D140" s="10">
        <v>45463</v>
      </c>
      <c r="E140" s="8" t="s">
        <v>14</v>
      </c>
      <c r="F140" s="11">
        <v>15</v>
      </c>
      <c r="G140" s="8" t="s">
        <v>19</v>
      </c>
      <c r="H140" s="8" t="s">
        <v>14</v>
      </c>
      <c r="I140" s="11">
        <v>30</v>
      </c>
      <c r="J140" s="8" t="s">
        <v>14</v>
      </c>
      <c r="K140" s="11">
        <v>20</v>
      </c>
      <c r="L140" s="11">
        <v>5</v>
      </c>
      <c r="M140" s="11">
        <v>60</v>
      </c>
      <c r="N140" s="167">
        <f>IF(Tabela1[[#This Row],[Subscriber ID]]&lt;&gt;"", 1, 0) +
IF(Tabela1[[#This Row],[EA Play Season Pass]]="Yes", 1, 0) +
IF(Tabela1[[#This Row],[Minecraft Season Pass]]="Yes", 1, 0)</f>
        <v>3</v>
      </c>
    </row>
    <row r="141" spans="1:14" ht="16.5" customHeight="1">
      <c r="A141" s="35">
        <v>3347</v>
      </c>
      <c r="B141" s="8" t="s">
        <v>140</v>
      </c>
      <c r="C141" s="8" t="s">
        <v>21</v>
      </c>
      <c r="D141" s="10">
        <v>45464</v>
      </c>
      <c r="E141" s="8" t="s">
        <v>18</v>
      </c>
      <c r="F141" s="11">
        <v>10</v>
      </c>
      <c r="G141" s="8" t="s">
        <v>15</v>
      </c>
      <c r="H141" s="8" t="s">
        <v>18</v>
      </c>
      <c r="I141" s="11" t="s">
        <v>306</v>
      </c>
      <c r="J141" s="8" t="s">
        <v>14</v>
      </c>
      <c r="K141" s="11">
        <v>20</v>
      </c>
      <c r="L141" s="11">
        <v>10</v>
      </c>
      <c r="M141" s="11">
        <v>20</v>
      </c>
      <c r="N141" s="167">
        <f>IF(Tabela1[[#This Row],[Subscriber ID]]&lt;&gt;"", 1, 0) +
IF(Tabela1[[#This Row],[EA Play Season Pass]]="Yes", 1, 0) +
IF(Tabela1[[#This Row],[Minecraft Season Pass]]="Yes", 1, 0)</f>
        <v>2</v>
      </c>
    </row>
    <row r="142" spans="1:14" ht="16.5" customHeight="1">
      <c r="A142" s="35">
        <v>3348</v>
      </c>
      <c r="B142" s="8" t="s">
        <v>141</v>
      </c>
      <c r="C142" s="8" t="s">
        <v>17</v>
      </c>
      <c r="D142" s="10">
        <v>45465</v>
      </c>
      <c r="E142" s="8" t="s">
        <v>14</v>
      </c>
      <c r="F142" s="11">
        <v>5</v>
      </c>
      <c r="G142" s="8" t="s">
        <v>22</v>
      </c>
      <c r="H142" s="8" t="s">
        <v>18</v>
      </c>
      <c r="I142" s="11" t="s">
        <v>306</v>
      </c>
      <c r="J142" s="8" t="s">
        <v>18</v>
      </c>
      <c r="K142" s="11">
        <v>0</v>
      </c>
      <c r="L142" s="11">
        <v>0</v>
      </c>
      <c r="M142" s="11">
        <v>5</v>
      </c>
      <c r="N142" s="167">
        <f>IF(Tabela1[[#This Row],[Subscriber ID]]&lt;&gt;"", 1, 0) +
IF(Tabela1[[#This Row],[EA Play Season Pass]]="Yes", 1, 0) +
IF(Tabela1[[#This Row],[Minecraft Season Pass]]="Yes", 1, 0)</f>
        <v>1</v>
      </c>
    </row>
    <row r="143" spans="1:14" ht="16.5" customHeight="1">
      <c r="A143" s="35">
        <v>3350</v>
      </c>
      <c r="B143" s="8" t="s">
        <v>142</v>
      </c>
      <c r="C143" s="8" t="s">
        <v>21</v>
      </c>
      <c r="D143" s="10">
        <v>45467</v>
      </c>
      <c r="E143" s="8" t="s">
        <v>14</v>
      </c>
      <c r="F143" s="11">
        <v>10</v>
      </c>
      <c r="G143" s="8" t="s">
        <v>19</v>
      </c>
      <c r="H143" s="8" t="s">
        <v>18</v>
      </c>
      <c r="I143" s="11" t="s">
        <v>306</v>
      </c>
      <c r="J143" s="8" t="s">
        <v>14</v>
      </c>
      <c r="K143" s="11">
        <v>20</v>
      </c>
      <c r="L143" s="11">
        <v>15</v>
      </c>
      <c r="M143" s="11">
        <v>15</v>
      </c>
      <c r="N143" s="167">
        <f>IF(Tabela1[[#This Row],[Subscriber ID]]&lt;&gt;"", 1, 0) +
IF(Tabela1[[#This Row],[EA Play Season Pass]]="Yes", 1, 0) +
IF(Tabela1[[#This Row],[Minecraft Season Pass]]="Yes", 1, 0)</f>
        <v>2</v>
      </c>
    </row>
    <row r="144" spans="1:14" ht="16.5" customHeight="1">
      <c r="A144" s="35">
        <v>3352</v>
      </c>
      <c r="B144" s="8" t="s">
        <v>144</v>
      </c>
      <c r="C144" s="8" t="s">
        <v>13</v>
      </c>
      <c r="D144" s="10">
        <v>45469</v>
      </c>
      <c r="E144" s="8" t="s">
        <v>14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7</v>
      </c>
      <c r="M144" s="11">
        <v>58</v>
      </c>
      <c r="N144" s="167">
        <f>IF(Tabela1[[#This Row],[Subscriber ID]]&lt;&gt;"", 1, 0) +
IF(Tabela1[[#This Row],[EA Play Season Pass]]="Yes", 1, 0) +
IF(Tabela1[[#This Row],[Minecraft Season Pass]]="Yes", 1, 0)</f>
        <v>3</v>
      </c>
    </row>
    <row r="145" spans="1:14" ht="16.5" customHeight="1">
      <c r="A145" s="35">
        <v>3353</v>
      </c>
      <c r="B145" s="8" t="s">
        <v>145</v>
      </c>
      <c r="C145" s="8" t="s">
        <v>21</v>
      </c>
      <c r="D145" s="10">
        <v>45470</v>
      </c>
      <c r="E145" s="8" t="s">
        <v>18</v>
      </c>
      <c r="F145" s="11">
        <v>10</v>
      </c>
      <c r="G145" s="8" t="s">
        <v>15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10</v>
      </c>
      <c r="M145" s="11">
        <v>20</v>
      </c>
      <c r="N145" s="167">
        <f>IF(Tabela1[[#This Row],[Subscriber ID]]&lt;&gt;"", 1, 0) +
IF(Tabela1[[#This Row],[EA Play Season Pass]]="Yes", 1, 0) +
IF(Tabela1[[#This Row],[Minecraft Season Pass]]="Yes", 1, 0)</f>
        <v>2</v>
      </c>
    </row>
    <row r="146" spans="1:14" ht="16.5" customHeight="1">
      <c r="A146" s="35">
        <v>3354</v>
      </c>
      <c r="B146" s="8" t="s">
        <v>146</v>
      </c>
      <c r="C146" s="8" t="s">
        <v>17</v>
      </c>
      <c r="D146" s="10">
        <v>45471</v>
      </c>
      <c r="E146" s="8" t="s">
        <v>14</v>
      </c>
      <c r="F146" s="11">
        <v>5</v>
      </c>
      <c r="G146" s="8" t="s">
        <v>19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0</v>
      </c>
      <c r="M146" s="11">
        <v>5</v>
      </c>
      <c r="N146" s="167">
        <f>IF(Tabela1[[#This Row],[Subscriber ID]]&lt;&gt;"", 1, 0) +
IF(Tabela1[[#This Row],[EA Play Season Pass]]="Yes", 1, 0) +
IF(Tabela1[[#This Row],[Minecraft Season Pass]]="Yes", 1, 0)</f>
        <v>1</v>
      </c>
    </row>
    <row r="147" spans="1:14" ht="16.5" customHeight="1">
      <c r="A147" s="35">
        <v>3355</v>
      </c>
      <c r="B147" s="8" t="s">
        <v>147</v>
      </c>
      <c r="C147" s="8" t="s">
        <v>13</v>
      </c>
      <c r="D147" s="10">
        <v>45472</v>
      </c>
      <c r="E147" s="8" t="s">
        <v>18</v>
      </c>
      <c r="F147" s="11">
        <v>15</v>
      </c>
      <c r="G147" s="8" t="s">
        <v>15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20</v>
      </c>
      <c r="M147" s="11">
        <v>45</v>
      </c>
      <c r="N147" s="167">
        <f>IF(Tabela1[[#This Row],[Subscriber ID]]&lt;&gt;"", 1, 0) +
IF(Tabela1[[#This Row],[EA Play Season Pass]]="Yes", 1, 0) +
IF(Tabela1[[#This Row],[Minecraft Season Pass]]="Yes", 1, 0)</f>
        <v>3</v>
      </c>
    </row>
    <row r="148" spans="1:14" ht="16.5" customHeight="1">
      <c r="A148" s="35">
        <v>3356</v>
      </c>
      <c r="B148" s="8" t="s">
        <v>148</v>
      </c>
      <c r="C148" s="8" t="s">
        <v>21</v>
      </c>
      <c r="D148" s="10">
        <v>45473</v>
      </c>
      <c r="E148" s="8" t="s">
        <v>14</v>
      </c>
      <c r="F148" s="11">
        <v>10</v>
      </c>
      <c r="G148" s="8" t="s">
        <v>22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15</v>
      </c>
      <c r="M148" s="11">
        <v>15</v>
      </c>
      <c r="N148" s="167">
        <f>IF(Tabela1[[#This Row],[Subscriber ID]]&lt;&gt;"", 1, 0) +
IF(Tabela1[[#This Row],[EA Play Season Pass]]="Yes", 1, 0) +
IF(Tabela1[[#This Row],[Minecraft Season Pass]]="Yes", 1, 0)</f>
        <v>2</v>
      </c>
    </row>
    <row r="149" spans="1:14" ht="16.5" customHeight="1">
      <c r="A149" s="35">
        <v>3357</v>
      </c>
      <c r="B149" s="8" t="s">
        <v>149</v>
      </c>
      <c r="C149" s="8" t="s">
        <v>17</v>
      </c>
      <c r="D149" s="10">
        <v>45474</v>
      </c>
      <c r="E149" s="8" t="s">
        <v>18</v>
      </c>
      <c r="F149" s="11">
        <v>5</v>
      </c>
      <c r="G149" s="8" t="s">
        <v>15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1</v>
      </c>
      <c r="M149" s="11">
        <v>4</v>
      </c>
      <c r="N149" s="167">
        <f>IF(Tabela1[[#This Row],[Subscriber ID]]&lt;&gt;"", 1, 0) +
IF(Tabela1[[#This Row],[EA Play Season Pass]]="Yes", 1, 0) +
IF(Tabela1[[#This Row],[Minecraft Season Pass]]="Yes", 1, 0)</f>
        <v>1</v>
      </c>
    </row>
    <row r="150" spans="1:14" ht="16.5" customHeight="1">
      <c r="A150" s="35">
        <v>3358</v>
      </c>
      <c r="B150" s="8" t="s">
        <v>150</v>
      </c>
      <c r="C150" s="8" t="s">
        <v>13</v>
      </c>
      <c r="D150" s="10">
        <v>45475</v>
      </c>
      <c r="E150" s="8" t="s">
        <v>14</v>
      </c>
      <c r="F150" s="11">
        <v>15</v>
      </c>
      <c r="G150" s="8" t="s">
        <v>19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  <c r="N150" s="167">
        <f>IF(Tabela1[[#This Row],[Subscriber ID]]&lt;&gt;"", 1, 0) +
IF(Tabela1[[#This Row],[EA Play Season Pass]]="Yes", 1, 0) +
IF(Tabela1[[#This Row],[Minecraft Season Pass]]="Yes", 1, 0)</f>
        <v>3</v>
      </c>
    </row>
    <row r="151" spans="1:14" ht="16.5" customHeight="1">
      <c r="A151" s="35">
        <v>3360</v>
      </c>
      <c r="B151" s="8" t="s">
        <v>152</v>
      </c>
      <c r="C151" s="8" t="s">
        <v>17</v>
      </c>
      <c r="D151" s="10">
        <v>45477</v>
      </c>
      <c r="E151" s="8" t="s">
        <v>14</v>
      </c>
      <c r="F151" s="11">
        <v>5</v>
      </c>
      <c r="G151" s="8" t="s">
        <v>22</v>
      </c>
      <c r="H151" s="8" t="s">
        <v>18</v>
      </c>
      <c r="I151" s="11" t="s">
        <v>306</v>
      </c>
      <c r="J151" s="8" t="s">
        <v>18</v>
      </c>
      <c r="K151" s="11">
        <v>0</v>
      </c>
      <c r="L151" s="11">
        <v>0</v>
      </c>
      <c r="M151" s="11">
        <v>5</v>
      </c>
      <c r="N151" s="167">
        <f>IF(Tabela1[[#This Row],[Subscriber ID]]&lt;&gt;"", 1, 0) +
IF(Tabela1[[#This Row],[EA Play Season Pass]]="Yes", 1, 0) +
IF(Tabela1[[#This Row],[Minecraft Season Pass]]="Yes", 1, 0)</f>
        <v>1</v>
      </c>
    </row>
    <row r="152" spans="1:14" ht="16.5" customHeight="1">
      <c r="A152" s="35">
        <v>3361</v>
      </c>
      <c r="B152" s="8" t="s">
        <v>153</v>
      </c>
      <c r="C152" s="8" t="s">
        <v>13</v>
      </c>
      <c r="D152" s="10">
        <v>45478</v>
      </c>
      <c r="E152" s="8" t="s">
        <v>18</v>
      </c>
      <c r="F152" s="11">
        <v>15</v>
      </c>
      <c r="G152" s="8" t="s">
        <v>15</v>
      </c>
      <c r="H152" s="8" t="s">
        <v>14</v>
      </c>
      <c r="I152" s="11">
        <v>30</v>
      </c>
      <c r="J152" s="8" t="s">
        <v>14</v>
      </c>
      <c r="K152" s="11">
        <v>20</v>
      </c>
      <c r="L152" s="11">
        <v>15</v>
      </c>
      <c r="M152" s="11">
        <v>50</v>
      </c>
      <c r="N152" s="167">
        <f>IF(Tabela1[[#This Row],[Subscriber ID]]&lt;&gt;"", 1, 0) +
IF(Tabela1[[#This Row],[EA Play Season Pass]]="Yes", 1, 0) +
IF(Tabela1[[#This Row],[Minecraft Season Pass]]="Yes", 1, 0)</f>
        <v>3</v>
      </c>
    </row>
    <row r="153" spans="1:14" ht="16.5" customHeight="1">
      <c r="A153" s="35">
        <v>3364</v>
      </c>
      <c r="B153" s="8" t="s">
        <v>156</v>
      </c>
      <c r="C153" s="8" t="s">
        <v>13</v>
      </c>
      <c r="D153" s="10">
        <v>45481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  <c r="N153" s="167">
        <f>IF(Tabela1[[#This Row],[Subscriber ID]]&lt;&gt;"", 1, 0) +
IF(Tabela1[[#This Row],[EA Play Season Pass]]="Yes", 1, 0) +
IF(Tabela1[[#This Row],[Minecraft Season Pass]]="Yes", 1, 0)</f>
        <v>3</v>
      </c>
    </row>
    <row r="154" spans="1:14" ht="16.5" customHeight="1">
      <c r="A154" s="35">
        <v>3365</v>
      </c>
      <c r="B154" s="8" t="s">
        <v>157</v>
      </c>
      <c r="C154" s="8" t="s">
        <v>21</v>
      </c>
      <c r="D154" s="10">
        <v>45482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  <c r="N154" s="167">
        <f>IF(Tabela1[[#This Row],[Subscriber ID]]&lt;&gt;"", 1, 0) +
IF(Tabela1[[#This Row],[EA Play Season Pass]]="Yes", 1, 0) +
IF(Tabela1[[#This Row],[Minecraft Season Pass]]="Yes", 1, 0)</f>
        <v>2</v>
      </c>
    </row>
    <row r="155" spans="1:14" ht="16.5" customHeight="1">
      <c r="A155" s="35">
        <v>3366</v>
      </c>
      <c r="B155" s="8" t="s">
        <v>158</v>
      </c>
      <c r="C155" s="8" t="s">
        <v>17</v>
      </c>
      <c r="D155" s="10">
        <v>45483</v>
      </c>
      <c r="E155" s="8" t="s">
        <v>14</v>
      </c>
      <c r="F155" s="11">
        <v>5</v>
      </c>
      <c r="G155" s="8" t="s">
        <v>15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  <c r="N155" s="167">
        <f>IF(Tabela1[[#This Row],[Subscriber ID]]&lt;&gt;"", 1, 0) +
IF(Tabela1[[#This Row],[EA Play Season Pass]]="Yes", 1, 0) +
IF(Tabela1[[#This Row],[Minecraft Season Pass]]="Yes", 1, 0)</f>
        <v>1</v>
      </c>
    </row>
    <row r="156" spans="1:14" ht="16.5" customHeight="1">
      <c r="A156" s="35">
        <v>3367</v>
      </c>
      <c r="B156" s="8" t="s">
        <v>159</v>
      </c>
      <c r="C156" s="8" t="s">
        <v>13</v>
      </c>
      <c r="D156" s="10">
        <v>45484</v>
      </c>
      <c r="E156" s="8" t="s">
        <v>18</v>
      </c>
      <c r="F156" s="11">
        <v>15</v>
      </c>
      <c r="G156" s="8" t="s">
        <v>22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7</v>
      </c>
      <c r="M156" s="11">
        <v>58</v>
      </c>
      <c r="N156" s="167">
        <f>IF(Tabela1[[#This Row],[Subscriber ID]]&lt;&gt;"", 1, 0) +
IF(Tabela1[[#This Row],[EA Play Season Pass]]="Yes", 1, 0) +
IF(Tabela1[[#This Row],[Minecraft Season Pass]]="Yes", 1, 0)</f>
        <v>3</v>
      </c>
    </row>
    <row r="157" spans="1:14" ht="16.5" customHeight="1">
      <c r="A157" s="35">
        <v>3368</v>
      </c>
      <c r="B157" s="8" t="s">
        <v>160</v>
      </c>
      <c r="C157" s="8" t="s">
        <v>21</v>
      </c>
      <c r="D157" s="10">
        <v>45485</v>
      </c>
      <c r="E157" s="8" t="s">
        <v>14</v>
      </c>
      <c r="F157" s="11">
        <v>10</v>
      </c>
      <c r="G157" s="8" t="s">
        <v>19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10</v>
      </c>
      <c r="M157" s="11">
        <v>20</v>
      </c>
      <c r="N157" s="167">
        <f>IF(Tabela1[[#This Row],[Subscriber ID]]&lt;&gt;"", 1, 0) +
IF(Tabela1[[#This Row],[EA Play Season Pass]]="Yes", 1, 0) +
IF(Tabela1[[#This Row],[Minecraft Season Pass]]="Yes", 1, 0)</f>
        <v>2</v>
      </c>
    </row>
    <row r="158" spans="1:14" ht="16.5" customHeight="1">
      <c r="A158" s="35">
        <v>3369</v>
      </c>
      <c r="B158" s="8" t="s">
        <v>161</v>
      </c>
      <c r="C158" s="8" t="s">
        <v>17</v>
      </c>
      <c r="D158" s="10">
        <v>45486</v>
      </c>
      <c r="E158" s="8" t="s">
        <v>18</v>
      </c>
      <c r="F158" s="11">
        <v>5</v>
      </c>
      <c r="G158" s="8" t="s">
        <v>22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  <c r="N158" s="167">
        <f>IF(Tabela1[[#This Row],[Subscriber ID]]&lt;&gt;"", 1, 0) +
IF(Tabela1[[#This Row],[EA Play Season Pass]]="Yes", 1, 0) +
IF(Tabela1[[#This Row],[Minecraft Season Pass]]="Yes", 1, 0)</f>
        <v>1</v>
      </c>
    </row>
    <row r="159" spans="1:14" ht="16.5" customHeight="1">
      <c r="A159" s="35">
        <v>3370</v>
      </c>
      <c r="B159" s="8" t="s">
        <v>162</v>
      </c>
      <c r="C159" s="8" t="s">
        <v>13</v>
      </c>
      <c r="D159" s="10">
        <v>45487</v>
      </c>
      <c r="E159" s="8" t="s">
        <v>14</v>
      </c>
      <c r="F159" s="11">
        <v>15</v>
      </c>
      <c r="G159" s="8" t="s">
        <v>15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15</v>
      </c>
      <c r="M159" s="11">
        <v>50</v>
      </c>
      <c r="N159" s="167">
        <f>IF(Tabela1[[#This Row],[Subscriber ID]]&lt;&gt;"", 1, 0) +
IF(Tabela1[[#This Row],[EA Play Season Pass]]="Yes", 1, 0) +
IF(Tabela1[[#This Row],[Minecraft Season Pass]]="Yes", 1, 0)</f>
        <v>3</v>
      </c>
    </row>
    <row r="160" spans="1:14" ht="16.5" customHeight="1">
      <c r="A160" s="35">
        <v>3371</v>
      </c>
      <c r="B160" s="8" t="s">
        <v>163</v>
      </c>
      <c r="C160" s="8" t="s">
        <v>21</v>
      </c>
      <c r="D160" s="10">
        <v>45488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5</v>
      </c>
      <c r="M160" s="11">
        <v>25</v>
      </c>
      <c r="N160" s="167">
        <f>IF(Tabela1[[#This Row],[Subscriber ID]]&lt;&gt;"", 1, 0) +
IF(Tabela1[[#This Row],[EA Play Season Pass]]="Yes", 1, 0) +
IF(Tabela1[[#This Row],[Minecraft Season Pass]]="Yes", 1, 0)</f>
        <v>2</v>
      </c>
    </row>
    <row r="161" spans="1:14" ht="16.5" customHeight="1">
      <c r="A161" s="35">
        <v>3373</v>
      </c>
      <c r="B161" s="8" t="s">
        <v>165</v>
      </c>
      <c r="C161" s="8" t="s">
        <v>13</v>
      </c>
      <c r="D161" s="10">
        <v>45490</v>
      </c>
      <c r="E161" s="8" t="s">
        <v>18</v>
      </c>
      <c r="F161" s="11">
        <v>15</v>
      </c>
      <c r="G161" s="8" t="s">
        <v>22</v>
      </c>
      <c r="H161" s="8" t="s">
        <v>14</v>
      </c>
      <c r="I161" s="11">
        <v>30</v>
      </c>
      <c r="J161" s="8" t="s">
        <v>14</v>
      </c>
      <c r="K161" s="11">
        <v>20</v>
      </c>
      <c r="L161" s="11">
        <v>20</v>
      </c>
      <c r="M161" s="11">
        <v>45</v>
      </c>
      <c r="N161" s="167">
        <f>IF(Tabela1[[#This Row],[Subscriber ID]]&lt;&gt;"", 1, 0) +
IF(Tabela1[[#This Row],[EA Play Season Pass]]="Yes", 1, 0) +
IF(Tabela1[[#This Row],[Minecraft Season Pass]]="Yes", 1, 0)</f>
        <v>3</v>
      </c>
    </row>
    <row r="162" spans="1:14" ht="16.5" customHeight="1">
      <c r="A162" s="35">
        <v>3374</v>
      </c>
      <c r="B162" s="8" t="s">
        <v>166</v>
      </c>
      <c r="C162" s="8" t="s">
        <v>21</v>
      </c>
      <c r="D162" s="10">
        <v>45491</v>
      </c>
      <c r="E162" s="8" t="s">
        <v>14</v>
      </c>
      <c r="F162" s="11">
        <v>10</v>
      </c>
      <c r="G162" s="8" t="s">
        <v>22</v>
      </c>
      <c r="H162" s="8" t="s">
        <v>18</v>
      </c>
      <c r="I162" s="11" t="s">
        <v>306</v>
      </c>
      <c r="J162" s="8" t="s">
        <v>14</v>
      </c>
      <c r="K162" s="11">
        <v>20</v>
      </c>
      <c r="L162" s="11">
        <v>12</v>
      </c>
      <c r="M162" s="11">
        <v>18</v>
      </c>
      <c r="N162" s="167">
        <f>IF(Tabela1[[#This Row],[Subscriber ID]]&lt;&gt;"", 1, 0) +
IF(Tabela1[[#This Row],[EA Play Season Pass]]="Yes", 1, 0) +
IF(Tabela1[[#This Row],[Minecraft Season Pass]]="Yes", 1, 0)</f>
        <v>2</v>
      </c>
    </row>
    <row r="163" spans="1:14" ht="16.5" customHeight="1">
      <c r="A163" s="35">
        <v>3375</v>
      </c>
      <c r="B163" s="8" t="s">
        <v>167</v>
      </c>
      <c r="C163" s="8" t="s">
        <v>17</v>
      </c>
      <c r="D163" s="10">
        <v>45492</v>
      </c>
      <c r="E163" s="8" t="s">
        <v>18</v>
      </c>
      <c r="F163" s="11">
        <v>5</v>
      </c>
      <c r="G163" s="8" t="s">
        <v>15</v>
      </c>
      <c r="H163" s="8" t="s">
        <v>18</v>
      </c>
      <c r="I163" s="11" t="s">
        <v>306</v>
      </c>
      <c r="J163" s="8" t="s">
        <v>18</v>
      </c>
      <c r="K163" s="11">
        <v>0</v>
      </c>
      <c r="L163" s="11">
        <v>2</v>
      </c>
      <c r="M163" s="11">
        <v>3</v>
      </c>
      <c r="N163" s="167">
        <f>IF(Tabela1[[#This Row],[Subscriber ID]]&lt;&gt;"", 1, 0) +
IF(Tabela1[[#This Row],[EA Play Season Pass]]="Yes", 1, 0) +
IF(Tabela1[[#This Row],[Minecraft Season Pass]]="Yes", 1, 0)</f>
        <v>1</v>
      </c>
    </row>
    <row r="164" spans="1:14" ht="16.5" customHeight="1">
      <c r="A164" s="35">
        <v>3376</v>
      </c>
      <c r="B164" s="8" t="s">
        <v>168</v>
      </c>
      <c r="C164" s="8" t="s">
        <v>13</v>
      </c>
      <c r="D164" s="10">
        <v>45493</v>
      </c>
      <c r="E164" s="8" t="s">
        <v>14</v>
      </c>
      <c r="F164" s="11">
        <v>15</v>
      </c>
      <c r="G164" s="8" t="s">
        <v>19</v>
      </c>
      <c r="H164" s="8" t="s">
        <v>14</v>
      </c>
      <c r="I164" s="11">
        <v>30</v>
      </c>
      <c r="J164" s="8" t="s">
        <v>14</v>
      </c>
      <c r="K164" s="11">
        <v>20</v>
      </c>
      <c r="L164" s="11">
        <v>5</v>
      </c>
      <c r="M164" s="11">
        <v>60</v>
      </c>
      <c r="N164" s="167">
        <f>IF(Tabela1[[#This Row],[Subscriber ID]]&lt;&gt;"", 1, 0) +
IF(Tabela1[[#This Row],[EA Play Season Pass]]="Yes", 1, 0) +
IF(Tabela1[[#This Row],[Minecraft Season Pass]]="Yes", 1, 0)</f>
        <v>3</v>
      </c>
    </row>
    <row r="165" spans="1:14" ht="16.5" customHeight="1">
      <c r="A165" s="35">
        <v>3377</v>
      </c>
      <c r="B165" s="8" t="s">
        <v>169</v>
      </c>
      <c r="C165" s="8" t="s">
        <v>21</v>
      </c>
      <c r="D165" s="10">
        <v>45494</v>
      </c>
      <c r="E165" s="8" t="s">
        <v>18</v>
      </c>
      <c r="F165" s="11">
        <v>10</v>
      </c>
      <c r="G165" s="8" t="s">
        <v>15</v>
      </c>
      <c r="H165" s="8" t="s">
        <v>18</v>
      </c>
      <c r="I165" s="11" t="s">
        <v>306</v>
      </c>
      <c r="J165" s="8" t="s">
        <v>14</v>
      </c>
      <c r="K165" s="11">
        <v>20</v>
      </c>
      <c r="L165" s="11">
        <v>10</v>
      </c>
      <c r="M165" s="11">
        <v>20</v>
      </c>
      <c r="N165" s="167">
        <f>IF(Tabela1[[#This Row],[Subscriber ID]]&lt;&gt;"", 1, 0) +
IF(Tabela1[[#This Row],[EA Play Season Pass]]="Yes", 1, 0) +
IF(Tabela1[[#This Row],[Minecraft Season Pass]]="Yes", 1, 0)</f>
        <v>2</v>
      </c>
    </row>
    <row r="166" spans="1:14" ht="16.5" customHeight="1">
      <c r="A166" s="35">
        <v>3378</v>
      </c>
      <c r="B166" s="8" t="s">
        <v>170</v>
      </c>
      <c r="C166" s="8" t="s">
        <v>17</v>
      </c>
      <c r="D166" s="10">
        <v>45495</v>
      </c>
      <c r="E166" s="8" t="s">
        <v>14</v>
      </c>
      <c r="F166" s="11">
        <v>5</v>
      </c>
      <c r="G166" s="8" t="s">
        <v>22</v>
      </c>
      <c r="H166" s="8" t="s">
        <v>18</v>
      </c>
      <c r="I166" s="11" t="s">
        <v>306</v>
      </c>
      <c r="J166" s="8" t="s">
        <v>18</v>
      </c>
      <c r="K166" s="11">
        <v>0</v>
      </c>
      <c r="L166" s="11">
        <v>0</v>
      </c>
      <c r="M166" s="11">
        <v>5</v>
      </c>
      <c r="N166" s="167">
        <f>IF(Tabela1[[#This Row],[Subscriber ID]]&lt;&gt;"", 1, 0) +
IF(Tabela1[[#This Row],[EA Play Season Pass]]="Yes", 1, 0) +
IF(Tabela1[[#This Row],[Minecraft Season Pass]]="Yes", 1, 0)</f>
        <v>1</v>
      </c>
    </row>
    <row r="167" spans="1:14" ht="16.5" customHeight="1">
      <c r="A167" s="35">
        <v>3379</v>
      </c>
      <c r="B167" s="8" t="s">
        <v>171</v>
      </c>
      <c r="C167" s="8" t="s">
        <v>13</v>
      </c>
      <c r="D167" s="10">
        <v>45496</v>
      </c>
      <c r="E167" s="8" t="s">
        <v>18</v>
      </c>
      <c r="F167" s="11">
        <v>15</v>
      </c>
      <c r="G167" s="8" t="s">
        <v>15</v>
      </c>
      <c r="H167" s="8" t="s">
        <v>14</v>
      </c>
      <c r="I167" s="11">
        <v>30</v>
      </c>
      <c r="J167" s="8" t="s">
        <v>14</v>
      </c>
      <c r="K167" s="11">
        <v>20</v>
      </c>
      <c r="L167" s="11">
        <v>3</v>
      </c>
      <c r="M167" s="11">
        <v>62</v>
      </c>
      <c r="N167" s="167">
        <f>IF(Tabela1[[#This Row],[Subscriber ID]]&lt;&gt;"", 1, 0) +
IF(Tabela1[[#This Row],[EA Play Season Pass]]="Yes", 1, 0) +
IF(Tabela1[[#This Row],[Minecraft Season Pass]]="Yes", 1, 0)</f>
        <v>3</v>
      </c>
    </row>
    <row r="168" spans="1:14" ht="16.5" customHeight="1">
      <c r="A168" s="35">
        <v>3380</v>
      </c>
      <c r="B168" s="8" t="s">
        <v>172</v>
      </c>
      <c r="C168" s="8" t="s">
        <v>21</v>
      </c>
      <c r="D168" s="10">
        <v>45497</v>
      </c>
      <c r="E168" s="8" t="s">
        <v>14</v>
      </c>
      <c r="F168" s="11">
        <v>10</v>
      </c>
      <c r="G168" s="8" t="s">
        <v>19</v>
      </c>
      <c r="H168" s="8" t="s">
        <v>18</v>
      </c>
      <c r="I168" s="11" t="s">
        <v>306</v>
      </c>
      <c r="J168" s="8" t="s">
        <v>14</v>
      </c>
      <c r="K168" s="11">
        <v>20</v>
      </c>
      <c r="L168" s="11">
        <v>15</v>
      </c>
      <c r="M168" s="11">
        <v>15</v>
      </c>
      <c r="N168" s="167">
        <f>IF(Tabela1[[#This Row],[Subscriber ID]]&lt;&gt;"", 1, 0) +
IF(Tabela1[[#This Row],[EA Play Season Pass]]="Yes", 1, 0) +
IF(Tabela1[[#This Row],[Minecraft Season Pass]]="Yes", 1, 0)</f>
        <v>2</v>
      </c>
    </row>
    <row r="169" spans="1:14" ht="16.5" customHeight="1">
      <c r="A169" s="35">
        <v>3381</v>
      </c>
      <c r="B169" s="8" t="s">
        <v>173</v>
      </c>
      <c r="C169" s="8" t="s">
        <v>17</v>
      </c>
      <c r="D169" s="10">
        <v>45498</v>
      </c>
      <c r="E169" s="8" t="s">
        <v>18</v>
      </c>
      <c r="F169" s="11">
        <v>5</v>
      </c>
      <c r="G169" s="8" t="s">
        <v>15</v>
      </c>
      <c r="H169" s="8" t="s">
        <v>18</v>
      </c>
      <c r="I169" s="11" t="s">
        <v>306</v>
      </c>
      <c r="J169" s="8" t="s">
        <v>18</v>
      </c>
      <c r="K169" s="11">
        <v>0</v>
      </c>
      <c r="L169" s="11">
        <v>1</v>
      </c>
      <c r="M169" s="11">
        <v>4</v>
      </c>
      <c r="N169" s="167">
        <f>IF(Tabela1[[#This Row],[Subscriber ID]]&lt;&gt;"", 1, 0) +
IF(Tabela1[[#This Row],[EA Play Season Pass]]="Yes", 1, 0) +
IF(Tabela1[[#This Row],[Minecraft Season Pass]]="Yes", 1, 0)</f>
        <v>1</v>
      </c>
    </row>
    <row r="170" spans="1:14" ht="16.5" customHeight="1">
      <c r="A170" s="35">
        <v>3382</v>
      </c>
      <c r="B170" s="8" t="s">
        <v>174</v>
      </c>
      <c r="C170" s="8" t="s">
        <v>13</v>
      </c>
      <c r="D170" s="10">
        <v>45499</v>
      </c>
      <c r="E170" s="8" t="s">
        <v>14</v>
      </c>
      <c r="F170" s="11">
        <v>15</v>
      </c>
      <c r="G170" s="8" t="s">
        <v>22</v>
      </c>
      <c r="H170" s="8" t="s">
        <v>14</v>
      </c>
      <c r="I170" s="11">
        <v>30</v>
      </c>
      <c r="J170" s="8" t="s">
        <v>14</v>
      </c>
      <c r="K170" s="11">
        <v>20</v>
      </c>
      <c r="L170" s="11">
        <v>7</v>
      </c>
      <c r="M170" s="11">
        <v>58</v>
      </c>
      <c r="N170" s="167">
        <f>IF(Tabela1[[#This Row],[Subscriber ID]]&lt;&gt;"", 1, 0) +
IF(Tabela1[[#This Row],[EA Play Season Pass]]="Yes", 1, 0) +
IF(Tabela1[[#This Row],[Minecraft Season Pass]]="Yes", 1, 0)</f>
        <v>3</v>
      </c>
    </row>
    <row r="171" spans="1:14" ht="16.5" customHeight="1">
      <c r="A171" s="35">
        <v>3383</v>
      </c>
      <c r="B171" s="8" t="s">
        <v>175</v>
      </c>
      <c r="C171" s="8" t="s">
        <v>21</v>
      </c>
      <c r="D171" s="10">
        <v>45500</v>
      </c>
      <c r="E171" s="8" t="s">
        <v>18</v>
      </c>
      <c r="F171" s="11">
        <v>10</v>
      </c>
      <c r="G171" s="8" t="s">
        <v>15</v>
      </c>
      <c r="H171" s="8" t="s">
        <v>18</v>
      </c>
      <c r="I171" s="11" t="s">
        <v>306</v>
      </c>
      <c r="J171" s="8" t="s">
        <v>14</v>
      </c>
      <c r="K171" s="11">
        <v>20</v>
      </c>
      <c r="L171" s="11">
        <v>10</v>
      </c>
      <c r="M171" s="11">
        <v>20</v>
      </c>
      <c r="N171" s="167">
        <f>IF(Tabela1[[#This Row],[Subscriber ID]]&lt;&gt;"", 1, 0) +
IF(Tabela1[[#This Row],[EA Play Season Pass]]="Yes", 1, 0) +
IF(Tabela1[[#This Row],[Minecraft Season Pass]]="Yes", 1, 0)</f>
        <v>2</v>
      </c>
    </row>
    <row r="172" spans="1:14" ht="16.5" customHeight="1">
      <c r="A172" s="35">
        <v>3384</v>
      </c>
      <c r="B172" s="8" t="s">
        <v>176</v>
      </c>
      <c r="C172" s="8" t="s">
        <v>17</v>
      </c>
      <c r="D172" s="10">
        <v>45501</v>
      </c>
      <c r="E172" s="8" t="s">
        <v>14</v>
      </c>
      <c r="F172" s="11">
        <v>5</v>
      </c>
      <c r="G172" s="8" t="s">
        <v>19</v>
      </c>
      <c r="H172" s="8" t="s">
        <v>18</v>
      </c>
      <c r="I172" s="11" t="s">
        <v>306</v>
      </c>
      <c r="J172" s="8" t="s">
        <v>18</v>
      </c>
      <c r="K172" s="11">
        <v>0</v>
      </c>
      <c r="L172" s="11">
        <v>0</v>
      </c>
      <c r="M172" s="11">
        <v>5</v>
      </c>
      <c r="N172" s="167">
        <f>IF(Tabela1[[#This Row],[Subscriber ID]]&lt;&gt;"", 1, 0) +
IF(Tabela1[[#This Row],[EA Play Season Pass]]="Yes", 1, 0) +
IF(Tabela1[[#This Row],[Minecraft Season Pass]]="Yes", 1, 0)</f>
        <v>1</v>
      </c>
    </row>
    <row r="173" spans="1:14" ht="16.5" customHeight="1">
      <c r="A173" s="35">
        <v>3385</v>
      </c>
      <c r="B173" s="8" t="s">
        <v>177</v>
      </c>
      <c r="C173" s="8" t="s">
        <v>13</v>
      </c>
      <c r="D173" s="10">
        <v>45502</v>
      </c>
      <c r="E173" s="8" t="s">
        <v>18</v>
      </c>
      <c r="F173" s="11">
        <v>15</v>
      </c>
      <c r="G173" s="8" t="s">
        <v>15</v>
      </c>
      <c r="H173" s="8" t="s">
        <v>14</v>
      </c>
      <c r="I173" s="11">
        <v>30</v>
      </c>
      <c r="J173" s="8" t="s">
        <v>14</v>
      </c>
      <c r="K173" s="11">
        <v>20</v>
      </c>
      <c r="L173" s="11">
        <v>20</v>
      </c>
      <c r="M173" s="11">
        <v>45</v>
      </c>
      <c r="N173" s="167">
        <f>IF(Tabela1[[#This Row],[Subscriber ID]]&lt;&gt;"", 1, 0) +
IF(Tabela1[[#This Row],[EA Play Season Pass]]="Yes", 1, 0) +
IF(Tabela1[[#This Row],[Minecraft Season Pass]]="Yes", 1, 0)</f>
        <v>3</v>
      </c>
    </row>
    <row r="174" spans="1:14" ht="16.5" customHeight="1">
      <c r="A174" s="35">
        <v>3386</v>
      </c>
      <c r="B174" s="8" t="s">
        <v>178</v>
      </c>
      <c r="C174" s="8" t="s">
        <v>21</v>
      </c>
      <c r="D174" s="10">
        <v>45503</v>
      </c>
      <c r="E174" s="8" t="s">
        <v>14</v>
      </c>
      <c r="F174" s="11">
        <v>10</v>
      </c>
      <c r="G174" s="8" t="s">
        <v>22</v>
      </c>
      <c r="H174" s="8" t="s">
        <v>18</v>
      </c>
      <c r="I174" s="11" t="s">
        <v>306</v>
      </c>
      <c r="J174" s="8" t="s">
        <v>14</v>
      </c>
      <c r="K174" s="11">
        <v>20</v>
      </c>
      <c r="L174" s="11">
        <v>15</v>
      </c>
      <c r="M174" s="11">
        <v>15</v>
      </c>
      <c r="N174" s="167">
        <f>IF(Tabela1[[#This Row],[Subscriber ID]]&lt;&gt;"", 1, 0) +
IF(Tabela1[[#This Row],[EA Play Season Pass]]="Yes", 1, 0) +
IF(Tabela1[[#This Row],[Minecraft Season Pass]]="Yes", 1, 0)</f>
        <v>2</v>
      </c>
    </row>
    <row r="175" spans="1:14" ht="16.5" customHeight="1">
      <c r="A175" s="35">
        <v>3387</v>
      </c>
      <c r="B175" s="8" t="s">
        <v>179</v>
      </c>
      <c r="C175" s="8" t="s">
        <v>17</v>
      </c>
      <c r="D175" s="10">
        <v>45504</v>
      </c>
      <c r="E175" s="8" t="s">
        <v>18</v>
      </c>
      <c r="F175" s="11">
        <v>5</v>
      </c>
      <c r="G175" s="8" t="s">
        <v>15</v>
      </c>
      <c r="H175" s="8" t="s">
        <v>18</v>
      </c>
      <c r="I175" s="11" t="s">
        <v>306</v>
      </c>
      <c r="J175" s="8" t="s">
        <v>18</v>
      </c>
      <c r="K175" s="11">
        <v>0</v>
      </c>
      <c r="L175" s="11">
        <v>1</v>
      </c>
      <c r="M175" s="11">
        <v>4</v>
      </c>
      <c r="N175" s="167">
        <f>IF(Tabela1[[#This Row],[Subscriber ID]]&lt;&gt;"", 1, 0) +
IF(Tabela1[[#This Row],[EA Play Season Pass]]="Yes", 1, 0) +
IF(Tabela1[[#This Row],[Minecraft Season Pass]]="Yes", 1, 0)</f>
        <v>1</v>
      </c>
    </row>
    <row r="176" spans="1:14" ht="16.5" customHeight="1">
      <c r="A176" s="35">
        <v>3388</v>
      </c>
      <c r="B176" s="8" t="s">
        <v>180</v>
      </c>
      <c r="C176" s="8" t="s">
        <v>13</v>
      </c>
      <c r="D176" s="10">
        <v>45505</v>
      </c>
      <c r="E176" s="8" t="s">
        <v>14</v>
      </c>
      <c r="F176" s="11">
        <v>15</v>
      </c>
      <c r="G176" s="8" t="s">
        <v>19</v>
      </c>
      <c r="H176" s="8" t="s">
        <v>14</v>
      </c>
      <c r="I176" s="11">
        <v>30</v>
      </c>
      <c r="J176" s="8" t="s">
        <v>14</v>
      </c>
      <c r="K176" s="11">
        <v>20</v>
      </c>
      <c r="L176" s="11">
        <v>3</v>
      </c>
      <c r="M176" s="11">
        <v>62</v>
      </c>
      <c r="N176" s="167">
        <f>IF(Tabela1[[#This Row],[Subscriber ID]]&lt;&gt;"", 1, 0) +
IF(Tabela1[[#This Row],[EA Play Season Pass]]="Yes", 1, 0) +
IF(Tabela1[[#This Row],[Minecraft Season Pass]]="Yes", 1, 0)</f>
        <v>3</v>
      </c>
    </row>
    <row r="177" spans="1:14" ht="16.5" customHeight="1">
      <c r="A177" s="35">
        <v>3389</v>
      </c>
      <c r="B177" s="8" t="s">
        <v>181</v>
      </c>
      <c r="C177" s="8" t="s">
        <v>21</v>
      </c>
      <c r="D177" s="10">
        <v>45506</v>
      </c>
      <c r="E177" s="8" t="s">
        <v>18</v>
      </c>
      <c r="F177" s="11">
        <v>10</v>
      </c>
      <c r="G177" s="8" t="s">
        <v>15</v>
      </c>
      <c r="H177" s="8" t="s">
        <v>18</v>
      </c>
      <c r="I177" s="11" t="s">
        <v>306</v>
      </c>
      <c r="J177" s="8" t="s">
        <v>14</v>
      </c>
      <c r="K177" s="11">
        <v>20</v>
      </c>
      <c r="L177" s="11">
        <v>10</v>
      </c>
      <c r="M177" s="11">
        <v>20</v>
      </c>
      <c r="N177" s="167">
        <f>IF(Tabela1[[#This Row],[Subscriber ID]]&lt;&gt;"", 1, 0) +
IF(Tabela1[[#This Row],[EA Play Season Pass]]="Yes", 1, 0) +
IF(Tabela1[[#This Row],[Minecraft Season Pass]]="Yes", 1, 0)</f>
        <v>2</v>
      </c>
    </row>
    <row r="178" spans="1:14" ht="16.5" customHeight="1">
      <c r="A178" s="35">
        <v>3390</v>
      </c>
      <c r="B178" s="8" t="s">
        <v>182</v>
      </c>
      <c r="C178" s="8" t="s">
        <v>17</v>
      </c>
      <c r="D178" s="10">
        <v>45507</v>
      </c>
      <c r="E178" s="8" t="s">
        <v>14</v>
      </c>
      <c r="F178" s="11">
        <v>5</v>
      </c>
      <c r="G178" s="8" t="s">
        <v>22</v>
      </c>
      <c r="H178" s="8" t="s">
        <v>18</v>
      </c>
      <c r="I178" s="11" t="s">
        <v>306</v>
      </c>
      <c r="J178" s="8" t="s">
        <v>18</v>
      </c>
      <c r="K178" s="11">
        <v>0</v>
      </c>
      <c r="L178" s="11">
        <v>0</v>
      </c>
      <c r="M178" s="11">
        <v>5</v>
      </c>
      <c r="N178" s="167">
        <f>IF(Tabela1[[#This Row],[Subscriber ID]]&lt;&gt;"", 1, 0) +
IF(Tabela1[[#This Row],[EA Play Season Pass]]="Yes", 1, 0) +
IF(Tabela1[[#This Row],[Minecraft Season Pass]]="Yes", 1, 0)</f>
        <v>1</v>
      </c>
    </row>
    <row r="179" spans="1:14" ht="16.5" customHeight="1">
      <c r="A179" s="35">
        <v>3392</v>
      </c>
      <c r="B179" s="8" t="s">
        <v>183</v>
      </c>
      <c r="C179" s="8" t="s">
        <v>21</v>
      </c>
      <c r="D179" s="10">
        <v>45509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15</v>
      </c>
      <c r="M179" s="11">
        <v>15</v>
      </c>
      <c r="N179" s="167">
        <f>IF(Tabela1[[#This Row],[Subscriber ID]]&lt;&gt;"", 1, 0) +
IF(Tabela1[[#This Row],[EA Play Season Pass]]="Yes", 1, 0) +
IF(Tabela1[[#This Row],[Minecraft Season Pass]]="Yes", 1, 0)</f>
        <v>2</v>
      </c>
    </row>
    <row r="180" spans="1:14" ht="16.5" customHeight="1">
      <c r="A180" s="35">
        <v>3393</v>
      </c>
      <c r="B180" s="8" t="s">
        <v>184</v>
      </c>
      <c r="C180" s="8" t="s">
        <v>17</v>
      </c>
      <c r="D180" s="10">
        <v>45510</v>
      </c>
      <c r="E180" s="8" t="s">
        <v>18</v>
      </c>
      <c r="F180" s="11">
        <v>5</v>
      </c>
      <c r="G180" s="8" t="s">
        <v>15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  <c r="N180" s="167">
        <f>IF(Tabela1[[#This Row],[Subscriber ID]]&lt;&gt;"", 1, 0) +
IF(Tabela1[[#This Row],[EA Play Season Pass]]="Yes", 1, 0) +
IF(Tabela1[[#This Row],[Minecraft Season Pass]]="Yes", 1, 0)</f>
        <v>1</v>
      </c>
    </row>
    <row r="181" spans="1:14" ht="16.5" customHeight="1">
      <c r="A181" s="35">
        <v>3394</v>
      </c>
      <c r="B181" s="8" t="s">
        <v>185</v>
      </c>
      <c r="C181" s="8" t="s">
        <v>13</v>
      </c>
      <c r="D181" s="10">
        <v>45511</v>
      </c>
      <c r="E181" s="8" t="s">
        <v>14</v>
      </c>
      <c r="F181" s="11">
        <v>15</v>
      </c>
      <c r="G181" s="8" t="s">
        <v>22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7</v>
      </c>
      <c r="M181" s="11">
        <v>58</v>
      </c>
      <c r="N181" s="167">
        <f>IF(Tabela1[[#This Row],[Subscriber ID]]&lt;&gt;"", 1, 0) +
IF(Tabela1[[#This Row],[EA Play Season Pass]]="Yes", 1, 0) +
IF(Tabela1[[#This Row],[Minecraft Season Pass]]="Yes", 1, 0)</f>
        <v>3</v>
      </c>
    </row>
    <row r="182" spans="1:14" ht="16.5" customHeight="1">
      <c r="A182" s="35">
        <v>3395</v>
      </c>
      <c r="B182" s="8" t="s">
        <v>186</v>
      </c>
      <c r="C182" s="8" t="s">
        <v>21</v>
      </c>
      <c r="D182" s="10">
        <v>45512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10</v>
      </c>
      <c r="M182" s="11">
        <v>20</v>
      </c>
      <c r="N182" s="167">
        <f>IF(Tabela1[[#This Row],[Subscriber ID]]&lt;&gt;"", 1, 0) +
IF(Tabela1[[#This Row],[EA Play Season Pass]]="Yes", 1, 0) +
IF(Tabela1[[#This Row],[Minecraft Season Pass]]="Yes", 1, 0)</f>
        <v>2</v>
      </c>
    </row>
    <row r="183" spans="1:14" ht="16.5" customHeight="1">
      <c r="A183" s="35">
        <v>3396</v>
      </c>
      <c r="B183" s="8" t="s">
        <v>187</v>
      </c>
      <c r="C183" s="8" t="s">
        <v>17</v>
      </c>
      <c r="D183" s="10">
        <v>45513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  <c r="N183" s="167">
        <f>IF(Tabela1[[#This Row],[Subscriber ID]]&lt;&gt;"", 1, 0) +
IF(Tabela1[[#This Row],[EA Play Season Pass]]="Yes", 1, 0) +
IF(Tabela1[[#This Row],[Minecraft Season Pass]]="Yes", 1, 0)</f>
        <v>1</v>
      </c>
    </row>
    <row r="184" spans="1:14" ht="16.5" customHeight="1">
      <c r="A184" s="35">
        <v>3398</v>
      </c>
      <c r="B184" s="8" t="s">
        <v>188</v>
      </c>
      <c r="C184" s="8" t="s">
        <v>21</v>
      </c>
      <c r="D184" s="10">
        <v>45515</v>
      </c>
      <c r="E184" s="8" t="s">
        <v>14</v>
      </c>
      <c r="F184" s="11">
        <v>10</v>
      </c>
      <c r="G184" s="8" t="s">
        <v>22</v>
      </c>
      <c r="H184" s="8" t="s">
        <v>18</v>
      </c>
      <c r="I184" s="11" t="s">
        <v>306</v>
      </c>
      <c r="J184" s="8" t="s">
        <v>14</v>
      </c>
      <c r="K184" s="11">
        <v>20</v>
      </c>
      <c r="L184" s="11">
        <v>15</v>
      </c>
      <c r="M184" s="11">
        <v>15</v>
      </c>
      <c r="N184" s="167">
        <f>IF(Tabela1[[#This Row],[Subscriber ID]]&lt;&gt;"", 1, 0) +
IF(Tabela1[[#This Row],[EA Play Season Pass]]="Yes", 1, 0) +
IF(Tabela1[[#This Row],[Minecraft Season Pass]]="Yes", 1, 0)</f>
        <v>2</v>
      </c>
    </row>
    <row r="185" spans="1:14" ht="16.5" customHeight="1">
      <c r="A185" s="35">
        <v>3399</v>
      </c>
      <c r="B185" s="8" t="s">
        <v>189</v>
      </c>
      <c r="C185" s="8" t="s">
        <v>17</v>
      </c>
      <c r="D185" s="10">
        <v>45516</v>
      </c>
      <c r="E185" s="8" t="s">
        <v>18</v>
      </c>
      <c r="F185" s="11">
        <v>5</v>
      </c>
      <c r="G185" s="8" t="s">
        <v>15</v>
      </c>
      <c r="H185" s="8" t="s">
        <v>18</v>
      </c>
      <c r="I185" s="11" t="s">
        <v>306</v>
      </c>
      <c r="J185" s="8" t="s">
        <v>18</v>
      </c>
      <c r="K185" s="11">
        <v>0</v>
      </c>
      <c r="L185" s="11">
        <v>1</v>
      </c>
      <c r="M185" s="11">
        <v>4</v>
      </c>
      <c r="N185" s="167">
        <f>IF(Tabela1[[#This Row],[Subscriber ID]]&lt;&gt;"", 1, 0) +
IF(Tabela1[[#This Row],[EA Play Season Pass]]="Yes", 1, 0) +
IF(Tabela1[[#This Row],[Minecraft Season Pass]]="Yes", 1, 0)</f>
        <v>1</v>
      </c>
    </row>
    <row r="186" spans="1:14" ht="16.5" customHeight="1">
      <c r="A186" s="35">
        <v>3400</v>
      </c>
      <c r="B186" s="8" t="s">
        <v>190</v>
      </c>
      <c r="C186" s="8" t="s">
        <v>13</v>
      </c>
      <c r="D186" s="10">
        <v>45517</v>
      </c>
      <c r="E186" s="8" t="s">
        <v>14</v>
      </c>
      <c r="F186" s="11">
        <v>15</v>
      </c>
      <c r="G186" s="8" t="s">
        <v>19</v>
      </c>
      <c r="H186" s="8" t="s">
        <v>14</v>
      </c>
      <c r="I186" s="11">
        <v>30</v>
      </c>
      <c r="J186" s="8" t="s">
        <v>14</v>
      </c>
      <c r="K186" s="11">
        <v>20</v>
      </c>
      <c r="L186" s="11">
        <v>5</v>
      </c>
      <c r="M186" s="11">
        <v>60</v>
      </c>
      <c r="N186" s="167">
        <f>IF(Tabela1[[#This Row],[Subscriber ID]]&lt;&gt;"", 1, 0) +
IF(Tabela1[[#This Row],[EA Play Season Pass]]="Yes", 1, 0) +
IF(Tabela1[[#This Row],[Minecraft Season Pass]]="Yes", 1, 0)</f>
        <v>3</v>
      </c>
    </row>
    <row r="187" spans="1:14" ht="16.5" customHeight="1">
      <c r="A187" s="35">
        <v>3402</v>
      </c>
      <c r="B187" s="8" t="s">
        <v>192</v>
      </c>
      <c r="C187" s="8" t="s">
        <v>17</v>
      </c>
      <c r="D187" s="10">
        <v>45519</v>
      </c>
      <c r="E187" s="8" t="s">
        <v>14</v>
      </c>
      <c r="F187" s="11">
        <v>5</v>
      </c>
      <c r="G187" s="8" t="s">
        <v>22</v>
      </c>
      <c r="H187" s="8" t="s">
        <v>18</v>
      </c>
      <c r="I187" s="11" t="s">
        <v>306</v>
      </c>
      <c r="J187" s="8" t="s">
        <v>18</v>
      </c>
      <c r="K187" s="11">
        <v>0</v>
      </c>
      <c r="L187" s="11">
        <v>0</v>
      </c>
      <c r="M187" s="11">
        <v>5</v>
      </c>
      <c r="N187" s="167">
        <f>IF(Tabela1[[#This Row],[Subscriber ID]]&lt;&gt;"", 1, 0) +
IF(Tabela1[[#This Row],[EA Play Season Pass]]="Yes", 1, 0) +
IF(Tabela1[[#This Row],[Minecraft Season Pass]]="Yes", 1, 0)</f>
        <v>1</v>
      </c>
    </row>
    <row r="188" spans="1:14" ht="16.5" customHeight="1">
      <c r="A188" s="35">
        <v>3403</v>
      </c>
      <c r="B188" s="8" t="s">
        <v>193</v>
      </c>
      <c r="C188" s="8" t="s">
        <v>13</v>
      </c>
      <c r="D188" s="10">
        <v>45520</v>
      </c>
      <c r="E188" s="8" t="s">
        <v>18</v>
      </c>
      <c r="F188" s="11">
        <v>15</v>
      </c>
      <c r="G188" s="8" t="s">
        <v>15</v>
      </c>
      <c r="H188" s="8" t="s">
        <v>14</v>
      </c>
      <c r="I188" s="11">
        <v>30</v>
      </c>
      <c r="J188" s="8" t="s">
        <v>14</v>
      </c>
      <c r="K188" s="11">
        <v>20</v>
      </c>
      <c r="L188" s="11">
        <v>3</v>
      </c>
      <c r="M188" s="11">
        <v>62</v>
      </c>
      <c r="N188" s="167">
        <f>IF(Tabela1[[#This Row],[Subscriber ID]]&lt;&gt;"", 1, 0) +
IF(Tabela1[[#This Row],[EA Play Season Pass]]="Yes", 1, 0) +
IF(Tabela1[[#This Row],[Minecraft Season Pass]]="Yes", 1, 0)</f>
        <v>3</v>
      </c>
    </row>
    <row r="189" spans="1:14" ht="16.5" customHeight="1">
      <c r="A189" s="35">
        <v>3404</v>
      </c>
      <c r="B189" s="8" t="s">
        <v>194</v>
      </c>
      <c r="C189" s="8" t="s">
        <v>21</v>
      </c>
      <c r="D189" s="10">
        <v>45521</v>
      </c>
      <c r="E189" s="8" t="s">
        <v>14</v>
      </c>
      <c r="F189" s="11">
        <v>10</v>
      </c>
      <c r="G189" s="8" t="s">
        <v>19</v>
      </c>
      <c r="H189" s="8" t="s">
        <v>18</v>
      </c>
      <c r="I189" s="11" t="s">
        <v>306</v>
      </c>
      <c r="J189" s="8" t="s">
        <v>14</v>
      </c>
      <c r="K189" s="11">
        <v>20</v>
      </c>
      <c r="L189" s="11">
        <v>15</v>
      </c>
      <c r="M189" s="11">
        <v>15</v>
      </c>
      <c r="N189" s="167">
        <f>IF(Tabela1[[#This Row],[Subscriber ID]]&lt;&gt;"", 1, 0) +
IF(Tabela1[[#This Row],[EA Play Season Pass]]="Yes", 1, 0) +
IF(Tabela1[[#This Row],[Minecraft Season Pass]]="Yes", 1, 0)</f>
        <v>2</v>
      </c>
    </row>
    <row r="190" spans="1:14" ht="16.5" customHeight="1">
      <c r="A190" s="35">
        <v>3405</v>
      </c>
      <c r="B190" s="8" t="s">
        <v>195</v>
      </c>
      <c r="C190" s="8" t="s">
        <v>17</v>
      </c>
      <c r="D190" s="10">
        <v>45522</v>
      </c>
      <c r="E190" s="8" t="s">
        <v>18</v>
      </c>
      <c r="F190" s="11">
        <v>5</v>
      </c>
      <c r="G190" s="8" t="s">
        <v>15</v>
      </c>
      <c r="H190" s="8" t="s">
        <v>18</v>
      </c>
      <c r="I190" s="11" t="s">
        <v>306</v>
      </c>
      <c r="J190" s="8" t="s">
        <v>18</v>
      </c>
      <c r="K190" s="11">
        <v>0</v>
      </c>
      <c r="L190" s="11">
        <v>1</v>
      </c>
      <c r="M190" s="11">
        <v>4</v>
      </c>
      <c r="N190" s="167">
        <f>IF(Tabela1[[#This Row],[Subscriber ID]]&lt;&gt;"", 1, 0) +
IF(Tabela1[[#This Row],[EA Play Season Pass]]="Yes", 1, 0) +
IF(Tabela1[[#This Row],[Minecraft Season Pass]]="Yes", 1, 0)</f>
        <v>1</v>
      </c>
    </row>
    <row r="191" spans="1:14" ht="16.5" customHeight="1">
      <c r="A191" s="35">
        <v>3406</v>
      </c>
      <c r="B191" s="8" t="s">
        <v>196</v>
      </c>
      <c r="C191" s="8" t="s">
        <v>17</v>
      </c>
      <c r="D191" s="10">
        <v>45523</v>
      </c>
      <c r="E191" s="8" t="s">
        <v>14</v>
      </c>
      <c r="F191" s="11">
        <v>5</v>
      </c>
      <c r="G191" s="8" t="s">
        <v>15</v>
      </c>
      <c r="H191" s="8" t="s">
        <v>18</v>
      </c>
      <c r="I191" s="11" t="s">
        <v>306</v>
      </c>
      <c r="J191" s="8" t="s">
        <v>18</v>
      </c>
      <c r="K191" s="11">
        <v>0</v>
      </c>
      <c r="L191" s="11">
        <v>0</v>
      </c>
      <c r="M191" s="11">
        <v>5</v>
      </c>
      <c r="N191" s="167">
        <f>IF(Tabela1[[#This Row],[Subscriber ID]]&lt;&gt;"", 1, 0) +
IF(Tabela1[[#This Row],[EA Play Season Pass]]="Yes", 1, 0) +
IF(Tabela1[[#This Row],[Minecraft Season Pass]]="Yes", 1, 0)</f>
        <v>1</v>
      </c>
    </row>
    <row r="192" spans="1:14" ht="16.5" customHeight="1">
      <c r="A192" s="35">
        <v>3407</v>
      </c>
      <c r="B192" s="8" t="s">
        <v>197</v>
      </c>
      <c r="C192" s="8" t="s">
        <v>13</v>
      </c>
      <c r="D192" s="10">
        <v>45524</v>
      </c>
      <c r="E192" s="8" t="s">
        <v>18</v>
      </c>
      <c r="F192" s="11">
        <v>15</v>
      </c>
      <c r="G192" s="8" t="s">
        <v>22</v>
      </c>
      <c r="H192" s="8" t="s">
        <v>14</v>
      </c>
      <c r="I192" s="11">
        <v>30</v>
      </c>
      <c r="J192" s="8" t="s">
        <v>14</v>
      </c>
      <c r="K192" s="11">
        <v>20</v>
      </c>
      <c r="L192" s="11">
        <v>7</v>
      </c>
      <c r="M192" s="11">
        <v>58</v>
      </c>
      <c r="N192" s="167">
        <f>IF(Tabela1[[#This Row],[Subscriber ID]]&lt;&gt;"", 1, 0) +
IF(Tabela1[[#This Row],[EA Play Season Pass]]="Yes", 1, 0) +
IF(Tabela1[[#This Row],[Minecraft Season Pass]]="Yes", 1, 0)</f>
        <v>3</v>
      </c>
    </row>
    <row r="193" spans="1:14" ht="16.5" customHeight="1">
      <c r="A193" s="35">
        <v>3408</v>
      </c>
      <c r="B193" s="8" t="s">
        <v>198</v>
      </c>
      <c r="C193" s="8" t="s">
        <v>21</v>
      </c>
      <c r="D193" s="10">
        <v>45525</v>
      </c>
      <c r="E193" s="8" t="s">
        <v>14</v>
      </c>
      <c r="F193" s="11">
        <v>10</v>
      </c>
      <c r="G193" s="8" t="s">
        <v>19</v>
      </c>
      <c r="H193" s="8" t="s">
        <v>18</v>
      </c>
      <c r="I193" s="11" t="s">
        <v>306</v>
      </c>
      <c r="J193" s="8" t="s">
        <v>14</v>
      </c>
      <c r="K193" s="11">
        <v>20</v>
      </c>
      <c r="L193" s="11">
        <v>10</v>
      </c>
      <c r="M193" s="11">
        <v>20</v>
      </c>
      <c r="N193" s="167">
        <f>IF(Tabela1[[#This Row],[Subscriber ID]]&lt;&gt;"", 1, 0) +
IF(Tabela1[[#This Row],[EA Play Season Pass]]="Yes", 1, 0) +
IF(Tabela1[[#This Row],[Minecraft Season Pass]]="Yes", 1, 0)</f>
        <v>2</v>
      </c>
    </row>
    <row r="194" spans="1:14" ht="16.5" customHeight="1">
      <c r="A194" s="35">
        <v>3409</v>
      </c>
      <c r="B194" s="8" t="s">
        <v>199</v>
      </c>
      <c r="C194" s="8" t="s">
        <v>17</v>
      </c>
      <c r="D194" s="10">
        <v>45526</v>
      </c>
      <c r="E194" s="8" t="s">
        <v>18</v>
      </c>
      <c r="F194" s="11">
        <v>5</v>
      </c>
      <c r="G194" s="8" t="s">
        <v>22</v>
      </c>
      <c r="H194" s="8" t="s">
        <v>18</v>
      </c>
      <c r="I194" s="11" t="s">
        <v>306</v>
      </c>
      <c r="J194" s="8" t="s">
        <v>18</v>
      </c>
      <c r="K194" s="11">
        <v>0</v>
      </c>
      <c r="L194" s="11">
        <v>1</v>
      </c>
      <c r="M194" s="11">
        <v>4</v>
      </c>
      <c r="N194" s="167">
        <f>IF(Tabela1[[#This Row],[Subscriber ID]]&lt;&gt;"", 1, 0) +
IF(Tabela1[[#This Row],[EA Play Season Pass]]="Yes", 1, 0) +
IF(Tabela1[[#This Row],[Minecraft Season Pass]]="Yes", 1, 0)</f>
        <v>1</v>
      </c>
    </row>
    <row r="195" spans="1:14" ht="16.5" customHeight="1">
      <c r="A195" s="35">
        <v>3410</v>
      </c>
      <c r="B195" s="8" t="s">
        <v>200</v>
      </c>
      <c r="C195" s="8" t="s">
        <v>13</v>
      </c>
      <c r="D195" s="10">
        <v>45527</v>
      </c>
      <c r="E195" s="8" t="s">
        <v>14</v>
      </c>
      <c r="F195" s="11">
        <v>15</v>
      </c>
      <c r="G195" s="8" t="s">
        <v>15</v>
      </c>
      <c r="H195" s="8" t="s">
        <v>14</v>
      </c>
      <c r="I195" s="11">
        <v>30</v>
      </c>
      <c r="J195" s="8" t="s">
        <v>14</v>
      </c>
      <c r="K195" s="11">
        <v>20</v>
      </c>
      <c r="L195" s="11">
        <v>15</v>
      </c>
      <c r="M195" s="11">
        <v>50</v>
      </c>
      <c r="N195" s="167">
        <f>IF(Tabela1[[#This Row],[Subscriber ID]]&lt;&gt;"", 1, 0) +
IF(Tabela1[[#This Row],[EA Play Season Pass]]="Yes", 1, 0) +
IF(Tabela1[[#This Row],[Minecraft Season Pass]]="Yes", 1, 0)</f>
        <v>3</v>
      </c>
    </row>
    <row r="196" spans="1:14" ht="16.5" customHeight="1">
      <c r="A196" s="35">
        <v>3411</v>
      </c>
      <c r="B196" s="8" t="s">
        <v>201</v>
      </c>
      <c r="C196" s="8" t="s">
        <v>21</v>
      </c>
      <c r="D196" s="10">
        <v>45528</v>
      </c>
      <c r="E196" s="8" t="s">
        <v>18</v>
      </c>
      <c r="F196" s="11">
        <v>10</v>
      </c>
      <c r="G196" s="8" t="s">
        <v>15</v>
      </c>
      <c r="H196" s="8" t="s">
        <v>18</v>
      </c>
      <c r="I196" s="11" t="s">
        <v>306</v>
      </c>
      <c r="J196" s="8" t="s">
        <v>14</v>
      </c>
      <c r="K196" s="11">
        <v>20</v>
      </c>
      <c r="L196" s="11">
        <v>5</v>
      </c>
      <c r="M196" s="11">
        <v>25</v>
      </c>
      <c r="N196" s="167">
        <f>IF(Tabela1[[#This Row],[Subscriber ID]]&lt;&gt;"", 1, 0) +
IF(Tabela1[[#This Row],[EA Play Season Pass]]="Yes", 1, 0) +
IF(Tabela1[[#This Row],[Minecraft Season Pass]]="Yes", 1, 0)</f>
        <v>2</v>
      </c>
    </row>
    <row r="197" spans="1:14" ht="16.5" customHeight="1">
      <c r="A197" s="35">
        <v>3412</v>
      </c>
      <c r="B197" s="8" t="s">
        <v>202</v>
      </c>
      <c r="C197" s="8" t="s">
        <v>17</v>
      </c>
      <c r="D197" s="10">
        <v>45529</v>
      </c>
      <c r="E197" s="8" t="s">
        <v>14</v>
      </c>
      <c r="F197" s="11">
        <v>5</v>
      </c>
      <c r="G197" s="8" t="s">
        <v>19</v>
      </c>
      <c r="H197" s="8" t="s">
        <v>18</v>
      </c>
      <c r="I197" s="11" t="s">
        <v>306</v>
      </c>
      <c r="J197" s="8" t="s">
        <v>18</v>
      </c>
      <c r="K197" s="11">
        <v>0</v>
      </c>
      <c r="L197" s="11">
        <v>0</v>
      </c>
      <c r="M197" s="11">
        <v>5</v>
      </c>
      <c r="N197" s="167">
        <f>IF(Tabela1[[#This Row],[Subscriber ID]]&lt;&gt;"", 1, 0) +
IF(Tabela1[[#This Row],[EA Play Season Pass]]="Yes", 1, 0) +
IF(Tabela1[[#This Row],[Minecraft Season Pass]]="Yes", 1, 0)</f>
        <v>1</v>
      </c>
    </row>
    <row r="198" spans="1:14" ht="16.5" customHeight="1">
      <c r="A198" s="35">
        <v>3413</v>
      </c>
      <c r="B198" s="8" t="s">
        <v>203</v>
      </c>
      <c r="C198" s="8" t="s">
        <v>13</v>
      </c>
      <c r="D198" s="10">
        <v>45530</v>
      </c>
      <c r="E198" s="8" t="s">
        <v>18</v>
      </c>
      <c r="F198" s="11">
        <v>15</v>
      </c>
      <c r="G198" s="8" t="s">
        <v>22</v>
      </c>
      <c r="H198" s="8" t="s">
        <v>14</v>
      </c>
      <c r="I198" s="11">
        <v>30</v>
      </c>
      <c r="J198" s="8" t="s">
        <v>14</v>
      </c>
      <c r="K198" s="11">
        <v>20</v>
      </c>
      <c r="L198" s="11">
        <v>20</v>
      </c>
      <c r="M198" s="11">
        <v>45</v>
      </c>
      <c r="N198" s="167">
        <f>IF(Tabela1[[#This Row],[Subscriber ID]]&lt;&gt;"", 1, 0) +
IF(Tabela1[[#This Row],[EA Play Season Pass]]="Yes", 1, 0) +
IF(Tabela1[[#This Row],[Minecraft Season Pass]]="Yes", 1, 0)</f>
        <v>3</v>
      </c>
    </row>
    <row r="199" spans="1:14" ht="16.5" customHeight="1">
      <c r="A199" s="35">
        <v>3414</v>
      </c>
      <c r="B199" s="8" t="s">
        <v>204</v>
      </c>
      <c r="C199" s="8" t="s">
        <v>21</v>
      </c>
      <c r="D199" s="10">
        <v>45531</v>
      </c>
      <c r="E199" s="8" t="s">
        <v>14</v>
      </c>
      <c r="F199" s="11">
        <v>10</v>
      </c>
      <c r="G199" s="8" t="s">
        <v>22</v>
      </c>
      <c r="H199" s="8" t="s">
        <v>18</v>
      </c>
      <c r="I199" s="11" t="s">
        <v>306</v>
      </c>
      <c r="J199" s="8" t="s">
        <v>14</v>
      </c>
      <c r="K199" s="11">
        <v>20</v>
      </c>
      <c r="L199" s="11">
        <v>12</v>
      </c>
      <c r="M199" s="11">
        <v>18</v>
      </c>
      <c r="N199" s="167">
        <f>IF(Tabela1[[#This Row],[Subscriber ID]]&lt;&gt;"", 1, 0) +
IF(Tabela1[[#This Row],[EA Play Season Pass]]="Yes", 1, 0) +
IF(Tabela1[[#This Row],[Minecraft Season Pass]]="Yes", 1, 0)</f>
        <v>2</v>
      </c>
    </row>
    <row r="200" spans="1:14" ht="16.5" customHeight="1">
      <c r="A200" s="35">
        <v>3416</v>
      </c>
      <c r="B200" s="8" t="s">
        <v>206</v>
      </c>
      <c r="C200" s="8" t="s">
        <v>13</v>
      </c>
      <c r="D200" s="10">
        <v>45533</v>
      </c>
      <c r="E200" s="8" t="s">
        <v>14</v>
      </c>
      <c r="F200" s="11">
        <v>15</v>
      </c>
      <c r="G200" s="8" t="s">
        <v>19</v>
      </c>
      <c r="H200" s="8" t="s">
        <v>14</v>
      </c>
      <c r="I200" s="11">
        <v>30</v>
      </c>
      <c r="J200" s="8" t="s">
        <v>14</v>
      </c>
      <c r="K200" s="11">
        <v>20</v>
      </c>
      <c r="L200" s="11">
        <v>5</v>
      </c>
      <c r="M200" s="11">
        <v>60</v>
      </c>
      <c r="N200" s="167">
        <f>IF(Tabela1[[#This Row],[Subscriber ID]]&lt;&gt;"", 1, 0) +
IF(Tabela1[[#This Row],[EA Play Season Pass]]="Yes", 1, 0) +
IF(Tabela1[[#This Row],[Minecraft Season Pass]]="Yes", 1, 0)</f>
        <v>3</v>
      </c>
    </row>
    <row r="201" spans="1:14" ht="16.5" customHeight="1">
      <c r="A201" s="35">
        <v>3417</v>
      </c>
      <c r="B201" s="8" t="s">
        <v>207</v>
      </c>
      <c r="C201" s="8" t="s">
        <v>21</v>
      </c>
      <c r="D201" s="10">
        <v>45534</v>
      </c>
      <c r="E201" s="8" t="s">
        <v>18</v>
      </c>
      <c r="F201" s="11">
        <v>10</v>
      </c>
      <c r="G201" s="8" t="s">
        <v>15</v>
      </c>
      <c r="H201" s="8" t="s">
        <v>18</v>
      </c>
      <c r="I201" s="11" t="s">
        <v>306</v>
      </c>
      <c r="J201" s="8" t="s">
        <v>14</v>
      </c>
      <c r="K201" s="11">
        <v>20</v>
      </c>
      <c r="L201" s="11">
        <v>10</v>
      </c>
      <c r="M201" s="11">
        <v>20</v>
      </c>
      <c r="N201" s="167">
        <f>IF(Tabela1[[#This Row],[Subscriber ID]]&lt;&gt;"", 1, 0) +
IF(Tabela1[[#This Row],[EA Play Season Pass]]="Yes", 1, 0) +
IF(Tabela1[[#This Row],[Minecraft Season Pass]]="Yes", 1, 0)</f>
        <v>2</v>
      </c>
    </row>
    <row r="202" spans="1:14" ht="16.5" customHeight="1">
      <c r="A202" s="35">
        <v>3418</v>
      </c>
      <c r="B202" s="8" t="s">
        <v>208</v>
      </c>
      <c r="C202" s="8" t="s">
        <v>17</v>
      </c>
      <c r="D202" s="10">
        <v>45535</v>
      </c>
      <c r="E202" s="8" t="s">
        <v>14</v>
      </c>
      <c r="F202" s="11">
        <v>5</v>
      </c>
      <c r="G202" s="8" t="s">
        <v>22</v>
      </c>
      <c r="H202" s="8" t="s">
        <v>18</v>
      </c>
      <c r="I202" s="11" t="s">
        <v>306</v>
      </c>
      <c r="J202" s="8" t="s">
        <v>18</v>
      </c>
      <c r="K202" s="11">
        <v>0</v>
      </c>
      <c r="L202" s="11">
        <v>0</v>
      </c>
      <c r="M202" s="11">
        <v>5</v>
      </c>
      <c r="N202" s="167">
        <f>IF(Tabela1[[#This Row],[Subscriber ID]]&lt;&gt;"", 1, 0) +
IF(Tabela1[[#This Row],[EA Play Season Pass]]="Yes", 1, 0) +
IF(Tabela1[[#This Row],[Minecraft Season Pass]]="Yes", 1, 0)</f>
        <v>1</v>
      </c>
    </row>
    <row r="203" spans="1:14" ht="16.5" customHeight="1">
      <c r="A203" s="35">
        <v>3419</v>
      </c>
      <c r="B203" s="8" t="s">
        <v>209</v>
      </c>
      <c r="C203" s="8" t="s">
        <v>13</v>
      </c>
      <c r="D203" s="10">
        <v>45536</v>
      </c>
      <c r="E203" s="8" t="s">
        <v>18</v>
      </c>
      <c r="F203" s="11">
        <v>15</v>
      </c>
      <c r="G203" s="8" t="s">
        <v>15</v>
      </c>
      <c r="H203" s="8" t="s">
        <v>14</v>
      </c>
      <c r="I203" s="11">
        <v>30</v>
      </c>
      <c r="J203" s="8" t="s">
        <v>14</v>
      </c>
      <c r="K203" s="11">
        <v>20</v>
      </c>
      <c r="L203" s="11">
        <v>3</v>
      </c>
      <c r="M203" s="11">
        <v>62</v>
      </c>
      <c r="N203" s="167">
        <f>IF(Tabela1[[#This Row],[Subscriber ID]]&lt;&gt;"", 1, 0) +
IF(Tabela1[[#This Row],[EA Play Season Pass]]="Yes", 1, 0) +
IF(Tabela1[[#This Row],[Minecraft Season Pass]]="Yes", 1, 0)</f>
        <v>3</v>
      </c>
    </row>
    <row r="204" spans="1:14" ht="16.5" customHeight="1">
      <c r="A204" s="35">
        <v>3420</v>
      </c>
      <c r="B204" s="8" t="s">
        <v>210</v>
      </c>
      <c r="C204" s="8" t="s">
        <v>21</v>
      </c>
      <c r="D204" s="10">
        <v>45537</v>
      </c>
      <c r="E204" s="8" t="s">
        <v>14</v>
      </c>
      <c r="F204" s="11">
        <v>10</v>
      </c>
      <c r="G204" s="8" t="s">
        <v>19</v>
      </c>
      <c r="H204" s="8" t="s">
        <v>18</v>
      </c>
      <c r="I204" s="11" t="s">
        <v>306</v>
      </c>
      <c r="J204" s="8" t="s">
        <v>14</v>
      </c>
      <c r="K204" s="11">
        <v>20</v>
      </c>
      <c r="L204" s="11">
        <v>15</v>
      </c>
      <c r="M204" s="11">
        <v>15</v>
      </c>
      <c r="N204" s="167">
        <f>IF(Tabela1[[#This Row],[Subscriber ID]]&lt;&gt;"", 1, 0) +
IF(Tabela1[[#This Row],[EA Play Season Pass]]="Yes", 1, 0) +
IF(Tabela1[[#This Row],[Minecraft Season Pass]]="Yes", 1, 0)</f>
        <v>2</v>
      </c>
    </row>
    <row r="205" spans="1:14" ht="16.5" customHeight="1">
      <c r="A205" s="35">
        <v>3422</v>
      </c>
      <c r="B205" s="8" t="s">
        <v>211</v>
      </c>
      <c r="C205" s="8" t="s">
        <v>13</v>
      </c>
      <c r="D205" s="10">
        <v>45539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  <c r="N205" s="167">
        <f>IF(Tabela1[[#This Row],[Subscriber ID]]&lt;&gt;"", 1, 0) +
IF(Tabela1[[#This Row],[EA Play Season Pass]]="Yes", 1, 0) +
IF(Tabela1[[#This Row],[Minecraft Season Pass]]="Yes", 1, 0)</f>
        <v>3</v>
      </c>
    </row>
    <row r="206" spans="1:14" ht="16.5" customHeight="1">
      <c r="A206" s="35">
        <v>3423</v>
      </c>
      <c r="B206" s="8" t="s">
        <v>212</v>
      </c>
      <c r="C206" s="8" t="s">
        <v>21</v>
      </c>
      <c r="D206" s="10">
        <v>45540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  <c r="N206" s="167">
        <f>IF(Tabela1[[#This Row],[Subscriber ID]]&lt;&gt;"", 1, 0) +
IF(Tabela1[[#This Row],[EA Play Season Pass]]="Yes", 1, 0) +
IF(Tabela1[[#This Row],[Minecraft Season Pass]]="Yes", 1, 0)</f>
        <v>2</v>
      </c>
    </row>
    <row r="207" spans="1:14" ht="16.5" customHeight="1">
      <c r="A207" s="35">
        <v>3425</v>
      </c>
      <c r="B207" s="8" t="s">
        <v>213</v>
      </c>
      <c r="C207" s="8" t="s">
        <v>13</v>
      </c>
      <c r="D207" s="10">
        <v>45542</v>
      </c>
      <c r="E207" s="8" t="s">
        <v>18</v>
      </c>
      <c r="F207" s="11">
        <v>15</v>
      </c>
      <c r="G207" s="8" t="s">
        <v>15</v>
      </c>
      <c r="H207" s="8" t="s">
        <v>14</v>
      </c>
      <c r="I207" s="11">
        <v>30</v>
      </c>
      <c r="J207" s="8" t="s">
        <v>14</v>
      </c>
      <c r="K207" s="11">
        <v>20</v>
      </c>
      <c r="L207" s="11">
        <v>20</v>
      </c>
      <c r="M207" s="11">
        <v>45</v>
      </c>
      <c r="N207" s="167">
        <f>IF(Tabela1[[#This Row],[Subscriber ID]]&lt;&gt;"", 1, 0) +
IF(Tabela1[[#This Row],[EA Play Season Pass]]="Yes", 1, 0) +
IF(Tabela1[[#This Row],[Minecraft Season Pass]]="Yes", 1, 0)</f>
        <v>3</v>
      </c>
    </row>
    <row r="208" spans="1:14" ht="16.5" customHeight="1">
      <c r="A208" s="35">
        <v>3427</v>
      </c>
      <c r="B208" s="8" t="s">
        <v>214</v>
      </c>
      <c r="C208" s="8" t="s">
        <v>17</v>
      </c>
      <c r="D208" s="10">
        <v>45544</v>
      </c>
      <c r="E208" s="8" t="s">
        <v>18</v>
      </c>
      <c r="F208" s="11">
        <v>5</v>
      </c>
      <c r="G208" s="8" t="s">
        <v>15</v>
      </c>
      <c r="H208" s="8" t="s">
        <v>18</v>
      </c>
      <c r="I208" s="11" t="s">
        <v>306</v>
      </c>
      <c r="J208" s="8" t="s">
        <v>18</v>
      </c>
      <c r="K208" s="11">
        <v>0</v>
      </c>
      <c r="L208" s="11">
        <v>1</v>
      </c>
      <c r="M208" s="11">
        <v>4</v>
      </c>
      <c r="N208" s="167">
        <f>IF(Tabela1[[#This Row],[Subscriber ID]]&lt;&gt;"", 1, 0) +
IF(Tabela1[[#This Row],[EA Play Season Pass]]="Yes", 1, 0) +
IF(Tabela1[[#This Row],[Minecraft Season Pass]]="Yes", 1, 0)</f>
        <v>1</v>
      </c>
    </row>
    <row r="209" spans="1:14" ht="16.5" customHeight="1">
      <c r="A209" s="35">
        <v>3429</v>
      </c>
      <c r="B209" s="8" t="s">
        <v>216</v>
      </c>
      <c r="C209" s="8" t="s">
        <v>21</v>
      </c>
      <c r="D209" s="10">
        <v>45546</v>
      </c>
      <c r="E209" s="8" t="s">
        <v>18</v>
      </c>
      <c r="F209" s="11">
        <v>10</v>
      </c>
      <c r="G209" s="8" t="s">
        <v>15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  <c r="N209" s="167">
        <f>IF(Tabela1[[#This Row],[Subscriber ID]]&lt;&gt;"", 1, 0) +
IF(Tabela1[[#This Row],[EA Play Season Pass]]="Yes", 1, 0) +
IF(Tabela1[[#This Row],[Minecraft Season Pass]]="Yes", 1, 0)</f>
        <v>2</v>
      </c>
    </row>
    <row r="210" spans="1:14" ht="16.5" customHeight="1">
      <c r="A210" s="35">
        <v>3430</v>
      </c>
      <c r="B210" s="8" t="s">
        <v>217</v>
      </c>
      <c r="C210" s="8" t="s">
        <v>17</v>
      </c>
      <c r="D210" s="10">
        <v>45547</v>
      </c>
      <c r="E210" s="8" t="s">
        <v>14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0</v>
      </c>
      <c r="M210" s="11">
        <v>5</v>
      </c>
      <c r="N210" s="167">
        <f>IF(Tabela1[[#This Row],[Subscriber ID]]&lt;&gt;"", 1, 0) +
IF(Tabela1[[#This Row],[EA Play Season Pass]]="Yes", 1, 0) +
IF(Tabela1[[#This Row],[Minecraft Season Pass]]="Yes", 1, 0)</f>
        <v>1</v>
      </c>
    </row>
    <row r="211" spans="1:14" ht="16.5" customHeight="1">
      <c r="A211" s="35">
        <v>3431</v>
      </c>
      <c r="B211" s="8" t="s">
        <v>218</v>
      </c>
      <c r="C211" s="8" t="s">
        <v>13</v>
      </c>
      <c r="D211" s="10">
        <v>45548</v>
      </c>
      <c r="E211" s="8" t="s">
        <v>18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  <c r="N211" s="167">
        <f>IF(Tabela1[[#This Row],[Subscriber ID]]&lt;&gt;"", 1, 0) +
IF(Tabela1[[#This Row],[EA Play Season Pass]]="Yes", 1, 0) +
IF(Tabela1[[#This Row],[Minecraft Season Pass]]="Yes", 1, 0)</f>
        <v>3</v>
      </c>
    </row>
    <row r="212" spans="1:14" ht="16.5" customHeight="1">
      <c r="A212" s="35">
        <v>3432</v>
      </c>
      <c r="B212" s="8" t="s">
        <v>219</v>
      </c>
      <c r="C212" s="8" t="s">
        <v>21</v>
      </c>
      <c r="D212" s="10">
        <v>45549</v>
      </c>
      <c r="E212" s="8" t="s">
        <v>14</v>
      </c>
      <c r="F212" s="11">
        <v>10</v>
      </c>
      <c r="G212" s="8" t="s">
        <v>19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15</v>
      </c>
      <c r="M212" s="11">
        <v>15</v>
      </c>
      <c r="N212" s="167">
        <f>IF(Tabela1[[#This Row],[Subscriber ID]]&lt;&gt;"", 1, 0) +
IF(Tabela1[[#This Row],[EA Play Season Pass]]="Yes", 1, 0) +
IF(Tabela1[[#This Row],[Minecraft Season Pass]]="Yes", 1, 0)</f>
        <v>2</v>
      </c>
    </row>
    <row r="213" spans="1:14" ht="16.5" customHeight="1">
      <c r="A213" s="35">
        <v>3433</v>
      </c>
      <c r="B213" s="8" t="s">
        <v>220</v>
      </c>
      <c r="C213" s="8" t="s">
        <v>17</v>
      </c>
      <c r="D213" s="10">
        <v>45550</v>
      </c>
      <c r="E213" s="8" t="s">
        <v>18</v>
      </c>
      <c r="F213" s="11">
        <v>5</v>
      </c>
      <c r="G213" s="8" t="s">
        <v>15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1</v>
      </c>
      <c r="M213" s="11">
        <v>4</v>
      </c>
      <c r="N213" s="167">
        <f>IF(Tabela1[[#This Row],[Subscriber ID]]&lt;&gt;"", 1, 0) +
IF(Tabela1[[#This Row],[EA Play Season Pass]]="Yes", 1, 0) +
IF(Tabela1[[#This Row],[Minecraft Season Pass]]="Yes", 1, 0)</f>
        <v>1</v>
      </c>
    </row>
    <row r="214" spans="1:14" ht="16.5" customHeight="1">
      <c r="A214" s="35">
        <v>3434</v>
      </c>
      <c r="B214" s="8" t="s">
        <v>221</v>
      </c>
      <c r="C214" s="8" t="s">
        <v>13</v>
      </c>
      <c r="D214" s="10">
        <v>45551</v>
      </c>
      <c r="E214" s="8" t="s">
        <v>14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7</v>
      </c>
      <c r="M214" s="11">
        <v>58</v>
      </c>
      <c r="N214" s="167">
        <f>IF(Tabela1[[#This Row],[Subscriber ID]]&lt;&gt;"", 1, 0) +
IF(Tabela1[[#This Row],[EA Play Season Pass]]="Yes", 1, 0) +
IF(Tabela1[[#This Row],[Minecraft Season Pass]]="Yes", 1, 0)</f>
        <v>3</v>
      </c>
    </row>
    <row r="215" spans="1:14" ht="16.5" customHeight="1">
      <c r="A215" s="35">
        <v>3435</v>
      </c>
      <c r="B215" s="8" t="s">
        <v>222</v>
      </c>
      <c r="C215" s="8" t="s">
        <v>21</v>
      </c>
      <c r="D215" s="10">
        <v>45552</v>
      </c>
      <c r="E215" s="8" t="s">
        <v>18</v>
      </c>
      <c r="F215" s="11">
        <v>10</v>
      </c>
      <c r="G215" s="8" t="s">
        <v>15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10</v>
      </c>
      <c r="M215" s="11">
        <v>20</v>
      </c>
      <c r="N215" s="167">
        <f>IF(Tabela1[[#This Row],[Subscriber ID]]&lt;&gt;"", 1, 0) +
IF(Tabela1[[#This Row],[EA Play Season Pass]]="Yes", 1, 0) +
IF(Tabela1[[#This Row],[Minecraft Season Pass]]="Yes", 1, 0)</f>
        <v>2</v>
      </c>
    </row>
    <row r="216" spans="1:14" ht="16.5" customHeight="1">
      <c r="A216" s="35">
        <v>3436</v>
      </c>
      <c r="B216" s="8" t="s">
        <v>223</v>
      </c>
      <c r="C216" s="8" t="s">
        <v>17</v>
      </c>
      <c r="D216" s="10">
        <v>45553</v>
      </c>
      <c r="E216" s="8" t="s">
        <v>14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0</v>
      </c>
      <c r="M216" s="11">
        <v>5</v>
      </c>
      <c r="N216" s="167">
        <f>IF(Tabela1[[#This Row],[Subscriber ID]]&lt;&gt;"", 1, 0) +
IF(Tabela1[[#This Row],[EA Play Season Pass]]="Yes", 1, 0) +
IF(Tabela1[[#This Row],[Minecraft Season Pass]]="Yes", 1, 0)</f>
        <v>1</v>
      </c>
    </row>
    <row r="217" spans="1:14" ht="16.5" customHeight="1">
      <c r="A217" s="35">
        <v>3437</v>
      </c>
      <c r="B217" s="8" t="s">
        <v>224</v>
      </c>
      <c r="C217" s="8" t="s">
        <v>13</v>
      </c>
      <c r="D217" s="10">
        <v>45554</v>
      </c>
      <c r="E217" s="8" t="s">
        <v>18</v>
      </c>
      <c r="F217" s="11">
        <v>15</v>
      </c>
      <c r="G217" s="8" t="s">
        <v>22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7</v>
      </c>
      <c r="M217" s="11">
        <v>58</v>
      </c>
      <c r="N217" s="167">
        <f>IF(Tabela1[[#This Row],[Subscriber ID]]&lt;&gt;"", 1, 0) +
IF(Tabela1[[#This Row],[EA Play Season Pass]]="Yes", 1, 0) +
IF(Tabela1[[#This Row],[Minecraft Season Pass]]="Yes", 1, 0)</f>
        <v>3</v>
      </c>
    </row>
    <row r="218" spans="1:14" ht="16.5" customHeight="1">
      <c r="A218" s="35">
        <v>3438</v>
      </c>
      <c r="B218" s="8" t="s">
        <v>225</v>
      </c>
      <c r="C218" s="8" t="s">
        <v>21</v>
      </c>
      <c r="D218" s="10">
        <v>45555</v>
      </c>
      <c r="E218" s="8" t="s">
        <v>14</v>
      </c>
      <c r="F218" s="11">
        <v>10</v>
      </c>
      <c r="G218" s="8" t="s">
        <v>19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  <c r="N218" s="167">
        <f>IF(Tabela1[[#This Row],[Subscriber ID]]&lt;&gt;"", 1, 0) +
IF(Tabela1[[#This Row],[EA Play Season Pass]]="Yes", 1, 0) +
IF(Tabela1[[#This Row],[Minecraft Season Pass]]="Yes", 1, 0)</f>
        <v>2</v>
      </c>
    </row>
    <row r="219" spans="1:14" ht="16.5" customHeight="1">
      <c r="A219" s="35">
        <v>3439</v>
      </c>
      <c r="B219" s="8" t="s">
        <v>226</v>
      </c>
      <c r="C219" s="8" t="s">
        <v>17</v>
      </c>
      <c r="D219" s="10">
        <v>45556</v>
      </c>
      <c r="E219" s="8" t="s">
        <v>18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1</v>
      </c>
      <c r="M219" s="11">
        <v>4</v>
      </c>
      <c r="N219" s="167">
        <f>IF(Tabela1[[#This Row],[Subscriber ID]]&lt;&gt;"", 1, 0) +
IF(Tabela1[[#This Row],[EA Play Season Pass]]="Yes", 1, 0) +
IF(Tabela1[[#This Row],[Minecraft Season Pass]]="Yes", 1, 0)</f>
        <v>1</v>
      </c>
    </row>
    <row r="220" spans="1:14" ht="16.5" customHeight="1">
      <c r="A220" s="35">
        <v>3440</v>
      </c>
      <c r="B220" s="8" t="s">
        <v>227</v>
      </c>
      <c r="C220" s="8" t="s">
        <v>13</v>
      </c>
      <c r="D220" s="10">
        <v>45557</v>
      </c>
      <c r="E220" s="8" t="s">
        <v>14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15</v>
      </c>
      <c r="M220" s="11">
        <v>50</v>
      </c>
      <c r="N220" s="167">
        <f>IF(Tabela1[[#This Row],[Subscriber ID]]&lt;&gt;"", 1, 0) +
IF(Tabela1[[#This Row],[EA Play Season Pass]]="Yes", 1, 0) +
IF(Tabela1[[#This Row],[Minecraft Season Pass]]="Yes", 1, 0)</f>
        <v>3</v>
      </c>
    </row>
    <row r="221" spans="1:14" ht="16.5" customHeight="1">
      <c r="A221" s="35">
        <v>3441</v>
      </c>
      <c r="B221" s="8" t="s">
        <v>228</v>
      </c>
      <c r="C221" s="8" t="s">
        <v>21</v>
      </c>
      <c r="D221" s="10">
        <v>45558</v>
      </c>
      <c r="E221" s="8" t="s">
        <v>18</v>
      </c>
      <c r="F221" s="11">
        <v>10</v>
      </c>
      <c r="G221" s="8" t="s">
        <v>15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5</v>
      </c>
      <c r="M221" s="11">
        <v>25</v>
      </c>
      <c r="N221" s="167">
        <f>IF(Tabela1[[#This Row],[Subscriber ID]]&lt;&gt;"", 1, 0) +
IF(Tabela1[[#This Row],[EA Play Season Pass]]="Yes", 1, 0) +
IF(Tabela1[[#This Row],[Minecraft Season Pass]]="Yes", 1, 0)</f>
        <v>2</v>
      </c>
    </row>
    <row r="222" spans="1:14" ht="16.5" customHeight="1">
      <c r="A222" s="35">
        <v>3442</v>
      </c>
      <c r="B222" s="8" t="s">
        <v>229</v>
      </c>
      <c r="C222" s="8" t="s">
        <v>17</v>
      </c>
      <c r="D222" s="10">
        <v>45559</v>
      </c>
      <c r="E222" s="8" t="s">
        <v>14</v>
      </c>
      <c r="F222" s="11">
        <v>5</v>
      </c>
      <c r="G222" s="8" t="s">
        <v>19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0</v>
      </c>
      <c r="M222" s="11">
        <v>5</v>
      </c>
      <c r="N222" s="167">
        <f>IF(Tabela1[[#This Row],[Subscriber ID]]&lt;&gt;"", 1, 0) +
IF(Tabela1[[#This Row],[EA Play Season Pass]]="Yes", 1, 0) +
IF(Tabela1[[#This Row],[Minecraft Season Pass]]="Yes", 1, 0)</f>
        <v>1</v>
      </c>
    </row>
    <row r="223" spans="1:14" ht="16.5" customHeight="1">
      <c r="A223" s="35">
        <v>3443</v>
      </c>
      <c r="B223" s="8" t="s">
        <v>230</v>
      </c>
      <c r="C223" s="8" t="s">
        <v>13</v>
      </c>
      <c r="D223" s="10">
        <v>45560</v>
      </c>
      <c r="E223" s="8" t="s">
        <v>18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20</v>
      </c>
      <c r="M223" s="11">
        <v>45</v>
      </c>
      <c r="N223" s="167">
        <f>IF(Tabela1[[#This Row],[Subscriber ID]]&lt;&gt;"", 1, 0) +
IF(Tabela1[[#This Row],[EA Play Season Pass]]="Yes", 1, 0) +
IF(Tabela1[[#This Row],[Minecraft Season Pass]]="Yes", 1, 0)</f>
        <v>3</v>
      </c>
    </row>
    <row r="224" spans="1:14" ht="16.5" customHeight="1">
      <c r="A224" s="35">
        <v>3444</v>
      </c>
      <c r="B224" s="8" t="s">
        <v>231</v>
      </c>
      <c r="C224" s="8" t="s">
        <v>21</v>
      </c>
      <c r="D224" s="10">
        <v>45561</v>
      </c>
      <c r="E224" s="8" t="s">
        <v>14</v>
      </c>
      <c r="F224" s="11">
        <v>10</v>
      </c>
      <c r="G224" s="8" t="s">
        <v>22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12</v>
      </c>
      <c r="M224" s="11">
        <v>18</v>
      </c>
      <c r="N224" s="167">
        <f>IF(Tabela1[[#This Row],[Subscriber ID]]&lt;&gt;"", 1, 0) +
IF(Tabela1[[#This Row],[EA Play Season Pass]]="Yes", 1, 0) +
IF(Tabela1[[#This Row],[Minecraft Season Pass]]="Yes", 1, 0)</f>
        <v>2</v>
      </c>
    </row>
    <row r="225" spans="1:14" ht="16.5" customHeight="1">
      <c r="A225" s="35">
        <v>3446</v>
      </c>
      <c r="B225" s="8" t="s">
        <v>232</v>
      </c>
      <c r="C225" s="8" t="s">
        <v>13</v>
      </c>
      <c r="D225" s="10">
        <v>45563</v>
      </c>
      <c r="E225" s="8" t="s">
        <v>14</v>
      </c>
      <c r="F225" s="11">
        <v>15</v>
      </c>
      <c r="G225" s="8" t="s">
        <v>19</v>
      </c>
      <c r="H225" s="8" t="s">
        <v>14</v>
      </c>
      <c r="I225" s="11">
        <v>30</v>
      </c>
      <c r="J225" s="8" t="s">
        <v>14</v>
      </c>
      <c r="K225" s="11">
        <v>20</v>
      </c>
      <c r="L225" s="11">
        <v>5</v>
      </c>
      <c r="M225" s="11">
        <v>60</v>
      </c>
      <c r="N225" s="167">
        <f>IF(Tabela1[[#This Row],[Subscriber ID]]&lt;&gt;"", 1, 0) +
IF(Tabela1[[#This Row],[EA Play Season Pass]]="Yes", 1, 0) +
IF(Tabela1[[#This Row],[Minecraft Season Pass]]="Yes", 1, 0)</f>
        <v>3</v>
      </c>
    </row>
    <row r="226" spans="1:14" ht="16.5" customHeight="1">
      <c r="A226" s="35">
        <v>3447</v>
      </c>
      <c r="B226" s="8" t="s">
        <v>233</v>
      </c>
      <c r="C226" s="8" t="s">
        <v>21</v>
      </c>
      <c r="D226" s="10">
        <v>45564</v>
      </c>
      <c r="E226" s="8" t="s">
        <v>18</v>
      </c>
      <c r="F226" s="11">
        <v>10</v>
      </c>
      <c r="G226" s="8" t="s">
        <v>15</v>
      </c>
      <c r="H226" s="8" t="s">
        <v>18</v>
      </c>
      <c r="I226" s="11" t="s">
        <v>306</v>
      </c>
      <c r="J226" s="8" t="s">
        <v>14</v>
      </c>
      <c r="K226" s="11">
        <v>20</v>
      </c>
      <c r="L226" s="11">
        <v>10</v>
      </c>
      <c r="M226" s="11">
        <v>20</v>
      </c>
      <c r="N226" s="167">
        <f>IF(Tabela1[[#This Row],[Subscriber ID]]&lt;&gt;"", 1, 0) +
IF(Tabela1[[#This Row],[EA Play Season Pass]]="Yes", 1, 0) +
IF(Tabela1[[#This Row],[Minecraft Season Pass]]="Yes", 1, 0)</f>
        <v>2</v>
      </c>
    </row>
    <row r="227" spans="1:14" ht="16.5" customHeight="1">
      <c r="A227" s="35">
        <v>3448</v>
      </c>
      <c r="B227" s="8" t="s">
        <v>234</v>
      </c>
      <c r="C227" s="8" t="s">
        <v>17</v>
      </c>
      <c r="D227" s="10">
        <v>45565</v>
      </c>
      <c r="E227" s="8" t="s">
        <v>14</v>
      </c>
      <c r="F227" s="11">
        <v>5</v>
      </c>
      <c r="G227" s="8" t="s">
        <v>22</v>
      </c>
      <c r="H227" s="8" t="s">
        <v>18</v>
      </c>
      <c r="I227" s="11" t="s">
        <v>306</v>
      </c>
      <c r="J227" s="8" t="s">
        <v>18</v>
      </c>
      <c r="K227" s="11">
        <v>0</v>
      </c>
      <c r="L227" s="11">
        <v>0</v>
      </c>
      <c r="M227" s="11">
        <v>5</v>
      </c>
      <c r="N227" s="167">
        <f>IF(Tabela1[[#This Row],[Subscriber ID]]&lt;&gt;"", 1, 0) +
IF(Tabela1[[#This Row],[EA Play Season Pass]]="Yes", 1, 0) +
IF(Tabela1[[#This Row],[Minecraft Season Pass]]="Yes", 1, 0)</f>
        <v>1</v>
      </c>
    </row>
    <row r="228" spans="1:14" ht="16.5" customHeight="1">
      <c r="A228" s="35">
        <v>3449</v>
      </c>
      <c r="B228" s="8" t="s">
        <v>235</v>
      </c>
      <c r="C228" s="8" t="s">
        <v>13</v>
      </c>
      <c r="D228" s="10">
        <v>45566</v>
      </c>
      <c r="E228" s="8" t="s">
        <v>18</v>
      </c>
      <c r="F228" s="11">
        <v>15</v>
      </c>
      <c r="G228" s="8" t="s">
        <v>15</v>
      </c>
      <c r="H228" s="8" t="s">
        <v>14</v>
      </c>
      <c r="I228" s="11">
        <v>30</v>
      </c>
      <c r="J228" s="8" t="s">
        <v>14</v>
      </c>
      <c r="K228" s="11">
        <v>20</v>
      </c>
      <c r="L228" s="11">
        <v>3</v>
      </c>
      <c r="M228" s="11">
        <v>62</v>
      </c>
      <c r="N228" s="167">
        <f>IF(Tabela1[[#This Row],[Subscriber ID]]&lt;&gt;"", 1, 0) +
IF(Tabela1[[#This Row],[EA Play Season Pass]]="Yes", 1, 0) +
IF(Tabela1[[#This Row],[Minecraft Season Pass]]="Yes", 1, 0)</f>
        <v>3</v>
      </c>
    </row>
    <row r="229" spans="1:14" ht="16.5" customHeight="1">
      <c r="A229" s="35">
        <v>3450</v>
      </c>
      <c r="B229" s="8" t="s">
        <v>236</v>
      </c>
      <c r="C229" s="8" t="s">
        <v>21</v>
      </c>
      <c r="D229" s="10">
        <v>45567</v>
      </c>
      <c r="E229" s="8" t="s">
        <v>14</v>
      </c>
      <c r="F229" s="11">
        <v>10</v>
      </c>
      <c r="G229" s="8" t="s">
        <v>19</v>
      </c>
      <c r="H229" s="8" t="s">
        <v>18</v>
      </c>
      <c r="I229" s="11" t="s">
        <v>306</v>
      </c>
      <c r="J229" s="8" t="s">
        <v>14</v>
      </c>
      <c r="K229" s="11">
        <v>20</v>
      </c>
      <c r="L229" s="11">
        <v>15</v>
      </c>
      <c r="M229" s="11">
        <v>15</v>
      </c>
      <c r="N229" s="167">
        <f>IF(Tabela1[[#This Row],[Subscriber ID]]&lt;&gt;"", 1, 0) +
IF(Tabela1[[#This Row],[EA Play Season Pass]]="Yes", 1, 0) +
IF(Tabela1[[#This Row],[Minecraft Season Pass]]="Yes", 1, 0)</f>
        <v>2</v>
      </c>
    </row>
    <row r="230" spans="1:14" ht="16.5" customHeight="1">
      <c r="A230" s="35">
        <v>3451</v>
      </c>
      <c r="B230" s="8" t="s">
        <v>237</v>
      </c>
      <c r="C230" s="8" t="s">
        <v>17</v>
      </c>
      <c r="D230" s="10">
        <v>45568</v>
      </c>
      <c r="E230" s="8" t="s">
        <v>18</v>
      </c>
      <c r="F230" s="11">
        <v>5</v>
      </c>
      <c r="G230" s="8" t="s">
        <v>15</v>
      </c>
      <c r="H230" s="8" t="s">
        <v>18</v>
      </c>
      <c r="I230" s="11" t="s">
        <v>306</v>
      </c>
      <c r="J230" s="8" t="s">
        <v>18</v>
      </c>
      <c r="K230" s="11">
        <v>0</v>
      </c>
      <c r="L230" s="11">
        <v>1</v>
      </c>
      <c r="M230" s="11">
        <v>4</v>
      </c>
      <c r="N230" s="167">
        <f>IF(Tabela1[[#This Row],[Subscriber ID]]&lt;&gt;"", 1, 0) +
IF(Tabela1[[#This Row],[EA Play Season Pass]]="Yes", 1, 0) +
IF(Tabela1[[#This Row],[Minecraft Season Pass]]="Yes", 1, 0)</f>
        <v>1</v>
      </c>
    </row>
    <row r="231" spans="1:14" ht="16.5" customHeight="1">
      <c r="A231" s="35">
        <v>3454</v>
      </c>
      <c r="B231" s="8" t="s">
        <v>238</v>
      </c>
      <c r="C231" s="8" t="s">
        <v>17</v>
      </c>
      <c r="D231" s="10">
        <v>45571</v>
      </c>
      <c r="E231" s="8" t="s">
        <v>14</v>
      </c>
      <c r="F231" s="11">
        <v>5</v>
      </c>
      <c r="G231" s="8" t="s">
        <v>19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  <c r="N231" s="167">
        <f>IF(Tabela1[[#This Row],[Subscriber ID]]&lt;&gt;"", 1, 0) +
IF(Tabela1[[#This Row],[EA Play Season Pass]]="Yes", 1, 0) +
IF(Tabela1[[#This Row],[Minecraft Season Pass]]="Yes", 1, 0)</f>
        <v>1</v>
      </c>
    </row>
    <row r="232" spans="1:14" ht="16.5" customHeight="1">
      <c r="A232" s="35">
        <v>3455</v>
      </c>
      <c r="B232" s="8" t="s">
        <v>239</v>
      </c>
      <c r="C232" s="8" t="s">
        <v>13</v>
      </c>
      <c r="D232" s="10">
        <v>45572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20</v>
      </c>
      <c r="M232" s="11">
        <v>45</v>
      </c>
      <c r="N232" s="167">
        <f>IF(Tabela1[[#This Row],[Subscriber ID]]&lt;&gt;"", 1, 0) +
IF(Tabela1[[#This Row],[EA Play Season Pass]]="Yes", 1, 0) +
IF(Tabela1[[#This Row],[Minecraft Season Pass]]="Yes", 1, 0)</f>
        <v>3</v>
      </c>
    </row>
    <row r="233" spans="1:14" ht="16.5" customHeight="1">
      <c r="A233" s="35">
        <v>3456</v>
      </c>
      <c r="B233" s="8" t="s">
        <v>240</v>
      </c>
      <c r="C233" s="8" t="s">
        <v>21</v>
      </c>
      <c r="D233" s="10">
        <v>45573</v>
      </c>
      <c r="E233" s="8" t="s">
        <v>14</v>
      </c>
      <c r="F233" s="11">
        <v>10</v>
      </c>
      <c r="G233" s="8" t="s">
        <v>22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  <c r="N233" s="167">
        <f>IF(Tabela1[[#This Row],[Subscriber ID]]&lt;&gt;"", 1, 0) +
IF(Tabela1[[#This Row],[EA Play Season Pass]]="Yes", 1, 0) +
IF(Tabela1[[#This Row],[Minecraft Season Pass]]="Yes", 1, 0)</f>
        <v>2</v>
      </c>
    </row>
    <row r="234" spans="1:14" ht="16.5" customHeight="1">
      <c r="A234" s="35">
        <v>3457</v>
      </c>
      <c r="B234" s="8" t="s">
        <v>241</v>
      </c>
      <c r="C234" s="8" t="s">
        <v>17</v>
      </c>
      <c r="D234" s="10">
        <v>45574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  <c r="N234" s="167">
        <f>IF(Tabela1[[#This Row],[Subscriber ID]]&lt;&gt;"", 1, 0) +
IF(Tabela1[[#This Row],[EA Play Season Pass]]="Yes", 1, 0) +
IF(Tabela1[[#This Row],[Minecraft Season Pass]]="Yes", 1, 0)</f>
        <v>1</v>
      </c>
    </row>
    <row r="235" spans="1:14" ht="16.5" customHeight="1">
      <c r="A235" s="35">
        <v>3458</v>
      </c>
      <c r="B235" s="8" t="s">
        <v>242</v>
      </c>
      <c r="C235" s="8" t="s">
        <v>13</v>
      </c>
      <c r="D235" s="10">
        <v>45575</v>
      </c>
      <c r="E235" s="8" t="s">
        <v>14</v>
      </c>
      <c r="F235" s="11">
        <v>15</v>
      </c>
      <c r="G235" s="8" t="s">
        <v>19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3</v>
      </c>
      <c r="M235" s="11">
        <v>62</v>
      </c>
      <c r="N235" s="167">
        <f>IF(Tabela1[[#This Row],[Subscriber ID]]&lt;&gt;"", 1, 0) +
IF(Tabela1[[#This Row],[EA Play Season Pass]]="Yes", 1, 0) +
IF(Tabela1[[#This Row],[Minecraft Season Pass]]="Yes", 1, 0)</f>
        <v>3</v>
      </c>
    </row>
    <row r="236" spans="1:14" ht="16.5" customHeight="1">
      <c r="A236" s="35">
        <v>3459</v>
      </c>
      <c r="B236" s="8" t="s">
        <v>243</v>
      </c>
      <c r="C236" s="8" t="s">
        <v>21</v>
      </c>
      <c r="D236" s="10">
        <v>45576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  <c r="N236" s="167">
        <f>IF(Tabela1[[#This Row],[Subscriber ID]]&lt;&gt;"", 1, 0) +
IF(Tabela1[[#This Row],[EA Play Season Pass]]="Yes", 1, 0) +
IF(Tabela1[[#This Row],[Minecraft Season Pass]]="Yes", 1, 0)</f>
        <v>2</v>
      </c>
    </row>
    <row r="237" spans="1:14" ht="16.5" customHeight="1">
      <c r="A237" s="35">
        <v>3461</v>
      </c>
      <c r="B237" s="8" t="s">
        <v>244</v>
      </c>
      <c r="C237" s="8" t="s">
        <v>13</v>
      </c>
      <c r="D237" s="10">
        <v>45578</v>
      </c>
      <c r="E237" s="8" t="s">
        <v>18</v>
      </c>
      <c r="F237" s="11">
        <v>15</v>
      </c>
      <c r="G237" s="8" t="s">
        <v>15</v>
      </c>
      <c r="H237" s="8" t="s">
        <v>14</v>
      </c>
      <c r="I237" s="11">
        <v>30</v>
      </c>
      <c r="J237" s="8" t="s">
        <v>14</v>
      </c>
      <c r="K237" s="11">
        <v>20</v>
      </c>
      <c r="L237" s="11">
        <v>15</v>
      </c>
      <c r="M237" s="11">
        <v>50</v>
      </c>
      <c r="N237" s="167">
        <f>IF(Tabela1[[#This Row],[Subscriber ID]]&lt;&gt;"", 1, 0) +
IF(Tabela1[[#This Row],[EA Play Season Pass]]="Yes", 1, 0) +
IF(Tabela1[[#This Row],[Minecraft Season Pass]]="Yes", 1, 0)</f>
        <v>3</v>
      </c>
    </row>
    <row r="238" spans="1:14" ht="16.5" customHeight="1">
      <c r="A238" s="35">
        <v>3462</v>
      </c>
      <c r="B238" s="8" t="s">
        <v>245</v>
      </c>
      <c r="C238" s="8" t="s">
        <v>21</v>
      </c>
      <c r="D238" s="10">
        <v>45579</v>
      </c>
      <c r="E238" s="8" t="s">
        <v>14</v>
      </c>
      <c r="F238" s="11">
        <v>10</v>
      </c>
      <c r="G238" s="8" t="s">
        <v>19</v>
      </c>
      <c r="H238" s="8" t="s">
        <v>18</v>
      </c>
      <c r="I238" s="11" t="s">
        <v>306</v>
      </c>
      <c r="J238" s="8" t="s">
        <v>14</v>
      </c>
      <c r="K238" s="11">
        <v>20</v>
      </c>
      <c r="L238" s="11">
        <v>15</v>
      </c>
      <c r="M238" s="11">
        <v>15</v>
      </c>
      <c r="N238" s="167">
        <f>IF(Tabela1[[#This Row],[Subscriber ID]]&lt;&gt;"", 1, 0) +
IF(Tabela1[[#This Row],[EA Play Season Pass]]="Yes", 1, 0) +
IF(Tabela1[[#This Row],[Minecraft Season Pass]]="Yes", 1, 0)</f>
        <v>2</v>
      </c>
    </row>
    <row r="239" spans="1:14" ht="16.5" customHeight="1">
      <c r="A239" s="35">
        <v>3463</v>
      </c>
      <c r="B239" s="8" t="s">
        <v>246</v>
      </c>
      <c r="C239" s="8" t="s">
        <v>17</v>
      </c>
      <c r="D239" s="10">
        <v>45580</v>
      </c>
      <c r="E239" s="8" t="s">
        <v>18</v>
      </c>
      <c r="F239" s="11">
        <v>5</v>
      </c>
      <c r="G239" s="8" t="s">
        <v>15</v>
      </c>
      <c r="H239" s="8" t="s">
        <v>18</v>
      </c>
      <c r="I239" s="11" t="s">
        <v>306</v>
      </c>
      <c r="J239" s="8" t="s">
        <v>18</v>
      </c>
      <c r="K239" s="11">
        <v>0</v>
      </c>
      <c r="L239" s="11">
        <v>1</v>
      </c>
      <c r="M239" s="11">
        <v>4</v>
      </c>
      <c r="N239" s="167">
        <f>IF(Tabela1[[#This Row],[Subscriber ID]]&lt;&gt;"", 1, 0) +
IF(Tabela1[[#This Row],[EA Play Season Pass]]="Yes", 1, 0) +
IF(Tabela1[[#This Row],[Minecraft Season Pass]]="Yes", 1, 0)</f>
        <v>1</v>
      </c>
    </row>
    <row r="240" spans="1:14" ht="16.5" customHeight="1">
      <c r="A240" s="35">
        <v>3464</v>
      </c>
      <c r="B240" s="8" t="s">
        <v>247</v>
      </c>
      <c r="C240" s="8" t="s">
        <v>13</v>
      </c>
      <c r="D240" s="10">
        <v>45581</v>
      </c>
      <c r="E240" s="8" t="s">
        <v>14</v>
      </c>
      <c r="F240" s="11">
        <v>15</v>
      </c>
      <c r="G240" s="8" t="s">
        <v>22</v>
      </c>
      <c r="H240" s="8" t="s">
        <v>14</v>
      </c>
      <c r="I240" s="11">
        <v>30</v>
      </c>
      <c r="J240" s="8" t="s">
        <v>14</v>
      </c>
      <c r="K240" s="11">
        <v>20</v>
      </c>
      <c r="L240" s="11">
        <v>7</v>
      </c>
      <c r="M240" s="11">
        <v>58</v>
      </c>
      <c r="N240" s="167">
        <f>IF(Tabela1[[#This Row],[Subscriber ID]]&lt;&gt;"", 1, 0) +
IF(Tabela1[[#This Row],[EA Play Season Pass]]="Yes", 1, 0) +
IF(Tabela1[[#This Row],[Minecraft Season Pass]]="Yes", 1, 0)</f>
        <v>3</v>
      </c>
    </row>
    <row r="241" spans="1:14" ht="16.5" customHeight="1">
      <c r="A241" s="35">
        <v>3465</v>
      </c>
      <c r="B241" s="8" t="s">
        <v>248</v>
      </c>
      <c r="C241" s="8" t="s">
        <v>21</v>
      </c>
      <c r="D241" s="10">
        <v>45582</v>
      </c>
      <c r="E241" s="8" t="s">
        <v>18</v>
      </c>
      <c r="F241" s="11">
        <v>10</v>
      </c>
      <c r="G241" s="8" t="s">
        <v>15</v>
      </c>
      <c r="H241" s="8" t="s">
        <v>18</v>
      </c>
      <c r="I241" s="11" t="s">
        <v>306</v>
      </c>
      <c r="J241" s="8" t="s">
        <v>14</v>
      </c>
      <c r="K241" s="11">
        <v>20</v>
      </c>
      <c r="L241" s="11">
        <v>10</v>
      </c>
      <c r="M241" s="11">
        <v>20</v>
      </c>
      <c r="N241" s="167">
        <f>IF(Tabela1[[#This Row],[Subscriber ID]]&lt;&gt;"", 1, 0) +
IF(Tabela1[[#This Row],[EA Play Season Pass]]="Yes", 1, 0) +
IF(Tabela1[[#This Row],[Minecraft Season Pass]]="Yes", 1, 0)</f>
        <v>2</v>
      </c>
    </row>
    <row r="242" spans="1:14" ht="16.5" customHeight="1">
      <c r="A242" s="35">
        <v>3466</v>
      </c>
      <c r="B242" s="8" t="s">
        <v>249</v>
      </c>
      <c r="C242" s="8" t="s">
        <v>17</v>
      </c>
      <c r="D242" s="10">
        <v>45583</v>
      </c>
      <c r="E242" s="8" t="s">
        <v>14</v>
      </c>
      <c r="F242" s="11">
        <v>5</v>
      </c>
      <c r="G242" s="8" t="s">
        <v>19</v>
      </c>
      <c r="H242" s="8" t="s">
        <v>18</v>
      </c>
      <c r="I242" s="11" t="s">
        <v>306</v>
      </c>
      <c r="J242" s="8" t="s">
        <v>18</v>
      </c>
      <c r="K242" s="11">
        <v>0</v>
      </c>
      <c r="L242" s="11">
        <v>0</v>
      </c>
      <c r="M242" s="11">
        <v>5</v>
      </c>
      <c r="N242" s="167">
        <f>IF(Tabela1[[#This Row],[Subscriber ID]]&lt;&gt;"", 1, 0) +
IF(Tabela1[[#This Row],[EA Play Season Pass]]="Yes", 1, 0) +
IF(Tabela1[[#This Row],[Minecraft Season Pass]]="Yes", 1, 0)</f>
        <v>1</v>
      </c>
    </row>
    <row r="243" spans="1:14" ht="16.5" customHeight="1">
      <c r="A243" s="35">
        <v>3467</v>
      </c>
      <c r="B243" s="8" t="s">
        <v>250</v>
      </c>
      <c r="C243" s="8" t="s">
        <v>13</v>
      </c>
      <c r="D243" s="10">
        <v>45584</v>
      </c>
      <c r="E243" s="8" t="s">
        <v>18</v>
      </c>
      <c r="F243" s="11">
        <v>15</v>
      </c>
      <c r="G243" s="8" t="s">
        <v>15</v>
      </c>
      <c r="H243" s="8" t="s">
        <v>14</v>
      </c>
      <c r="I243" s="11">
        <v>30</v>
      </c>
      <c r="J243" s="8" t="s">
        <v>14</v>
      </c>
      <c r="K243" s="11">
        <v>20</v>
      </c>
      <c r="L243" s="11">
        <v>15</v>
      </c>
      <c r="M243" s="11">
        <v>50</v>
      </c>
      <c r="N243" s="167">
        <f>IF(Tabela1[[#This Row],[Subscriber ID]]&lt;&gt;"", 1, 0) +
IF(Tabela1[[#This Row],[EA Play Season Pass]]="Yes", 1, 0) +
IF(Tabela1[[#This Row],[Minecraft Season Pass]]="Yes", 1, 0)</f>
        <v>3</v>
      </c>
    </row>
    <row r="244" spans="1:14" ht="16.5" customHeight="1">
      <c r="A244" s="35">
        <v>3468</v>
      </c>
      <c r="B244" s="8" t="s">
        <v>251</v>
      </c>
      <c r="C244" s="8" t="s">
        <v>21</v>
      </c>
      <c r="D244" s="10">
        <v>45585</v>
      </c>
      <c r="E244" s="8" t="s">
        <v>14</v>
      </c>
      <c r="F244" s="11">
        <v>10</v>
      </c>
      <c r="G244" s="8" t="s">
        <v>22</v>
      </c>
      <c r="H244" s="8" t="s">
        <v>18</v>
      </c>
      <c r="I244" s="11" t="s">
        <v>306</v>
      </c>
      <c r="J244" s="8" t="s">
        <v>14</v>
      </c>
      <c r="K244" s="11">
        <v>20</v>
      </c>
      <c r="L244" s="11">
        <v>12</v>
      </c>
      <c r="M244" s="11">
        <v>18</v>
      </c>
      <c r="N244" s="167">
        <f>IF(Tabela1[[#This Row],[Subscriber ID]]&lt;&gt;"", 1, 0) +
IF(Tabela1[[#This Row],[EA Play Season Pass]]="Yes", 1, 0) +
IF(Tabela1[[#This Row],[Minecraft Season Pass]]="Yes", 1, 0)</f>
        <v>2</v>
      </c>
    </row>
    <row r="245" spans="1:14" ht="16.5" customHeight="1">
      <c r="A245" s="35">
        <v>3469</v>
      </c>
      <c r="B245" s="8" t="s">
        <v>252</v>
      </c>
      <c r="C245" s="8" t="s">
        <v>17</v>
      </c>
      <c r="D245" s="10">
        <v>45586</v>
      </c>
      <c r="E245" s="8" t="s">
        <v>18</v>
      </c>
      <c r="F245" s="11">
        <v>5</v>
      </c>
      <c r="G245" s="8" t="s">
        <v>15</v>
      </c>
      <c r="H245" s="8" t="s">
        <v>18</v>
      </c>
      <c r="I245" s="11" t="s">
        <v>306</v>
      </c>
      <c r="J245" s="8" t="s">
        <v>18</v>
      </c>
      <c r="K245" s="11">
        <v>0</v>
      </c>
      <c r="L245" s="11">
        <v>2</v>
      </c>
      <c r="M245" s="11">
        <v>3</v>
      </c>
      <c r="N245" s="167">
        <f>IF(Tabela1[[#This Row],[Subscriber ID]]&lt;&gt;"", 1, 0) +
IF(Tabela1[[#This Row],[EA Play Season Pass]]="Yes", 1, 0) +
IF(Tabela1[[#This Row],[Minecraft Season Pass]]="Yes", 1, 0)</f>
        <v>1</v>
      </c>
    </row>
    <row r="246" spans="1:14" ht="16.5" customHeight="1">
      <c r="A246" s="35">
        <v>3470</v>
      </c>
      <c r="B246" s="8" t="s">
        <v>253</v>
      </c>
      <c r="C246" s="8" t="s">
        <v>13</v>
      </c>
      <c r="D246" s="10">
        <v>45587</v>
      </c>
      <c r="E246" s="8" t="s">
        <v>14</v>
      </c>
      <c r="F246" s="11">
        <v>15</v>
      </c>
      <c r="G246" s="8" t="s">
        <v>19</v>
      </c>
      <c r="H246" s="8" t="s">
        <v>14</v>
      </c>
      <c r="I246" s="11">
        <v>30</v>
      </c>
      <c r="J246" s="8" t="s">
        <v>14</v>
      </c>
      <c r="K246" s="11">
        <v>20</v>
      </c>
      <c r="L246" s="11">
        <v>5</v>
      </c>
      <c r="M246" s="11">
        <v>60</v>
      </c>
      <c r="N246" s="167">
        <f>IF(Tabela1[[#This Row],[Subscriber ID]]&lt;&gt;"", 1, 0) +
IF(Tabela1[[#This Row],[EA Play Season Pass]]="Yes", 1, 0) +
IF(Tabela1[[#This Row],[Minecraft Season Pass]]="Yes", 1, 0)</f>
        <v>3</v>
      </c>
    </row>
    <row r="247" spans="1:14" ht="16.5" customHeight="1">
      <c r="A247" s="35">
        <v>3471</v>
      </c>
      <c r="B247" s="8" t="s">
        <v>254</v>
      </c>
      <c r="C247" s="8" t="s">
        <v>21</v>
      </c>
      <c r="D247" s="10">
        <v>45588</v>
      </c>
      <c r="E247" s="8" t="s">
        <v>18</v>
      </c>
      <c r="F247" s="11">
        <v>10</v>
      </c>
      <c r="G247" s="8" t="s">
        <v>15</v>
      </c>
      <c r="H247" s="8" t="s">
        <v>18</v>
      </c>
      <c r="I247" s="11" t="s">
        <v>306</v>
      </c>
      <c r="J247" s="8" t="s">
        <v>14</v>
      </c>
      <c r="K247" s="11">
        <v>20</v>
      </c>
      <c r="L247" s="11">
        <v>10</v>
      </c>
      <c r="M247" s="11">
        <v>20</v>
      </c>
      <c r="N247" s="167">
        <f>IF(Tabela1[[#This Row],[Subscriber ID]]&lt;&gt;"", 1, 0) +
IF(Tabela1[[#This Row],[EA Play Season Pass]]="Yes", 1, 0) +
IF(Tabela1[[#This Row],[Minecraft Season Pass]]="Yes", 1, 0)</f>
        <v>2</v>
      </c>
    </row>
    <row r="248" spans="1:14" ht="16.5" customHeight="1">
      <c r="A248" s="35">
        <v>3472</v>
      </c>
      <c r="B248" s="8" t="s">
        <v>255</v>
      </c>
      <c r="C248" s="8" t="s">
        <v>17</v>
      </c>
      <c r="D248" s="10">
        <v>45589</v>
      </c>
      <c r="E248" s="8" t="s">
        <v>14</v>
      </c>
      <c r="F248" s="11">
        <v>5</v>
      </c>
      <c r="G248" s="8" t="s">
        <v>22</v>
      </c>
      <c r="H248" s="8" t="s">
        <v>18</v>
      </c>
      <c r="I248" s="11" t="s">
        <v>306</v>
      </c>
      <c r="J248" s="8" t="s">
        <v>18</v>
      </c>
      <c r="K248" s="11">
        <v>0</v>
      </c>
      <c r="L248" s="11">
        <v>0</v>
      </c>
      <c r="M248" s="11">
        <v>5</v>
      </c>
      <c r="N248" s="167">
        <f>IF(Tabela1[[#This Row],[Subscriber ID]]&lt;&gt;"", 1, 0) +
IF(Tabela1[[#This Row],[EA Play Season Pass]]="Yes", 1, 0) +
IF(Tabela1[[#This Row],[Minecraft Season Pass]]="Yes", 1, 0)</f>
        <v>1</v>
      </c>
    </row>
    <row r="249" spans="1:14" ht="16.5" customHeight="1">
      <c r="A249" s="35">
        <v>3474</v>
      </c>
      <c r="B249" s="8" t="s">
        <v>256</v>
      </c>
      <c r="C249" s="8" t="s">
        <v>21</v>
      </c>
      <c r="D249" s="10">
        <v>45591</v>
      </c>
      <c r="E249" s="8" t="s">
        <v>14</v>
      </c>
      <c r="F249" s="11">
        <v>10</v>
      </c>
      <c r="G249" s="8" t="s">
        <v>19</v>
      </c>
      <c r="H249" s="8" t="s">
        <v>18</v>
      </c>
      <c r="I249" s="11" t="s">
        <v>306</v>
      </c>
      <c r="J249" s="8" t="s">
        <v>14</v>
      </c>
      <c r="K249" s="11">
        <v>20</v>
      </c>
      <c r="L249" s="11">
        <v>15</v>
      </c>
      <c r="M249" s="11">
        <v>15</v>
      </c>
      <c r="N249" s="167">
        <f>IF(Tabela1[[#This Row],[Subscriber ID]]&lt;&gt;"", 1, 0) +
IF(Tabela1[[#This Row],[EA Play Season Pass]]="Yes", 1, 0) +
IF(Tabela1[[#This Row],[Minecraft Season Pass]]="Yes", 1, 0)</f>
        <v>2</v>
      </c>
    </row>
    <row r="250" spans="1:14" ht="16.5" customHeight="1">
      <c r="A250" s="35">
        <v>3475</v>
      </c>
      <c r="B250" s="8" t="s">
        <v>257</v>
      </c>
      <c r="C250" s="8" t="s">
        <v>17</v>
      </c>
      <c r="D250" s="10">
        <v>45592</v>
      </c>
      <c r="E250" s="8" t="s">
        <v>18</v>
      </c>
      <c r="F250" s="11">
        <v>5</v>
      </c>
      <c r="G250" s="8" t="s">
        <v>15</v>
      </c>
      <c r="H250" s="8" t="s">
        <v>18</v>
      </c>
      <c r="I250" s="11" t="s">
        <v>306</v>
      </c>
      <c r="J250" s="8" t="s">
        <v>18</v>
      </c>
      <c r="K250" s="11">
        <v>0</v>
      </c>
      <c r="L250" s="11">
        <v>1</v>
      </c>
      <c r="M250" s="11">
        <v>4</v>
      </c>
      <c r="N250" s="167">
        <f>IF(Tabela1[[#This Row],[Subscriber ID]]&lt;&gt;"", 1, 0) +
IF(Tabela1[[#This Row],[EA Play Season Pass]]="Yes", 1, 0) +
IF(Tabela1[[#This Row],[Minecraft Season Pass]]="Yes", 1, 0)</f>
        <v>1</v>
      </c>
    </row>
    <row r="251" spans="1:14" ht="16.5" customHeight="1">
      <c r="A251" s="35">
        <v>3476</v>
      </c>
      <c r="B251" s="8" t="s">
        <v>258</v>
      </c>
      <c r="C251" s="8" t="s">
        <v>13</v>
      </c>
      <c r="D251" s="10">
        <v>45593</v>
      </c>
      <c r="E251" s="8" t="s">
        <v>14</v>
      </c>
      <c r="F251" s="11">
        <v>15</v>
      </c>
      <c r="G251" s="8" t="s">
        <v>22</v>
      </c>
      <c r="H251" s="8" t="s">
        <v>14</v>
      </c>
      <c r="I251" s="11">
        <v>30</v>
      </c>
      <c r="J251" s="8" t="s">
        <v>14</v>
      </c>
      <c r="K251" s="11">
        <v>20</v>
      </c>
      <c r="L251" s="11">
        <v>7</v>
      </c>
      <c r="M251" s="11">
        <v>58</v>
      </c>
      <c r="N251" s="167">
        <f>IF(Tabela1[[#This Row],[Subscriber ID]]&lt;&gt;"", 1, 0) +
IF(Tabela1[[#This Row],[EA Play Season Pass]]="Yes", 1, 0) +
IF(Tabela1[[#This Row],[Minecraft Season Pass]]="Yes", 1, 0)</f>
        <v>3</v>
      </c>
    </row>
    <row r="252" spans="1:14" ht="16.5" customHeight="1">
      <c r="A252" s="35">
        <v>3477</v>
      </c>
      <c r="B252" s="8" t="s">
        <v>259</v>
      </c>
      <c r="C252" s="8" t="s">
        <v>21</v>
      </c>
      <c r="D252" s="10">
        <v>45594</v>
      </c>
      <c r="E252" s="8" t="s">
        <v>18</v>
      </c>
      <c r="F252" s="11">
        <v>10</v>
      </c>
      <c r="G252" s="8" t="s">
        <v>15</v>
      </c>
      <c r="H252" s="8" t="s">
        <v>18</v>
      </c>
      <c r="I252" s="11" t="s">
        <v>306</v>
      </c>
      <c r="J252" s="8" t="s">
        <v>14</v>
      </c>
      <c r="K252" s="11">
        <v>20</v>
      </c>
      <c r="L252" s="11">
        <v>10</v>
      </c>
      <c r="M252" s="11">
        <v>20</v>
      </c>
      <c r="N252" s="167">
        <f>IF(Tabela1[[#This Row],[Subscriber ID]]&lt;&gt;"", 1, 0) +
IF(Tabela1[[#This Row],[EA Play Season Pass]]="Yes", 1, 0) +
IF(Tabela1[[#This Row],[Minecraft Season Pass]]="Yes", 1, 0)</f>
        <v>2</v>
      </c>
    </row>
    <row r="253" spans="1:14" ht="16.5" customHeight="1">
      <c r="A253" s="35">
        <v>3478</v>
      </c>
      <c r="B253" s="8" t="s">
        <v>260</v>
      </c>
      <c r="C253" s="8" t="s">
        <v>17</v>
      </c>
      <c r="D253" s="10">
        <v>45595</v>
      </c>
      <c r="E253" s="8" t="s">
        <v>14</v>
      </c>
      <c r="F253" s="11">
        <v>5</v>
      </c>
      <c r="G253" s="8" t="s">
        <v>19</v>
      </c>
      <c r="H253" s="8" t="s">
        <v>18</v>
      </c>
      <c r="I253" s="11" t="s">
        <v>306</v>
      </c>
      <c r="J253" s="8" t="s">
        <v>18</v>
      </c>
      <c r="K253" s="11">
        <v>0</v>
      </c>
      <c r="L253" s="11">
        <v>0</v>
      </c>
      <c r="M253" s="11">
        <v>5</v>
      </c>
      <c r="N253" s="167">
        <f>IF(Tabela1[[#This Row],[Subscriber ID]]&lt;&gt;"", 1, 0) +
IF(Tabela1[[#This Row],[EA Play Season Pass]]="Yes", 1, 0) +
IF(Tabela1[[#This Row],[Minecraft Season Pass]]="Yes", 1, 0)</f>
        <v>1</v>
      </c>
    </row>
    <row r="254" spans="1:14" ht="16.5" customHeight="1">
      <c r="A254" s="35">
        <v>3479</v>
      </c>
      <c r="B254" s="8" t="s">
        <v>261</v>
      </c>
      <c r="C254" s="8" t="s">
        <v>13</v>
      </c>
      <c r="D254" s="10">
        <v>45596</v>
      </c>
      <c r="E254" s="8" t="s">
        <v>18</v>
      </c>
      <c r="F254" s="11">
        <v>15</v>
      </c>
      <c r="G254" s="8" t="s">
        <v>15</v>
      </c>
      <c r="H254" s="8" t="s">
        <v>14</v>
      </c>
      <c r="I254" s="11">
        <v>30</v>
      </c>
      <c r="J254" s="8" t="s">
        <v>14</v>
      </c>
      <c r="K254" s="11">
        <v>20</v>
      </c>
      <c r="L254" s="11">
        <v>20</v>
      </c>
      <c r="M254" s="11">
        <v>45</v>
      </c>
      <c r="N254" s="167">
        <f>IF(Tabela1[[#This Row],[Subscriber ID]]&lt;&gt;"", 1, 0) +
IF(Tabela1[[#This Row],[EA Play Season Pass]]="Yes", 1, 0) +
IF(Tabela1[[#This Row],[Minecraft Season Pass]]="Yes", 1, 0)</f>
        <v>3</v>
      </c>
    </row>
    <row r="255" spans="1:14" ht="16.5" customHeight="1">
      <c r="A255" s="35">
        <v>3480</v>
      </c>
      <c r="B255" s="8" t="s">
        <v>262</v>
      </c>
      <c r="C255" s="8" t="s">
        <v>21</v>
      </c>
      <c r="D255" s="10">
        <v>45597</v>
      </c>
      <c r="E255" s="8" t="s">
        <v>14</v>
      </c>
      <c r="F255" s="11">
        <v>10</v>
      </c>
      <c r="G255" s="8" t="s">
        <v>22</v>
      </c>
      <c r="H255" s="8" t="s">
        <v>18</v>
      </c>
      <c r="I255" s="11" t="s">
        <v>306</v>
      </c>
      <c r="J255" s="8" t="s">
        <v>14</v>
      </c>
      <c r="K255" s="11">
        <v>20</v>
      </c>
      <c r="L255" s="11">
        <v>15</v>
      </c>
      <c r="M255" s="11">
        <v>15</v>
      </c>
      <c r="N255" s="167">
        <f>IF(Tabela1[[#This Row],[Subscriber ID]]&lt;&gt;"", 1, 0) +
IF(Tabela1[[#This Row],[EA Play Season Pass]]="Yes", 1, 0) +
IF(Tabela1[[#This Row],[Minecraft Season Pass]]="Yes", 1, 0)</f>
        <v>2</v>
      </c>
    </row>
    <row r="256" spans="1:14" ht="16.5" customHeight="1">
      <c r="A256" s="35">
        <v>3481</v>
      </c>
      <c r="B256" s="8" t="s">
        <v>263</v>
      </c>
      <c r="C256" s="8" t="s">
        <v>17</v>
      </c>
      <c r="D256" s="10">
        <v>45598</v>
      </c>
      <c r="E256" s="8" t="s">
        <v>18</v>
      </c>
      <c r="F256" s="11">
        <v>5</v>
      </c>
      <c r="G256" s="8" t="s">
        <v>15</v>
      </c>
      <c r="H256" s="8" t="s">
        <v>18</v>
      </c>
      <c r="I256" s="11" t="s">
        <v>306</v>
      </c>
      <c r="J256" s="8" t="s">
        <v>18</v>
      </c>
      <c r="K256" s="11">
        <v>0</v>
      </c>
      <c r="L256" s="11">
        <v>1</v>
      </c>
      <c r="M256" s="11">
        <v>4</v>
      </c>
      <c r="N256" s="167">
        <f>IF(Tabela1[[#This Row],[Subscriber ID]]&lt;&gt;"", 1, 0) +
IF(Tabela1[[#This Row],[EA Play Season Pass]]="Yes", 1, 0) +
IF(Tabela1[[#This Row],[Minecraft Season Pass]]="Yes", 1, 0)</f>
        <v>1</v>
      </c>
    </row>
    <row r="257" spans="1:14" ht="16.5" customHeight="1">
      <c r="A257" s="35">
        <v>3482</v>
      </c>
      <c r="B257" s="8" t="s">
        <v>264</v>
      </c>
      <c r="C257" s="8" t="s">
        <v>13</v>
      </c>
      <c r="D257" s="10">
        <v>45599</v>
      </c>
      <c r="E257" s="8" t="s">
        <v>14</v>
      </c>
      <c r="F257" s="11">
        <v>15</v>
      </c>
      <c r="G257" s="8" t="s">
        <v>19</v>
      </c>
      <c r="H257" s="8" t="s">
        <v>14</v>
      </c>
      <c r="I257" s="11">
        <v>30</v>
      </c>
      <c r="J257" s="8" t="s">
        <v>14</v>
      </c>
      <c r="K257" s="11">
        <v>20</v>
      </c>
      <c r="L257" s="11">
        <v>3</v>
      </c>
      <c r="M257" s="11">
        <v>62</v>
      </c>
      <c r="N257" s="167">
        <f>IF(Tabela1[[#This Row],[Subscriber ID]]&lt;&gt;"", 1, 0) +
IF(Tabela1[[#This Row],[EA Play Season Pass]]="Yes", 1, 0) +
IF(Tabela1[[#This Row],[Minecraft Season Pass]]="Yes", 1, 0)</f>
        <v>3</v>
      </c>
    </row>
    <row r="258" spans="1:14" ht="16.5" customHeight="1">
      <c r="A258" s="35">
        <v>3483</v>
      </c>
      <c r="B258" s="8" t="s">
        <v>265</v>
      </c>
      <c r="C258" s="8" t="s">
        <v>21</v>
      </c>
      <c r="D258" s="10">
        <v>45600</v>
      </c>
      <c r="E258" s="8" t="s">
        <v>18</v>
      </c>
      <c r="F258" s="11">
        <v>10</v>
      </c>
      <c r="G258" s="8" t="s">
        <v>15</v>
      </c>
      <c r="H258" s="8" t="s">
        <v>18</v>
      </c>
      <c r="I258" s="11" t="s">
        <v>306</v>
      </c>
      <c r="J258" s="8" t="s">
        <v>14</v>
      </c>
      <c r="K258" s="11">
        <v>20</v>
      </c>
      <c r="L258" s="11">
        <v>10</v>
      </c>
      <c r="M258" s="11">
        <v>20</v>
      </c>
      <c r="N258" s="167">
        <f>IF(Tabela1[[#This Row],[Subscriber ID]]&lt;&gt;"", 1, 0) +
IF(Tabela1[[#This Row],[EA Play Season Pass]]="Yes", 1, 0) +
IF(Tabela1[[#This Row],[Minecraft Season Pass]]="Yes", 1, 0)</f>
        <v>2</v>
      </c>
    </row>
    <row r="259" spans="1:14" ht="16.5" customHeight="1">
      <c r="A259" s="35">
        <v>3484</v>
      </c>
      <c r="B259" s="8" t="s">
        <v>266</v>
      </c>
      <c r="C259" s="8" t="s">
        <v>17</v>
      </c>
      <c r="D259" s="10">
        <v>45601</v>
      </c>
      <c r="E259" s="8" t="s">
        <v>14</v>
      </c>
      <c r="F259" s="11">
        <v>5</v>
      </c>
      <c r="G259" s="8" t="s">
        <v>22</v>
      </c>
      <c r="H259" s="8" t="s">
        <v>18</v>
      </c>
      <c r="I259" s="11" t="s">
        <v>306</v>
      </c>
      <c r="J259" s="8" t="s">
        <v>18</v>
      </c>
      <c r="K259" s="11">
        <v>0</v>
      </c>
      <c r="L259" s="11">
        <v>0</v>
      </c>
      <c r="M259" s="11">
        <v>5</v>
      </c>
      <c r="N259" s="167">
        <f>IF(Tabela1[[#This Row],[Subscriber ID]]&lt;&gt;"", 1, 0) +
IF(Tabela1[[#This Row],[EA Play Season Pass]]="Yes", 1, 0) +
IF(Tabela1[[#This Row],[Minecraft Season Pass]]="Yes", 1, 0)</f>
        <v>1</v>
      </c>
    </row>
    <row r="260" spans="1:14" ht="16.5" customHeight="1">
      <c r="A260" s="35">
        <v>3485</v>
      </c>
      <c r="B260" s="8" t="s">
        <v>267</v>
      </c>
      <c r="C260" s="8" t="s">
        <v>13</v>
      </c>
      <c r="D260" s="10">
        <v>45602</v>
      </c>
      <c r="E260" s="8" t="s">
        <v>18</v>
      </c>
      <c r="F260" s="11">
        <v>15</v>
      </c>
      <c r="G260" s="8" t="s">
        <v>15</v>
      </c>
      <c r="H260" s="8" t="s">
        <v>14</v>
      </c>
      <c r="I260" s="11">
        <v>30</v>
      </c>
      <c r="J260" s="8" t="s">
        <v>14</v>
      </c>
      <c r="K260" s="11">
        <v>20</v>
      </c>
      <c r="L260" s="11">
        <v>15</v>
      </c>
      <c r="M260" s="11">
        <v>50</v>
      </c>
      <c r="N260" s="167">
        <f>IF(Tabela1[[#This Row],[Subscriber ID]]&lt;&gt;"", 1, 0) +
IF(Tabela1[[#This Row],[EA Play Season Pass]]="Yes", 1, 0) +
IF(Tabela1[[#This Row],[Minecraft Season Pass]]="Yes", 1, 0)</f>
        <v>3</v>
      </c>
    </row>
    <row r="261" spans="1:14" ht="16.5" customHeight="1">
      <c r="A261" s="35">
        <v>3486</v>
      </c>
      <c r="B261" s="8" t="s">
        <v>268</v>
      </c>
      <c r="C261" s="8" t="s">
        <v>17</v>
      </c>
      <c r="D261" s="10">
        <v>45603</v>
      </c>
      <c r="E261" s="8" t="s">
        <v>14</v>
      </c>
      <c r="F261" s="11">
        <v>5</v>
      </c>
      <c r="G261" s="8" t="s">
        <v>15</v>
      </c>
      <c r="H261" s="8" t="s">
        <v>18</v>
      </c>
      <c r="I261" s="11" t="s">
        <v>306</v>
      </c>
      <c r="J261" s="8" t="s">
        <v>18</v>
      </c>
      <c r="K261" s="11">
        <v>0</v>
      </c>
      <c r="L261" s="11">
        <v>0</v>
      </c>
      <c r="M261" s="11">
        <v>5</v>
      </c>
      <c r="N261" s="167">
        <f>IF(Tabela1[[#This Row],[Subscriber ID]]&lt;&gt;"", 1, 0) +
IF(Tabela1[[#This Row],[EA Play Season Pass]]="Yes", 1, 0) +
IF(Tabela1[[#This Row],[Minecraft Season Pass]]="Yes", 1, 0)</f>
        <v>1</v>
      </c>
    </row>
    <row r="262" spans="1:14" ht="16.5" customHeight="1">
      <c r="A262" s="35">
        <v>3487</v>
      </c>
      <c r="B262" s="8" t="s">
        <v>269</v>
      </c>
      <c r="C262" s="8" t="s">
        <v>13</v>
      </c>
      <c r="D262" s="10">
        <v>45604</v>
      </c>
      <c r="E262" s="8" t="s">
        <v>18</v>
      </c>
      <c r="F262" s="11">
        <v>15</v>
      </c>
      <c r="G262" s="8" t="s">
        <v>22</v>
      </c>
      <c r="H262" s="8" t="s">
        <v>14</v>
      </c>
      <c r="I262" s="11">
        <v>30</v>
      </c>
      <c r="J262" s="8" t="s">
        <v>14</v>
      </c>
      <c r="K262" s="11">
        <v>20</v>
      </c>
      <c r="L262" s="11">
        <v>7</v>
      </c>
      <c r="M262" s="11">
        <v>58</v>
      </c>
      <c r="N262" s="167">
        <f>IF(Tabela1[[#This Row],[Subscriber ID]]&lt;&gt;"", 1, 0) +
IF(Tabela1[[#This Row],[EA Play Season Pass]]="Yes", 1, 0) +
IF(Tabela1[[#This Row],[Minecraft Season Pass]]="Yes", 1, 0)</f>
        <v>3</v>
      </c>
    </row>
    <row r="263" spans="1:14" ht="16.5" customHeight="1">
      <c r="A263" s="35">
        <v>3488</v>
      </c>
      <c r="B263" s="8" t="s">
        <v>270</v>
      </c>
      <c r="C263" s="8" t="s">
        <v>21</v>
      </c>
      <c r="D263" s="10">
        <v>45605</v>
      </c>
      <c r="E263" s="8" t="s">
        <v>14</v>
      </c>
      <c r="F263" s="11">
        <v>10</v>
      </c>
      <c r="G263" s="8" t="s">
        <v>19</v>
      </c>
      <c r="H263" s="8" t="s">
        <v>18</v>
      </c>
      <c r="I263" s="11" t="s">
        <v>306</v>
      </c>
      <c r="J263" s="8" t="s">
        <v>14</v>
      </c>
      <c r="K263" s="11">
        <v>20</v>
      </c>
      <c r="L263" s="11">
        <v>10</v>
      </c>
      <c r="M263" s="11">
        <v>20</v>
      </c>
      <c r="N263" s="167">
        <f>IF(Tabela1[[#This Row],[Subscriber ID]]&lt;&gt;"", 1, 0) +
IF(Tabela1[[#This Row],[EA Play Season Pass]]="Yes", 1, 0) +
IF(Tabela1[[#This Row],[Minecraft Season Pass]]="Yes", 1, 0)</f>
        <v>2</v>
      </c>
    </row>
    <row r="264" spans="1:14" ht="16.5" customHeight="1">
      <c r="A264" s="35">
        <v>3489</v>
      </c>
      <c r="B264" s="8" t="s">
        <v>271</v>
      </c>
      <c r="C264" s="8" t="s">
        <v>17</v>
      </c>
      <c r="D264" s="10">
        <v>45606</v>
      </c>
      <c r="E264" s="8" t="s">
        <v>18</v>
      </c>
      <c r="F264" s="11">
        <v>5</v>
      </c>
      <c r="G264" s="8" t="s">
        <v>22</v>
      </c>
      <c r="H264" s="8" t="s">
        <v>18</v>
      </c>
      <c r="I264" s="11" t="s">
        <v>306</v>
      </c>
      <c r="J264" s="8" t="s">
        <v>18</v>
      </c>
      <c r="K264" s="11">
        <v>0</v>
      </c>
      <c r="L264" s="11">
        <v>1</v>
      </c>
      <c r="M264" s="11">
        <v>4</v>
      </c>
      <c r="N264" s="167">
        <f>IF(Tabela1[[#This Row],[Subscriber ID]]&lt;&gt;"", 1, 0) +
IF(Tabela1[[#This Row],[EA Play Season Pass]]="Yes", 1, 0) +
IF(Tabela1[[#This Row],[Minecraft Season Pass]]="Yes", 1, 0)</f>
        <v>1</v>
      </c>
    </row>
    <row r="265" spans="1:14" ht="16.5" customHeight="1">
      <c r="A265" s="35">
        <v>3490</v>
      </c>
      <c r="B265" s="8" t="s">
        <v>272</v>
      </c>
      <c r="C265" s="8" t="s">
        <v>13</v>
      </c>
      <c r="D265" s="10">
        <v>45607</v>
      </c>
      <c r="E265" s="8" t="s">
        <v>14</v>
      </c>
      <c r="F265" s="11">
        <v>15</v>
      </c>
      <c r="G265" s="8" t="s">
        <v>15</v>
      </c>
      <c r="H265" s="8" t="s">
        <v>14</v>
      </c>
      <c r="I265" s="11">
        <v>30</v>
      </c>
      <c r="J265" s="8" t="s">
        <v>14</v>
      </c>
      <c r="K265" s="11">
        <v>20</v>
      </c>
      <c r="L265" s="11">
        <v>15</v>
      </c>
      <c r="M265" s="11">
        <v>50</v>
      </c>
      <c r="N265" s="167">
        <f>IF(Tabela1[[#This Row],[Subscriber ID]]&lt;&gt;"", 1, 0) +
IF(Tabela1[[#This Row],[EA Play Season Pass]]="Yes", 1, 0) +
IF(Tabela1[[#This Row],[Minecraft Season Pass]]="Yes", 1, 0)</f>
        <v>3</v>
      </c>
    </row>
    <row r="266" spans="1:14" ht="16.5" customHeight="1">
      <c r="A266" s="35">
        <v>3491</v>
      </c>
      <c r="B266" s="8" t="s">
        <v>273</v>
      </c>
      <c r="C266" s="8" t="s">
        <v>21</v>
      </c>
      <c r="D266" s="10">
        <v>45608</v>
      </c>
      <c r="E266" s="8" t="s">
        <v>18</v>
      </c>
      <c r="F266" s="11">
        <v>10</v>
      </c>
      <c r="G266" s="8" t="s">
        <v>15</v>
      </c>
      <c r="H266" s="8" t="s">
        <v>18</v>
      </c>
      <c r="I266" s="11" t="s">
        <v>306</v>
      </c>
      <c r="J266" s="8" t="s">
        <v>14</v>
      </c>
      <c r="K266" s="11">
        <v>20</v>
      </c>
      <c r="L266" s="11">
        <v>5</v>
      </c>
      <c r="M266" s="11">
        <v>25</v>
      </c>
      <c r="N266" s="167">
        <f>IF(Tabela1[[#This Row],[Subscriber ID]]&lt;&gt;"", 1, 0) +
IF(Tabela1[[#This Row],[EA Play Season Pass]]="Yes", 1, 0) +
IF(Tabela1[[#This Row],[Minecraft Season Pass]]="Yes", 1, 0)</f>
        <v>2</v>
      </c>
    </row>
    <row r="267" spans="1:14" ht="16.5" customHeight="1">
      <c r="A267" s="35">
        <v>3492</v>
      </c>
      <c r="B267" s="8" t="s">
        <v>274</v>
      </c>
      <c r="C267" s="8" t="s">
        <v>17</v>
      </c>
      <c r="D267" s="10">
        <v>45609</v>
      </c>
      <c r="E267" s="8" t="s">
        <v>14</v>
      </c>
      <c r="F267" s="11">
        <v>5</v>
      </c>
      <c r="G267" s="8" t="s">
        <v>19</v>
      </c>
      <c r="H267" s="8" t="s">
        <v>18</v>
      </c>
      <c r="I267" s="11" t="s">
        <v>306</v>
      </c>
      <c r="J267" s="8" t="s">
        <v>18</v>
      </c>
      <c r="K267" s="11">
        <v>0</v>
      </c>
      <c r="L267" s="11">
        <v>0</v>
      </c>
      <c r="M267" s="11">
        <v>5</v>
      </c>
      <c r="N267" s="167">
        <f>IF(Tabela1[[#This Row],[Subscriber ID]]&lt;&gt;"", 1, 0) +
IF(Tabela1[[#This Row],[EA Play Season Pass]]="Yes", 1, 0) +
IF(Tabela1[[#This Row],[Minecraft Season Pass]]="Yes", 1, 0)</f>
        <v>1</v>
      </c>
    </row>
    <row r="268" spans="1:14" ht="16.5" customHeight="1">
      <c r="A268" s="35">
        <v>3493</v>
      </c>
      <c r="B268" s="8" t="s">
        <v>275</v>
      </c>
      <c r="C268" s="8" t="s">
        <v>13</v>
      </c>
      <c r="D268" s="10">
        <v>45610</v>
      </c>
      <c r="E268" s="8" t="s">
        <v>18</v>
      </c>
      <c r="F268" s="11">
        <v>15</v>
      </c>
      <c r="G268" s="8" t="s">
        <v>22</v>
      </c>
      <c r="H268" s="8" t="s">
        <v>14</v>
      </c>
      <c r="I268" s="11">
        <v>30</v>
      </c>
      <c r="J268" s="8" t="s">
        <v>14</v>
      </c>
      <c r="K268" s="11">
        <v>20</v>
      </c>
      <c r="L268" s="11">
        <v>20</v>
      </c>
      <c r="M268" s="11">
        <v>45</v>
      </c>
      <c r="N268" s="167">
        <f>IF(Tabela1[[#This Row],[Subscriber ID]]&lt;&gt;"", 1, 0) +
IF(Tabela1[[#This Row],[EA Play Season Pass]]="Yes", 1, 0) +
IF(Tabela1[[#This Row],[Minecraft Season Pass]]="Yes", 1, 0)</f>
        <v>3</v>
      </c>
    </row>
    <row r="269" spans="1:14" ht="16.5" customHeight="1">
      <c r="A269" s="35">
        <v>3494</v>
      </c>
      <c r="B269" s="8" t="s">
        <v>276</v>
      </c>
      <c r="C269" s="8" t="s">
        <v>21</v>
      </c>
      <c r="D269" s="10">
        <v>45611</v>
      </c>
      <c r="E269" s="8" t="s">
        <v>14</v>
      </c>
      <c r="F269" s="11">
        <v>10</v>
      </c>
      <c r="G269" s="8" t="s">
        <v>22</v>
      </c>
      <c r="H269" s="8" t="s">
        <v>18</v>
      </c>
      <c r="I269" s="11" t="s">
        <v>306</v>
      </c>
      <c r="J269" s="8" t="s">
        <v>14</v>
      </c>
      <c r="K269" s="11">
        <v>20</v>
      </c>
      <c r="L269" s="11">
        <v>12</v>
      </c>
      <c r="M269" s="11">
        <v>18</v>
      </c>
      <c r="N269" s="167">
        <f>IF(Tabela1[[#This Row],[Subscriber ID]]&lt;&gt;"", 1, 0) +
IF(Tabela1[[#This Row],[EA Play Season Pass]]="Yes", 1, 0) +
IF(Tabela1[[#This Row],[Minecraft Season Pass]]="Yes", 1, 0)</f>
        <v>2</v>
      </c>
    </row>
    <row r="270" spans="1:14" ht="16.5" customHeight="1">
      <c r="A270" s="35">
        <v>3495</v>
      </c>
      <c r="B270" s="8" t="s">
        <v>277</v>
      </c>
      <c r="C270" s="8" t="s">
        <v>17</v>
      </c>
      <c r="D270" s="10">
        <v>45612</v>
      </c>
      <c r="E270" s="8" t="s">
        <v>18</v>
      </c>
      <c r="F270" s="11">
        <v>5</v>
      </c>
      <c r="G270" s="8" t="s">
        <v>15</v>
      </c>
      <c r="H270" s="8" t="s">
        <v>18</v>
      </c>
      <c r="I270" s="11" t="s">
        <v>306</v>
      </c>
      <c r="J270" s="8" t="s">
        <v>18</v>
      </c>
      <c r="K270" s="11">
        <v>0</v>
      </c>
      <c r="L270" s="11">
        <v>2</v>
      </c>
      <c r="M270" s="11">
        <v>3</v>
      </c>
      <c r="N270" s="167">
        <f>IF(Tabela1[[#This Row],[Subscriber ID]]&lt;&gt;"", 1, 0) +
IF(Tabela1[[#This Row],[EA Play Season Pass]]="Yes", 1, 0) +
IF(Tabela1[[#This Row],[Minecraft Season Pass]]="Yes", 1, 0)</f>
        <v>1</v>
      </c>
    </row>
    <row r="271" spans="1:14" ht="16.5" customHeight="1">
      <c r="A271" s="35">
        <v>3496</v>
      </c>
      <c r="B271" s="8" t="s">
        <v>278</v>
      </c>
      <c r="C271" s="8" t="s">
        <v>13</v>
      </c>
      <c r="D271" s="10">
        <v>45613</v>
      </c>
      <c r="E271" s="8" t="s">
        <v>14</v>
      </c>
      <c r="F271" s="11">
        <v>15</v>
      </c>
      <c r="G271" s="8" t="s">
        <v>19</v>
      </c>
      <c r="H271" s="8" t="s">
        <v>14</v>
      </c>
      <c r="I271" s="11">
        <v>30</v>
      </c>
      <c r="J271" s="8" t="s">
        <v>14</v>
      </c>
      <c r="K271" s="11">
        <v>20</v>
      </c>
      <c r="L271" s="11">
        <v>5</v>
      </c>
      <c r="M271" s="11">
        <v>60</v>
      </c>
      <c r="N271" s="167">
        <f>IF(Tabela1[[#This Row],[Subscriber ID]]&lt;&gt;"", 1, 0) +
IF(Tabela1[[#This Row],[EA Play Season Pass]]="Yes", 1, 0) +
IF(Tabela1[[#This Row],[Minecraft Season Pass]]="Yes", 1, 0)</f>
        <v>3</v>
      </c>
    </row>
    <row r="272" spans="1:14" ht="16.5" customHeight="1">
      <c r="A272" s="35">
        <v>3497</v>
      </c>
      <c r="B272" s="8" t="s">
        <v>279</v>
      </c>
      <c r="C272" s="8" t="s">
        <v>21</v>
      </c>
      <c r="D272" s="10">
        <v>45614</v>
      </c>
      <c r="E272" s="8" t="s">
        <v>18</v>
      </c>
      <c r="F272" s="11">
        <v>10</v>
      </c>
      <c r="G272" s="8" t="s">
        <v>15</v>
      </c>
      <c r="H272" s="8" t="s">
        <v>18</v>
      </c>
      <c r="I272" s="11" t="s">
        <v>306</v>
      </c>
      <c r="J272" s="8" t="s">
        <v>14</v>
      </c>
      <c r="K272" s="11">
        <v>20</v>
      </c>
      <c r="L272" s="11">
        <v>10</v>
      </c>
      <c r="M272" s="11">
        <v>20</v>
      </c>
      <c r="N272" s="167">
        <f>IF(Tabela1[[#This Row],[Subscriber ID]]&lt;&gt;"", 1, 0) +
IF(Tabela1[[#This Row],[EA Play Season Pass]]="Yes", 1, 0) +
IF(Tabela1[[#This Row],[Minecraft Season Pass]]="Yes", 1, 0)</f>
        <v>2</v>
      </c>
    </row>
    <row r="273" spans="1:14" ht="16.5" customHeight="1">
      <c r="A273" s="35">
        <v>3498</v>
      </c>
      <c r="B273" s="8" t="s">
        <v>280</v>
      </c>
      <c r="C273" s="8" t="s">
        <v>17</v>
      </c>
      <c r="D273" s="10">
        <v>45615</v>
      </c>
      <c r="E273" s="8" t="s">
        <v>14</v>
      </c>
      <c r="F273" s="11">
        <v>5</v>
      </c>
      <c r="G273" s="8" t="s">
        <v>22</v>
      </c>
      <c r="H273" s="8" t="s">
        <v>18</v>
      </c>
      <c r="I273" s="11" t="s">
        <v>306</v>
      </c>
      <c r="J273" s="8" t="s">
        <v>18</v>
      </c>
      <c r="K273" s="11">
        <v>0</v>
      </c>
      <c r="L273" s="11">
        <v>0</v>
      </c>
      <c r="M273" s="11">
        <v>5</v>
      </c>
      <c r="N273" s="167">
        <f>IF(Tabela1[[#This Row],[Subscriber ID]]&lt;&gt;"", 1, 0) +
IF(Tabela1[[#This Row],[EA Play Season Pass]]="Yes", 1, 0) +
IF(Tabela1[[#This Row],[Minecraft Season Pass]]="Yes", 1, 0)</f>
        <v>1</v>
      </c>
    </row>
    <row r="274" spans="1:14" ht="16.5" customHeight="1">
      <c r="A274" s="35">
        <v>3499</v>
      </c>
      <c r="B274" s="8" t="s">
        <v>281</v>
      </c>
      <c r="C274" s="8" t="s">
        <v>13</v>
      </c>
      <c r="D274" s="10">
        <v>45616</v>
      </c>
      <c r="E274" s="8" t="s">
        <v>18</v>
      </c>
      <c r="F274" s="11">
        <v>15</v>
      </c>
      <c r="G274" s="8" t="s">
        <v>15</v>
      </c>
      <c r="H274" s="8" t="s">
        <v>14</v>
      </c>
      <c r="I274" s="11">
        <v>30</v>
      </c>
      <c r="J274" s="8" t="s">
        <v>14</v>
      </c>
      <c r="K274" s="11">
        <v>20</v>
      </c>
      <c r="L274" s="11">
        <v>3</v>
      </c>
      <c r="M274" s="11">
        <v>62</v>
      </c>
      <c r="N274" s="167">
        <f>IF(Tabela1[[#This Row],[Subscriber ID]]&lt;&gt;"", 1, 0) +
IF(Tabela1[[#This Row],[EA Play Season Pass]]="Yes", 1, 0) +
IF(Tabela1[[#This Row],[Minecraft Season Pass]]="Yes", 1, 0)</f>
        <v>3</v>
      </c>
    </row>
    <row r="275" spans="1:14" ht="16.5" customHeight="1">
      <c r="A275" s="35">
        <v>3500</v>
      </c>
      <c r="B275" s="8" t="s">
        <v>282</v>
      </c>
      <c r="C275" s="8" t="s">
        <v>21</v>
      </c>
      <c r="D275" s="10">
        <v>45617</v>
      </c>
      <c r="E275" s="8" t="s">
        <v>14</v>
      </c>
      <c r="F275" s="11">
        <v>10</v>
      </c>
      <c r="G275" s="8" t="s">
        <v>19</v>
      </c>
      <c r="H275" s="8" t="s">
        <v>18</v>
      </c>
      <c r="I275" s="11" t="s">
        <v>306</v>
      </c>
      <c r="J275" s="8" t="s">
        <v>14</v>
      </c>
      <c r="K275" s="11">
        <v>20</v>
      </c>
      <c r="L275" s="11">
        <v>15</v>
      </c>
      <c r="M275" s="11">
        <v>15</v>
      </c>
      <c r="N275" s="167">
        <f>IF(Tabela1[[#This Row],[Subscriber ID]]&lt;&gt;"", 1, 0) +
IF(Tabela1[[#This Row],[EA Play Season Pass]]="Yes", 1, 0) +
IF(Tabela1[[#This Row],[Minecraft Season Pass]]="Yes", 1, 0)</f>
        <v>2</v>
      </c>
    </row>
    <row r="276" spans="1:14" ht="16.5" customHeight="1">
      <c r="A276" s="35">
        <v>3501</v>
      </c>
      <c r="B276" s="8" t="s">
        <v>283</v>
      </c>
      <c r="C276" s="8" t="s">
        <v>17</v>
      </c>
      <c r="D276" s="10">
        <v>45618</v>
      </c>
      <c r="E276" s="8" t="s">
        <v>18</v>
      </c>
      <c r="F276" s="11">
        <v>5</v>
      </c>
      <c r="G276" s="8" t="s">
        <v>15</v>
      </c>
      <c r="H276" s="8" t="s">
        <v>18</v>
      </c>
      <c r="I276" s="11" t="s">
        <v>306</v>
      </c>
      <c r="J276" s="8" t="s">
        <v>18</v>
      </c>
      <c r="K276" s="11">
        <v>0</v>
      </c>
      <c r="L276" s="11">
        <v>1</v>
      </c>
      <c r="M276" s="11">
        <v>4</v>
      </c>
      <c r="N276" s="167">
        <f>IF(Tabela1[[#This Row],[Subscriber ID]]&lt;&gt;"", 1, 0) +
IF(Tabela1[[#This Row],[EA Play Season Pass]]="Yes", 1, 0) +
IF(Tabela1[[#This Row],[Minecraft Season Pass]]="Yes", 1, 0)</f>
        <v>1</v>
      </c>
    </row>
    <row r="277" spans="1:14" ht="16.5" customHeight="1">
      <c r="A277" s="35">
        <v>3502</v>
      </c>
      <c r="B277" s="8" t="s">
        <v>284</v>
      </c>
      <c r="C277" s="8" t="s">
        <v>13</v>
      </c>
      <c r="D277" s="10">
        <v>45619</v>
      </c>
      <c r="E277" s="8" t="s">
        <v>14</v>
      </c>
      <c r="F277" s="11">
        <v>15</v>
      </c>
      <c r="G277" s="8" t="s">
        <v>22</v>
      </c>
      <c r="H277" s="8" t="s">
        <v>14</v>
      </c>
      <c r="I277" s="11">
        <v>30</v>
      </c>
      <c r="J277" s="8" t="s">
        <v>14</v>
      </c>
      <c r="K277" s="11">
        <v>20</v>
      </c>
      <c r="L277" s="11">
        <v>7</v>
      </c>
      <c r="M277" s="11">
        <v>58</v>
      </c>
      <c r="N277" s="167">
        <f>IF(Tabela1[[#This Row],[Subscriber ID]]&lt;&gt;"", 1, 0) +
IF(Tabela1[[#This Row],[EA Play Season Pass]]="Yes", 1, 0) +
IF(Tabela1[[#This Row],[Minecraft Season Pass]]="Yes", 1, 0)</f>
        <v>3</v>
      </c>
    </row>
    <row r="278" spans="1:14" ht="16.5" customHeight="1">
      <c r="A278" s="35">
        <v>3504</v>
      </c>
      <c r="B278" s="8" t="s">
        <v>285</v>
      </c>
      <c r="C278" s="8" t="s">
        <v>17</v>
      </c>
      <c r="D278" s="10">
        <v>45621</v>
      </c>
      <c r="E278" s="8" t="s">
        <v>14</v>
      </c>
      <c r="F278" s="11">
        <v>5</v>
      </c>
      <c r="G278" s="8" t="s">
        <v>19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0</v>
      </c>
      <c r="M278" s="11">
        <v>5</v>
      </c>
      <c r="N278" s="167">
        <f>IF(Tabela1[[#This Row],[Subscriber ID]]&lt;&gt;"", 1, 0) +
IF(Tabela1[[#This Row],[EA Play Season Pass]]="Yes", 1, 0) +
IF(Tabela1[[#This Row],[Minecraft Season Pass]]="Yes", 1, 0)</f>
        <v>1</v>
      </c>
    </row>
    <row r="279" spans="1:14" ht="16.5" customHeight="1">
      <c r="A279" s="35">
        <v>3505</v>
      </c>
      <c r="B279" s="8" t="s">
        <v>286</v>
      </c>
      <c r="C279" s="8" t="s">
        <v>13</v>
      </c>
      <c r="D279" s="10">
        <v>45622</v>
      </c>
      <c r="E279" s="8" t="s">
        <v>18</v>
      </c>
      <c r="F279" s="11">
        <v>15</v>
      </c>
      <c r="G279" s="8" t="s">
        <v>15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20</v>
      </c>
      <c r="M279" s="11">
        <v>45</v>
      </c>
      <c r="N279" s="167">
        <f>IF(Tabela1[[#This Row],[Subscriber ID]]&lt;&gt;"", 1, 0) +
IF(Tabela1[[#This Row],[EA Play Season Pass]]="Yes", 1, 0) +
IF(Tabela1[[#This Row],[Minecraft Season Pass]]="Yes", 1, 0)</f>
        <v>3</v>
      </c>
    </row>
    <row r="280" spans="1:14" ht="16.5" customHeight="1">
      <c r="A280" s="35">
        <v>3506</v>
      </c>
      <c r="B280" s="8" t="s">
        <v>287</v>
      </c>
      <c r="C280" s="8" t="s">
        <v>21</v>
      </c>
      <c r="D280" s="10">
        <v>45623</v>
      </c>
      <c r="E280" s="8" t="s">
        <v>14</v>
      </c>
      <c r="F280" s="11">
        <v>10</v>
      </c>
      <c r="G280" s="8" t="s">
        <v>22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15</v>
      </c>
      <c r="M280" s="11">
        <v>15</v>
      </c>
      <c r="N280" s="167">
        <f>IF(Tabela1[[#This Row],[Subscriber ID]]&lt;&gt;"", 1, 0) +
IF(Tabela1[[#This Row],[EA Play Season Pass]]="Yes", 1, 0) +
IF(Tabela1[[#This Row],[Minecraft Season Pass]]="Yes", 1, 0)</f>
        <v>2</v>
      </c>
    </row>
    <row r="281" spans="1:14" ht="16.5" customHeight="1">
      <c r="A281" s="35">
        <v>3507</v>
      </c>
      <c r="B281" s="8" t="s">
        <v>288</v>
      </c>
      <c r="C281" s="8" t="s">
        <v>17</v>
      </c>
      <c r="D281" s="10">
        <v>45624</v>
      </c>
      <c r="E281" s="8" t="s">
        <v>18</v>
      </c>
      <c r="F281" s="11">
        <v>5</v>
      </c>
      <c r="G281" s="8" t="s">
        <v>15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1</v>
      </c>
      <c r="M281" s="11">
        <v>4</v>
      </c>
      <c r="N281" s="167">
        <f>IF(Tabela1[[#This Row],[Subscriber ID]]&lt;&gt;"", 1, 0) +
IF(Tabela1[[#This Row],[EA Play Season Pass]]="Yes", 1, 0) +
IF(Tabela1[[#This Row],[Minecraft Season Pass]]="Yes", 1, 0)</f>
        <v>1</v>
      </c>
    </row>
    <row r="282" spans="1:14" ht="16.5" customHeight="1">
      <c r="A282" s="35">
        <v>3508</v>
      </c>
      <c r="B282" s="8" t="s">
        <v>289</v>
      </c>
      <c r="C282" s="8" t="s">
        <v>13</v>
      </c>
      <c r="D282" s="10">
        <v>45625</v>
      </c>
      <c r="E282" s="8" t="s">
        <v>14</v>
      </c>
      <c r="F282" s="11">
        <v>15</v>
      </c>
      <c r="G282" s="8" t="s">
        <v>19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3</v>
      </c>
      <c r="M282" s="11">
        <v>62</v>
      </c>
      <c r="N282" s="167">
        <f>IF(Tabela1[[#This Row],[Subscriber ID]]&lt;&gt;"", 1, 0) +
IF(Tabela1[[#This Row],[EA Play Season Pass]]="Yes", 1, 0) +
IF(Tabela1[[#This Row],[Minecraft Season Pass]]="Yes", 1, 0)</f>
        <v>3</v>
      </c>
    </row>
    <row r="283" spans="1:14" ht="16.5" customHeight="1">
      <c r="A283" s="35">
        <v>3509</v>
      </c>
      <c r="B283" s="8" t="s">
        <v>290</v>
      </c>
      <c r="C283" s="8" t="s">
        <v>21</v>
      </c>
      <c r="D283" s="10">
        <v>45626</v>
      </c>
      <c r="E283" s="8" t="s">
        <v>18</v>
      </c>
      <c r="F283" s="11">
        <v>10</v>
      </c>
      <c r="G283" s="8" t="s">
        <v>15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10</v>
      </c>
      <c r="M283" s="11">
        <v>20</v>
      </c>
      <c r="N283" s="167">
        <f>IF(Tabela1[[#This Row],[Subscriber ID]]&lt;&gt;"", 1, 0) +
IF(Tabela1[[#This Row],[EA Play Season Pass]]="Yes", 1, 0) +
IF(Tabela1[[#This Row],[Minecraft Season Pass]]="Yes", 1, 0)</f>
        <v>2</v>
      </c>
    </row>
    <row r="284" spans="1:14" ht="16.5" customHeight="1">
      <c r="A284" s="35">
        <v>3510</v>
      </c>
      <c r="B284" s="8" t="s">
        <v>291</v>
      </c>
      <c r="C284" s="8" t="s">
        <v>17</v>
      </c>
      <c r="D284" s="10">
        <v>45627</v>
      </c>
      <c r="E284" s="8" t="s">
        <v>14</v>
      </c>
      <c r="F284" s="11">
        <v>5</v>
      </c>
      <c r="G284" s="8" t="s">
        <v>22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0</v>
      </c>
      <c r="M284" s="11">
        <v>5</v>
      </c>
      <c r="N284" s="167">
        <f>IF(Tabela1[[#This Row],[Subscriber ID]]&lt;&gt;"", 1, 0) +
IF(Tabela1[[#This Row],[EA Play Season Pass]]="Yes", 1, 0) +
IF(Tabela1[[#This Row],[Minecraft Season Pass]]="Yes", 1, 0)</f>
        <v>1</v>
      </c>
    </row>
    <row r="285" spans="1:14" ht="16.5" customHeight="1">
      <c r="A285" s="35">
        <v>3511</v>
      </c>
      <c r="B285" s="8" t="s">
        <v>292</v>
      </c>
      <c r="C285" s="8" t="s">
        <v>13</v>
      </c>
      <c r="D285" s="10">
        <v>45628</v>
      </c>
      <c r="E285" s="8" t="s">
        <v>18</v>
      </c>
      <c r="F285" s="11">
        <v>15</v>
      </c>
      <c r="G285" s="8" t="s">
        <v>15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15</v>
      </c>
      <c r="M285" s="11">
        <v>50</v>
      </c>
      <c r="N285" s="167">
        <f>IF(Tabela1[[#This Row],[Subscriber ID]]&lt;&gt;"", 1, 0) +
IF(Tabela1[[#This Row],[EA Play Season Pass]]="Yes", 1, 0) +
IF(Tabela1[[#This Row],[Minecraft Season Pass]]="Yes", 1, 0)</f>
        <v>3</v>
      </c>
    </row>
    <row r="286" spans="1:14" ht="16.5" customHeight="1">
      <c r="A286" s="35">
        <v>3512</v>
      </c>
      <c r="B286" s="8" t="s">
        <v>293</v>
      </c>
      <c r="C286" s="8" t="s">
        <v>21</v>
      </c>
      <c r="D286" s="10">
        <v>45629</v>
      </c>
      <c r="E286" s="8" t="s">
        <v>14</v>
      </c>
      <c r="F286" s="11">
        <v>10</v>
      </c>
      <c r="G286" s="8" t="s">
        <v>19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15</v>
      </c>
      <c r="M286" s="11">
        <v>15</v>
      </c>
      <c r="N286" s="167">
        <f>IF(Tabela1[[#This Row],[Subscriber ID]]&lt;&gt;"", 1, 0) +
IF(Tabela1[[#This Row],[EA Play Season Pass]]="Yes", 1, 0) +
IF(Tabela1[[#This Row],[Minecraft Season Pass]]="Yes", 1, 0)</f>
        <v>2</v>
      </c>
    </row>
    <row r="287" spans="1:14" ht="16.5" customHeight="1">
      <c r="A287" s="35">
        <v>3513</v>
      </c>
      <c r="B287" s="8" t="s">
        <v>294</v>
      </c>
      <c r="C287" s="8" t="s">
        <v>17</v>
      </c>
      <c r="D287" s="10">
        <v>45630</v>
      </c>
      <c r="E287" s="8" t="s">
        <v>18</v>
      </c>
      <c r="F287" s="11">
        <v>5</v>
      </c>
      <c r="G287" s="8" t="s">
        <v>15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1</v>
      </c>
      <c r="M287" s="11">
        <v>4</v>
      </c>
      <c r="N287" s="167">
        <f>IF(Tabela1[[#This Row],[Subscriber ID]]&lt;&gt;"", 1, 0) +
IF(Tabela1[[#This Row],[EA Play Season Pass]]="Yes", 1, 0) +
IF(Tabela1[[#This Row],[Minecraft Season Pass]]="Yes", 1, 0)</f>
        <v>1</v>
      </c>
    </row>
    <row r="288" spans="1:14" ht="16.5" customHeight="1">
      <c r="A288" s="35">
        <v>3514</v>
      </c>
      <c r="B288" s="8" t="s">
        <v>295</v>
      </c>
      <c r="C288" s="8" t="s">
        <v>13</v>
      </c>
      <c r="D288" s="10">
        <v>45631</v>
      </c>
      <c r="E288" s="8" t="s">
        <v>14</v>
      </c>
      <c r="F288" s="11">
        <v>15</v>
      </c>
      <c r="G288" s="8" t="s">
        <v>22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7</v>
      </c>
      <c r="M288" s="11">
        <v>58</v>
      </c>
      <c r="N288" s="167">
        <f>IF(Tabela1[[#This Row],[Subscriber ID]]&lt;&gt;"", 1, 0) +
IF(Tabela1[[#This Row],[EA Play Season Pass]]="Yes", 1, 0) +
IF(Tabela1[[#This Row],[Minecraft Season Pass]]="Yes", 1, 0)</f>
        <v>3</v>
      </c>
    </row>
    <row r="289" spans="1:14" ht="16.5" customHeight="1">
      <c r="A289" s="35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  <c r="N289" s="167">
        <f>IF(Tabela1[[#This Row],[Subscriber ID]]&lt;&gt;"", 1, 0) +
IF(Tabela1[[#This Row],[EA Play Season Pass]]="Yes", 1, 0) +
IF(Tabela1[[#This Row],[Minecraft Season Pass]]="Yes", 1, 0)</f>
        <v>2</v>
      </c>
    </row>
    <row r="290" spans="1:14" ht="16.5" customHeight="1">
      <c r="A290" s="35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  <c r="N290" s="167">
        <f>IF(Tabela1[[#This Row],[Subscriber ID]]&lt;&gt;"", 1, 0) +
IF(Tabela1[[#This Row],[EA Play Season Pass]]="Yes", 1, 0) +
IF(Tabela1[[#This Row],[Minecraft Season Pass]]="Yes", 1, 0)</f>
        <v>1</v>
      </c>
    </row>
    <row r="291" spans="1:14" ht="16.5" customHeight="1">
      <c r="A291" s="35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  <c r="N291" s="167">
        <f>IF(Tabela1[[#This Row],[Subscriber ID]]&lt;&gt;"", 1, 0) +
IF(Tabela1[[#This Row],[EA Play Season Pass]]="Yes", 1, 0) +
IF(Tabela1[[#This Row],[Minecraft Season Pass]]="Yes", 1, 0)</f>
        <v>3</v>
      </c>
    </row>
    <row r="292" spans="1:14" ht="16.5" customHeight="1">
      <c r="A292" s="35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  <c r="N292" s="167">
        <f>IF(Tabela1[[#This Row],[Subscriber ID]]&lt;&gt;"", 1, 0) +
IF(Tabela1[[#This Row],[EA Play Season Pass]]="Yes", 1, 0) +
IF(Tabela1[[#This Row],[Minecraft Season Pass]]="Yes", 1, 0)</f>
        <v>2</v>
      </c>
    </row>
    <row r="293" spans="1:14" ht="16.5" customHeight="1">
      <c r="A293" s="35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  <c r="N293" s="167">
        <f>IF(Tabela1[[#This Row],[Subscriber ID]]&lt;&gt;"", 1, 0) +
IF(Tabela1[[#This Row],[EA Play Season Pass]]="Yes", 1, 0) +
IF(Tabela1[[#This Row],[Minecraft Season Pass]]="Yes", 1, 0)</f>
        <v>1</v>
      </c>
    </row>
    <row r="294" spans="1:14" ht="16.5" customHeight="1">
      <c r="A294" s="35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  <c r="N294" s="167">
        <f>IF(Tabela1[[#This Row],[Subscriber ID]]&lt;&gt;"", 1, 0) +
IF(Tabela1[[#This Row],[EA Play Season Pass]]="Yes", 1, 0) +
IF(Tabela1[[#This Row],[Minecraft Season Pass]]="Yes", 1, 0)</f>
        <v>3</v>
      </c>
    </row>
    <row r="295" spans="1:14" ht="16.5" customHeight="1">
      <c r="A295" s="35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  <c r="N295" s="167">
        <f>IF(Tabela1[[#This Row],[Subscriber ID]]&lt;&gt;"", 1, 0) +
IF(Tabela1[[#This Row],[EA Play Season Pass]]="Yes", 1, 0) +
IF(Tabela1[[#This Row],[Minecraft Season Pass]]="Yes", 1, 0)</f>
        <v>2</v>
      </c>
    </row>
    <row r="296" spans="1:14" ht="16.5" customHeight="1">
      <c r="A296" s="35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  <c r="N296" s="167">
        <f>IF(Tabela1[[#This Row],[Subscriber ID]]&lt;&gt;"", 1, 0) +
IF(Tabela1[[#This Row],[EA Play Season Pass]]="Yes", 1, 0) +
IF(Tabela1[[#This Row],[Minecraft Season Pass]]="Yes", 1, 0)</f>
        <v>1</v>
      </c>
    </row>
  </sheetData>
  <sheetProtection algorithmName="SHA-512" hashValue="nc6QdQ/YdneyJv+Y8aKzQdcKD/CKI7p9+UllJk/G+exgP9C/SxYJWY03MOWdpqDEUH9WB27l/lhXSfNmGtO7Vg==" saltValue="XHBN8MlRgLs5VckEJQ4MhA==" spinCount="100000" sheet="1" objects="1" scenarios="1" selectLockedCells="1"/>
  <phoneticPr fontId="14" type="noConversion"/>
  <conditionalFormatting sqref="D1:D1048576">
    <cfRule type="duplicateValues" dxfId="68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U803"/>
  <sheetViews>
    <sheetView showGridLines="0" showRowColHeaders="0" topLeftCell="A124" zoomScaleNormal="100" workbookViewId="0">
      <selection activeCell="D16" sqref="D16:G16"/>
    </sheetView>
  </sheetViews>
  <sheetFormatPr defaultRowHeight="14.25"/>
  <cols>
    <col min="1" max="1" width="21.375" bestFit="1" customWidth="1"/>
    <col min="2" max="2" width="19.125" style="38" bestFit="1" customWidth="1"/>
    <col min="3" max="3" width="10.5" style="25" bestFit="1" customWidth="1"/>
    <col min="4" max="4" width="10.75" style="25" bestFit="1" customWidth="1"/>
    <col min="5" max="5" width="28.375" style="25" bestFit="1" customWidth="1"/>
    <col min="6" max="6" width="11.125" style="25" bestFit="1" customWidth="1"/>
    <col min="7" max="7" width="10.75" bestFit="1" customWidth="1"/>
    <col min="8" max="8" width="16.25" bestFit="1" customWidth="1"/>
    <col min="9" max="9" width="10.75" bestFit="1" customWidth="1"/>
    <col min="10" max="11" width="9.5" bestFit="1" customWidth="1"/>
    <col min="12" max="12" width="13.5" customWidth="1"/>
    <col min="13" max="13" width="16.75" customWidth="1"/>
    <col min="14" max="14" width="11.5" bestFit="1" customWidth="1"/>
    <col min="15" max="15" width="14" customWidth="1"/>
    <col min="16" max="16" width="9.75" bestFit="1" customWidth="1"/>
    <col min="17" max="17" width="12.75" bestFit="1" customWidth="1"/>
    <col min="18" max="18" width="3.125" bestFit="1" customWidth="1"/>
    <col min="19" max="19" width="3.75" bestFit="1" customWidth="1"/>
    <col min="20" max="20" width="4" bestFit="1" customWidth="1"/>
    <col min="21" max="21" width="3.875" bestFit="1" customWidth="1"/>
    <col min="22" max="22" width="4.25" bestFit="1" customWidth="1"/>
    <col min="23" max="23" width="14.875" bestFit="1" customWidth="1"/>
    <col min="24" max="24" width="10.5" bestFit="1" customWidth="1"/>
    <col min="25" max="25" width="4.375" bestFit="1" customWidth="1"/>
    <col min="26" max="26" width="3.875" bestFit="1" customWidth="1"/>
    <col min="27" max="27" width="3.75" bestFit="1" customWidth="1"/>
    <col min="28" max="28" width="4.25" bestFit="1" customWidth="1"/>
    <col min="29" max="29" width="3.125" bestFit="1" customWidth="1"/>
    <col min="30" max="30" width="3.75" bestFit="1" customWidth="1"/>
    <col min="31" max="31" width="4" bestFit="1" customWidth="1"/>
    <col min="32" max="32" width="3.875" bestFit="1" customWidth="1"/>
    <col min="33" max="33" width="4.25" bestFit="1" customWidth="1"/>
    <col min="34" max="34" width="3.625" bestFit="1" customWidth="1"/>
    <col min="35" max="35" width="14.875" bestFit="1" customWidth="1"/>
    <col min="36" max="36" width="11.5" bestFit="1" customWidth="1"/>
    <col min="37" max="37" width="4.375" bestFit="1" customWidth="1"/>
    <col min="38" max="38" width="3.875" bestFit="1" customWidth="1"/>
    <col min="39" max="39" width="3.75" bestFit="1" customWidth="1"/>
    <col min="40" max="40" width="4.25" bestFit="1" customWidth="1"/>
    <col min="41" max="41" width="3.125" bestFit="1" customWidth="1"/>
    <col min="42" max="42" width="3.75" bestFit="1" customWidth="1"/>
    <col min="43" max="43" width="4" bestFit="1" customWidth="1"/>
    <col min="44" max="44" width="3.875" bestFit="1" customWidth="1"/>
    <col min="45" max="45" width="4.25" bestFit="1" customWidth="1"/>
    <col min="46" max="46" width="15.875" bestFit="1" customWidth="1"/>
    <col min="47" max="47" width="11.5" bestFit="1" customWidth="1"/>
    <col min="48" max="48" width="4.375" bestFit="1" customWidth="1"/>
    <col min="49" max="49" width="3.875" bestFit="1" customWidth="1"/>
    <col min="50" max="50" width="3.75" bestFit="1" customWidth="1"/>
    <col min="51" max="51" width="4.25" bestFit="1" customWidth="1"/>
    <col min="52" max="52" width="3.125" bestFit="1" customWidth="1"/>
    <col min="53" max="53" width="3.75" bestFit="1" customWidth="1"/>
    <col min="54" max="54" width="4" bestFit="1" customWidth="1"/>
    <col min="55" max="55" width="3.875" bestFit="1" customWidth="1"/>
    <col min="56" max="56" width="4.25" bestFit="1" customWidth="1"/>
    <col min="57" max="57" width="15.875" bestFit="1" customWidth="1"/>
    <col min="58" max="58" width="11.5" bestFit="1" customWidth="1"/>
    <col min="59" max="59" width="4.375" bestFit="1" customWidth="1"/>
    <col min="60" max="60" width="3.875" bestFit="1" customWidth="1"/>
    <col min="61" max="61" width="3.75" bestFit="1" customWidth="1"/>
    <col min="62" max="62" width="4.25" bestFit="1" customWidth="1"/>
    <col min="63" max="63" width="3.125" bestFit="1" customWidth="1"/>
    <col min="64" max="64" width="3.75" bestFit="1" customWidth="1"/>
    <col min="65" max="65" width="4" bestFit="1" customWidth="1"/>
    <col min="66" max="66" width="3.875" bestFit="1" customWidth="1"/>
    <col min="67" max="67" width="4.25" bestFit="1" customWidth="1"/>
    <col min="68" max="68" width="3.875" bestFit="1" customWidth="1"/>
    <col min="69" max="69" width="15.875" bestFit="1" customWidth="1"/>
    <col min="70" max="70" width="11.5" bestFit="1" customWidth="1"/>
    <col min="71" max="71" width="3.75" bestFit="1" customWidth="1"/>
    <col min="72" max="72" width="4.25" bestFit="1" customWidth="1"/>
    <col min="73" max="73" width="3.125" bestFit="1" customWidth="1"/>
    <col min="74" max="74" width="3.75" bestFit="1" customWidth="1"/>
    <col min="75" max="75" width="4" bestFit="1" customWidth="1"/>
    <col min="76" max="76" width="3.875" bestFit="1" customWidth="1"/>
    <col min="77" max="77" width="4.25" bestFit="1" customWidth="1"/>
    <col min="78" max="78" width="15.875" bestFit="1" customWidth="1"/>
    <col min="79" max="79" width="11.5" bestFit="1" customWidth="1"/>
    <col min="80" max="80" width="15.875" bestFit="1" customWidth="1"/>
    <col min="81" max="81" width="11.5" bestFit="1" customWidth="1"/>
    <col min="82" max="82" width="4.375" bestFit="1" customWidth="1"/>
    <col min="83" max="83" width="3.875" bestFit="1" customWidth="1"/>
    <col min="84" max="84" width="3.75" bestFit="1" customWidth="1"/>
    <col min="85" max="85" width="4.25" bestFit="1" customWidth="1"/>
    <col min="86" max="86" width="3.125" bestFit="1" customWidth="1"/>
    <col min="87" max="87" width="3.75" bestFit="1" customWidth="1"/>
    <col min="88" max="88" width="4" bestFit="1" customWidth="1"/>
    <col min="89" max="89" width="3.875" bestFit="1" customWidth="1"/>
    <col min="90" max="90" width="4.25" bestFit="1" customWidth="1"/>
    <col min="91" max="91" width="15.875" bestFit="1" customWidth="1"/>
    <col min="92" max="92" width="11.5" bestFit="1" customWidth="1"/>
    <col min="93" max="93" width="4.375" bestFit="1" customWidth="1"/>
    <col min="94" max="94" width="3.875" bestFit="1" customWidth="1"/>
    <col min="95" max="95" width="3.75" bestFit="1" customWidth="1"/>
    <col min="96" max="96" width="4.25" bestFit="1" customWidth="1"/>
    <col min="97" max="97" width="3.125" bestFit="1" customWidth="1"/>
    <col min="98" max="98" width="3.75" bestFit="1" customWidth="1"/>
    <col min="99" max="99" width="4" bestFit="1" customWidth="1"/>
    <col min="100" max="100" width="3.875" bestFit="1" customWidth="1"/>
    <col min="101" max="101" width="15.875" bestFit="1" customWidth="1"/>
    <col min="102" max="102" width="11.5" bestFit="1" customWidth="1"/>
    <col min="103" max="103" width="15.875" bestFit="1" customWidth="1"/>
    <col min="104" max="104" width="11.5" bestFit="1" customWidth="1"/>
    <col min="105" max="105" width="15.875" bestFit="1" customWidth="1"/>
    <col min="106" max="106" width="11.5" bestFit="1" customWidth="1"/>
    <col min="107" max="107" width="4.375" bestFit="1" customWidth="1"/>
    <col min="108" max="108" width="3.875" bestFit="1" customWidth="1"/>
    <col min="109" max="109" width="3.75" bestFit="1" customWidth="1"/>
    <col min="110" max="110" width="4.25" bestFit="1" customWidth="1"/>
    <col min="111" max="111" width="3.125" bestFit="1" customWidth="1"/>
    <col min="112" max="112" width="3.75" bestFit="1" customWidth="1"/>
    <col min="113" max="113" width="4" bestFit="1" customWidth="1"/>
    <col min="114" max="114" width="3.875" bestFit="1" customWidth="1"/>
    <col min="115" max="115" width="4.25" bestFit="1" customWidth="1"/>
    <col min="116" max="116" width="15.875" bestFit="1" customWidth="1"/>
    <col min="117" max="117" width="11.5" bestFit="1" customWidth="1"/>
    <col min="118" max="118" width="4.375" bestFit="1" customWidth="1"/>
    <col min="119" max="119" width="3.875" bestFit="1" customWidth="1"/>
    <col min="120" max="120" width="3.75" bestFit="1" customWidth="1"/>
    <col min="121" max="121" width="4.25" bestFit="1" customWidth="1"/>
    <col min="122" max="122" width="3.125" bestFit="1" customWidth="1"/>
    <col min="123" max="123" width="3.75" bestFit="1" customWidth="1"/>
    <col min="124" max="124" width="4" bestFit="1" customWidth="1"/>
    <col min="125" max="125" width="3.875" bestFit="1" customWidth="1"/>
    <col min="126" max="126" width="4.25" bestFit="1" customWidth="1"/>
    <col min="127" max="127" width="3.625" bestFit="1" customWidth="1"/>
    <col min="128" max="128" width="15.875" bestFit="1" customWidth="1"/>
    <col min="129" max="129" width="11.5" bestFit="1" customWidth="1"/>
    <col min="130" max="130" width="4.375" bestFit="1" customWidth="1"/>
    <col min="131" max="131" width="3.875" bestFit="1" customWidth="1"/>
    <col min="132" max="132" width="3.75" bestFit="1" customWidth="1"/>
    <col min="133" max="133" width="4.25" bestFit="1" customWidth="1"/>
    <col min="134" max="134" width="3.125" bestFit="1" customWidth="1"/>
    <col min="135" max="135" width="3.75" bestFit="1" customWidth="1"/>
    <col min="136" max="136" width="4" bestFit="1" customWidth="1"/>
    <col min="137" max="137" width="3.875" bestFit="1" customWidth="1"/>
    <col min="138" max="138" width="4.25" bestFit="1" customWidth="1"/>
    <col min="139" max="139" width="3.875" bestFit="1" customWidth="1"/>
    <col min="140" max="140" width="15.875" bestFit="1" customWidth="1"/>
    <col min="141" max="141" width="12.75" bestFit="1" customWidth="1"/>
    <col min="142" max="157" width="5.75" bestFit="1" customWidth="1"/>
    <col min="158" max="188" width="6.875" bestFit="1" customWidth="1"/>
    <col min="189" max="218" width="6.375" bestFit="1" customWidth="1"/>
    <col min="219" max="249" width="6.5" bestFit="1" customWidth="1"/>
    <col min="250" max="279" width="7" bestFit="1" customWidth="1"/>
    <col min="280" max="295" width="6.75" bestFit="1" customWidth="1"/>
    <col min="296" max="296" width="11.5" bestFit="1" customWidth="1"/>
    <col min="297" max="297" width="11.25" bestFit="1" customWidth="1"/>
    <col min="298" max="298" width="32" bestFit="1" customWidth="1"/>
    <col min="299" max="300" width="9.125" bestFit="1" customWidth="1"/>
    <col min="301" max="301" width="10.375" bestFit="1" customWidth="1"/>
    <col min="302" max="303" width="9.125" bestFit="1" customWidth="1"/>
    <col min="304" max="304" width="10.375" bestFit="1" customWidth="1"/>
    <col min="305" max="305" width="9.125" bestFit="1" customWidth="1"/>
    <col min="306" max="306" width="10.375" bestFit="1" customWidth="1"/>
    <col min="307" max="308" width="9.125" bestFit="1" customWidth="1"/>
    <col min="309" max="309" width="10.375" bestFit="1" customWidth="1"/>
    <col min="310" max="311" width="9.125" bestFit="1" customWidth="1"/>
    <col min="312" max="312" width="10.375" bestFit="1" customWidth="1"/>
    <col min="313" max="314" width="9.125" bestFit="1" customWidth="1"/>
    <col min="315" max="315" width="10.375" bestFit="1" customWidth="1"/>
    <col min="316" max="317" width="9.125" bestFit="1" customWidth="1"/>
    <col min="318" max="318" width="10.375" bestFit="1" customWidth="1"/>
    <col min="319" max="320" width="9.125" bestFit="1" customWidth="1"/>
    <col min="321" max="321" width="10.375" bestFit="1" customWidth="1"/>
    <col min="322" max="323" width="9.125" bestFit="1" customWidth="1"/>
    <col min="324" max="324" width="10.375" bestFit="1" customWidth="1"/>
    <col min="325" max="326" width="9.125" bestFit="1" customWidth="1"/>
    <col min="327" max="327" width="10.375" bestFit="1" customWidth="1"/>
    <col min="328" max="329" width="9.125" bestFit="1" customWidth="1"/>
    <col min="330" max="330" width="10.375" bestFit="1" customWidth="1"/>
    <col min="331" max="333" width="9.125" bestFit="1" customWidth="1"/>
    <col min="334" max="334" width="10.375" bestFit="1" customWidth="1"/>
    <col min="335" max="336" width="9.125" bestFit="1" customWidth="1"/>
    <col min="337" max="337" width="10.375" bestFit="1" customWidth="1"/>
    <col min="338" max="339" width="9.125" bestFit="1" customWidth="1"/>
    <col min="340" max="340" width="10.375" bestFit="1" customWidth="1"/>
    <col min="341" max="342" width="9.125" bestFit="1" customWidth="1"/>
    <col min="343" max="343" width="10.375" bestFit="1" customWidth="1"/>
    <col min="344" max="345" width="9.125" bestFit="1" customWidth="1"/>
    <col min="346" max="346" width="10.375" bestFit="1" customWidth="1"/>
    <col min="347" max="348" width="9.125" bestFit="1" customWidth="1"/>
    <col min="349" max="349" width="10.375" bestFit="1" customWidth="1"/>
    <col min="350" max="351" width="9.125" bestFit="1" customWidth="1"/>
    <col min="352" max="352" width="10.375" bestFit="1" customWidth="1"/>
    <col min="353" max="354" width="9.125" bestFit="1" customWidth="1"/>
    <col min="355" max="355" width="10.375" bestFit="1" customWidth="1"/>
    <col min="356" max="357" width="9.125" bestFit="1" customWidth="1"/>
    <col min="358" max="358" width="10.375" bestFit="1" customWidth="1"/>
    <col min="359" max="360" width="9.125" bestFit="1" customWidth="1"/>
    <col min="361" max="361" width="10.375" bestFit="1" customWidth="1"/>
    <col min="362" max="363" width="9.125" bestFit="1" customWidth="1"/>
    <col min="364" max="364" width="10.375" bestFit="1" customWidth="1"/>
    <col min="365" max="366" width="9.125" bestFit="1" customWidth="1"/>
    <col min="367" max="367" width="10.375" bestFit="1" customWidth="1"/>
    <col min="368" max="369" width="9.125" bestFit="1" customWidth="1"/>
    <col min="370" max="370" width="10.375" bestFit="1" customWidth="1"/>
    <col min="371" max="372" width="9.125" bestFit="1" customWidth="1"/>
    <col min="373" max="373" width="10.375" bestFit="1" customWidth="1"/>
    <col min="374" max="375" width="9.125" bestFit="1" customWidth="1"/>
    <col min="376" max="376" width="10.375" bestFit="1" customWidth="1"/>
    <col min="377" max="378" width="9.125" bestFit="1" customWidth="1"/>
    <col min="379" max="379" width="10.375" bestFit="1" customWidth="1"/>
    <col min="380" max="381" width="9.125" bestFit="1" customWidth="1"/>
    <col min="382" max="382" width="10.375" bestFit="1" customWidth="1"/>
    <col min="383" max="384" width="9.125" bestFit="1" customWidth="1"/>
    <col min="385" max="385" width="10.375" bestFit="1" customWidth="1"/>
    <col min="386" max="387" width="9.125" bestFit="1" customWidth="1"/>
    <col min="388" max="388" width="10.375" bestFit="1" customWidth="1"/>
    <col min="389" max="390" width="9.125" bestFit="1" customWidth="1"/>
    <col min="391" max="391" width="10.375" bestFit="1" customWidth="1"/>
    <col min="392" max="393" width="9.125" bestFit="1" customWidth="1"/>
    <col min="394" max="394" width="10.375" bestFit="1" customWidth="1"/>
    <col min="395" max="396" width="9.125" bestFit="1" customWidth="1"/>
    <col min="397" max="397" width="10.375" bestFit="1" customWidth="1"/>
    <col min="398" max="399" width="9.125" bestFit="1" customWidth="1"/>
    <col min="400" max="400" width="10.375" bestFit="1" customWidth="1"/>
    <col min="401" max="403" width="9.125" bestFit="1" customWidth="1"/>
    <col min="404" max="404" width="10.375" bestFit="1" customWidth="1"/>
    <col min="405" max="406" width="9.125" bestFit="1" customWidth="1"/>
    <col min="407" max="407" width="10.375" bestFit="1" customWidth="1"/>
    <col min="408" max="409" width="9.125" bestFit="1" customWidth="1"/>
    <col min="410" max="410" width="10.375" bestFit="1" customWidth="1"/>
    <col min="411" max="412" width="9.125" bestFit="1" customWidth="1"/>
    <col min="413" max="413" width="10.375" bestFit="1" customWidth="1"/>
    <col min="414" max="415" width="9.125" bestFit="1" customWidth="1"/>
    <col min="416" max="416" width="10.375" bestFit="1" customWidth="1"/>
    <col min="417" max="418" width="9.125" bestFit="1" customWidth="1"/>
    <col min="419" max="419" width="10.375" bestFit="1" customWidth="1"/>
    <col min="420" max="421" width="9.125" bestFit="1" customWidth="1"/>
    <col min="422" max="422" width="10.375" bestFit="1" customWidth="1"/>
    <col min="423" max="424" width="9.125" bestFit="1" customWidth="1"/>
    <col min="425" max="425" width="10.375" bestFit="1" customWidth="1"/>
    <col min="426" max="427" width="9.125" bestFit="1" customWidth="1"/>
    <col min="428" max="428" width="10.375" bestFit="1" customWidth="1"/>
    <col min="429" max="430" width="9.125" bestFit="1" customWidth="1"/>
    <col min="431" max="431" width="10.375" bestFit="1" customWidth="1"/>
    <col min="432" max="433" width="9.125" bestFit="1" customWidth="1"/>
    <col min="434" max="434" width="10.375" bestFit="1" customWidth="1"/>
    <col min="435" max="436" width="9.125" bestFit="1" customWidth="1"/>
    <col min="437" max="437" width="10.375" bestFit="1" customWidth="1"/>
    <col min="438" max="439" width="9.125" bestFit="1" customWidth="1"/>
    <col min="440" max="440" width="10.375" bestFit="1" customWidth="1"/>
    <col min="441" max="442" width="9.125" bestFit="1" customWidth="1"/>
    <col min="443" max="443" width="10.375" bestFit="1" customWidth="1"/>
    <col min="444" max="445" width="9.125" bestFit="1" customWidth="1"/>
    <col min="446" max="446" width="10.375" bestFit="1" customWidth="1"/>
    <col min="447" max="448" width="9.125" bestFit="1" customWidth="1"/>
    <col min="449" max="449" width="10.375" bestFit="1" customWidth="1"/>
    <col min="450" max="451" width="9.125" bestFit="1" customWidth="1"/>
    <col min="452" max="452" width="10.375" bestFit="1" customWidth="1"/>
    <col min="453" max="454" width="9.125" bestFit="1" customWidth="1"/>
    <col min="455" max="455" width="10.375" bestFit="1" customWidth="1"/>
    <col min="456" max="457" width="9.125" bestFit="1" customWidth="1"/>
    <col min="458" max="458" width="10.375" bestFit="1" customWidth="1"/>
    <col min="459" max="460" width="9.125" bestFit="1" customWidth="1"/>
    <col min="461" max="461" width="10.375" bestFit="1" customWidth="1"/>
    <col min="462" max="463" width="9.125" bestFit="1" customWidth="1"/>
    <col min="464" max="464" width="10.375" bestFit="1" customWidth="1"/>
    <col min="465" max="466" width="9.125" bestFit="1" customWidth="1"/>
    <col min="467" max="467" width="10.375" bestFit="1" customWidth="1"/>
    <col min="468" max="469" width="9.125" bestFit="1" customWidth="1"/>
    <col min="470" max="470" width="10.375" bestFit="1" customWidth="1"/>
    <col min="471" max="473" width="9.125" bestFit="1" customWidth="1"/>
    <col min="474" max="474" width="10.375" bestFit="1" customWidth="1"/>
    <col min="475" max="476" width="9.125" bestFit="1" customWidth="1"/>
    <col min="477" max="477" width="10.375" bestFit="1" customWidth="1"/>
    <col min="478" max="479" width="9.125" bestFit="1" customWidth="1"/>
    <col min="480" max="480" width="10.375" bestFit="1" customWidth="1"/>
    <col min="481" max="482" width="9.125" bestFit="1" customWidth="1"/>
    <col min="483" max="483" width="10.375" bestFit="1" customWidth="1"/>
    <col min="484" max="485" width="9.125" bestFit="1" customWidth="1"/>
    <col min="486" max="486" width="10.375" bestFit="1" customWidth="1"/>
    <col min="487" max="488" width="9.125" bestFit="1" customWidth="1"/>
    <col min="489" max="489" width="10.375" bestFit="1" customWidth="1"/>
    <col min="490" max="491" width="9.125" bestFit="1" customWidth="1"/>
    <col min="492" max="492" width="10.375" bestFit="1" customWidth="1"/>
    <col min="493" max="494" width="9.125" bestFit="1" customWidth="1"/>
    <col min="495" max="495" width="10.375" bestFit="1" customWidth="1"/>
    <col min="496" max="497" width="9.125" bestFit="1" customWidth="1"/>
    <col min="498" max="498" width="10.375" bestFit="1" customWidth="1"/>
    <col min="499" max="500" width="9.125" bestFit="1" customWidth="1"/>
    <col min="501" max="501" width="10.375" bestFit="1" customWidth="1"/>
    <col min="502" max="503" width="9.125" bestFit="1" customWidth="1"/>
    <col min="504" max="504" width="10.375" bestFit="1" customWidth="1"/>
    <col min="505" max="506" width="9.125" bestFit="1" customWidth="1"/>
    <col min="507" max="507" width="10.375" bestFit="1" customWidth="1"/>
    <col min="508" max="509" width="9.125" bestFit="1" customWidth="1"/>
    <col min="510" max="510" width="10.375" bestFit="1" customWidth="1"/>
    <col min="511" max="512" width="9.125" bestFit="1" customWidth="1"/>
    <col min="513" max="513" width="10.375" bestFit="1" customWidth="1"/>
    <col min="514" max="515" width="9.125" bestFit="1" customWidth="1"/>
    <col min="516" max="516" width="10.375" bestFit="1" customWidth="1"/>
    <col min="517" max="518" width="9.125" bestFit="1" customWidth="1"/>
    <col min="519" max="519" width="10.375" bestFit="1" customWidth="1"/>
    <col min="520" max="521" width="9.125" bestFit="1" customWidth="1"/>
    <col min="522" max="522" width="10.375" bestFit="1" customWidth="1"/>
    <col min="523" max="524" width="9.125" bestFit="1" customWidth="1"/>
    <col min="525" max="525" width="10.375" bestFit="1" customWidth="1"/>
    <col min="526" max="527" width="9.125" bestFit="1" customWidth="1"/>
    <col min="528" max="528" width="10.375" bestFit="1" customWidth="1"/>
    <col min="529" max="530" width="9.125" bestFit="1" customWidth="1"/>
    <col min="531" max="531" width="10.375" bestFit="1" customWidth="1"/>
    <col min="532" max="533" width="9.125" bestFit="1" customWidth="1"/>
    <col min="534" max="534" width="10.375" bestFit="1" customWidth="1"/>
    <col min="535" max="536" width="9.125" bestFit="1" customWidth="1"/>
    <col min="537" max="537" width="10.375" bestFit="1" customWidth="1"/>
    <col min="538" max="539" width="9.125" bestFit="1" customWidth="1"/>
    <col min="540" max="540" width="10.375" bestFit="1" customWidth="1"/>
    <col min="541" max="542" width="9.125" bestFit="1" customWidth="1"/>
    <col min="543" max="543" width="10.375" bestFit="1" customWidth="1"/>
    <col min="544" max="545" width="9.125" bestFit="1" customWidth="1"/>
    <col min="546" max="546" width="10.375" bestFit="1" customWidth="1"/>
    <col min="547" max="548" width="9.125" bestFit="1" customWidth="1"/>
    <col min="549" max="549" width="10.375" bestFit="1" customWidth="1"/>
    <col min="550" max="551" width="9.125" bestFit="1" customWidth="1"/>
    <col min="552" max="552" width="10.375" bestFit="1" customWidth="1"/>
    <col min="553" max="553" width="9.125" bestFit="1" customWidth="1"/>
    <col min="554" max="554" width="10.375" bestFit="1" customWidth="1"/>
    <col min="555" max="556" width="9.125" bestFit="1" customWidth="1"/>
    <col min="557" max="557" width="10.375" bestFit="1" customWidth="1"/>
    <col min="558" max="559" width="9.125" bestFit="1" customWidth="1"/>
    <col min="560" max="560" width="10.375" bestFit="1" customWidth="1"/>
    <col min="561" max="562" width="9.125" bestFit="1" customWidth="1"/>
    <col min="563" max="563" width="10.375" bestFit="1" customWidth="1"/>
    <col min="564" max="565" width="9.125" bestFit="1" customWidth="1"/>
    <col min="566" max="566" width="10.375" bestFit="1" customWidth="1"/>
    <col min="567" max="568" width="9.125" bestFit="1" customWidth="1"/>
    <col min="569" max="569" width="10.375" bestFit="1" customWidth="1"/>
    <col min="570" max="571" width="9.125" bestFit="1" customWidth="1"/>
    <col min="572" max="572" width="10.375" bestFit="1" customWidth="1"/>
    <col min="573" max="574" width="9.125" bestFit="1" customWidth="1"/>
    <col min="575" max="575" width="10.375" bestFit="1" customWidth="1"/>
    <col min="576" max="577" width="9.125" bestFit="1" customWidth="1"/>
    <col min="578" max="578" width="10.375" bestFit="1" customWidth="1"/>
    <col min="579" max="580" width="9.125" bestFit="1" customWidth="1"/>
    <col min="581" max="581" width="10.375" bestFit="1" customWidth="1"/>
    <col min="582" max="583" width="9.125" bestFit="1" customWidth="1"/>
    <col min="584" max="584" width="10.375" bestFit="1" customWidth="1"/>
    <col min="585" max="586" width="9.125" bestFit="1" customWidth="1"/>
    <col min="587" max="587" width="10.375" bestFit="1" customWidth="1"/>
    <col min="588" max="589" width="9.125" bestFit="1" customWidth="1"/>
    <col min="590" max="590" width="10.375" bestFit="1" customWidth="1"/>
    <col min="591" max="592" width="9.125" bestFit="1" customWidth="1"/>
    <col min="593" max="593" width="38.375" bestFit="1" customWidth="1"/>
    <col min="594" max="887" width="6.5" bestFit="1" customWidth="1"/>
    <col min="888" max="888" width="39.5" bestFit="1" customWidth="1"/>
    <col min="889" max="889" width="9.125" bestFit="1" customWidth="1"/>
    <col min="890" max="891" width="10.375" bestFit="1" customWidth="1"/>
    <col min="892" max="892" width="9.125" bestFit="1" customWidth="1"/>
    <col min="893" max="894" width="10.375" bestFit="1" customWidth="1"/>
    <col min="895" max="895" width="9.125" bestFit="1" customWidth="1"/>
    <col min="896" max="897" width="10.375" bestFit="1" customWidth="1"/>
    <col min="898" max="898" width="9.125" bestFit="1" customWidth="1"/>
    <col min="899" max="900" width="10.375" bestFit="1" customWidth="1"/>
    <col min="901" max="901" width="9.125" bestFit="1" customWidth="1"/>
    <col min="902" max="903" width="10.375" bestFit="1" customWidth="1"/>
    <col min="904" max="904" width="9.125" bestFit="1" customWidth="1"/>
    <col min="905" max="906" width="10.375" bestFit="1" customWidth="1"/>
    <col min="907" max="907" width="9.125" bestFit="1" customWidth="1"/>
    <col min="908" max="909" width="10.375" bestFit="1" customWidth="1"/>
    <col min="910" max="910" width="9.125" bestFit="1" customWidth="1"/>
    <col min="911" max="912" width="10.375" bestFit="1" customWidth="1"/>
    <col min="913" max="913" width="9.125" bestFit="1" customWidth="1"/>
    <col min="914" max="915" width="10.375" bestFit="1" customWidth="1"/>
    <col min="916" max="916" width="9.125" bestFit="1" customWidth="1"/>
    <col min="917" max="918" width="10.375" bestFit="1" customWidth="1"/>
    <col min="919" max="919" width="9.125" bestFit="1" customWidth="1"/>
    <col min="920" max="921" width="10.375" bestFit="1" customWidth="1"/>
    <col min="922" max="923" width="9.125" bestFit="1" customWidth="1"/>
    <col min="924" max="925" width="10.375" bestFit="1" customWidth="1"/>
    <col min="926" max="926" width="9.125" bestFit="1" customWidth="1"/>
    <col min="927" max="928" width="10.375" bestFit="1" customWidth="1"/>
    <col min="929" max="929" width="9.125" bestFit="1" customWidth="1"/>
    <col min="930" max="931" width="10.375" bestFit="1" customWidth="1"/>
    <col min="932" max="932" width="9.125" bestFit="1" customWidth="1"/>
    <col min="933" max="934" width="10.375" bestFit="1" customWidth="1"/>
    <col min="935" max="935" width="9.125" bestFit="1" customWidth="1"/>
    <col min="936" max="937" width="10.375" bestFit="1" customWidth="1"/>
    <col min="938" max="938" width="9.125" bestFit="1" customWidth="1"/>
    <col min="939" max="940" width="10.375" bestFit="1" customWidth="1"/>
    <col min="941" max="941" width="9.125" bestFit="1" customWidth="1"/>
    <col min="942" max="943" width="10.375" bestFit="1" customWidth="1"/>
    <col min="944" max="944" width="9.125" bestFit="1" customWidth="1"/>
    <col min="945" max="946" width="10.375" bestFit="1" customWidth="1"/>
    <col min="947" max="947" width="9.125" bestFit="1" customWidth="1"/>
    <col min="948" max="949" width="10.375" bestFit="1" customWidth="1"/>
    <col min="950" max="950" width="9.125" bestFit="1" customWidth="1"/>
    <col min="951" max="952" width="10.375" bestFit="1" customWidth="1"/>
    <col min="953" max="953" width="9.125" bestFit="1" customWidth="1"/>
    <col min="954" max="955" width="10.375" bestFit="1" customWidth="1"/>
    <col min="956" max="956" width="9.125" bestFit="1" customWidth="1"/>
    <col min="957" max="958" width="10.375" bestFit="1" customWidth="1"/>
    <col min="959" max="959" width="9.125" bestFit="1" customWidth="1"/>
    <col min="960" max="961" width="10.375" bestFit="1" customWidth="1"/>
    <col min="962" max="962" width="9.125" bestFit="1" customWidth="1"/>
    <col min="963" max="964" width="10.375" bestFit="1" customWidth="1"/>
    <col min="965" max="965" width="9.125" bestFit="1" customWidth="1"/>
    <col min="966" max="967" width="10.375" bestFit="1" customWidth="1"/>
    <col min="968" max="968" width="9.125" bestFit="1" customWidth="1"/>
    <col min="969" max="970" width="10.375" bestFit="1" customWidth="1"/>
    <col min="971" max="971" width="9.125" bestFit="1" customWidth="1"/>
    <col min="972" max="973" width="10.375" bestFit="1" customWidth="1"/>
    <col min="974" max="974" width="9.125" bestFit="1" customWidth="1"/>
    <col min="975" max="976" width="10.375" bestFit="1" customWidth="1"/>
    <col min="977" max="977" width="9.125" bestFit="1" customWidth="1"/>
    <col min="978" max="979" width="10.375" bestFit="1" customWidth="1"/>
    <col min="980" max="980" width="9.125" bestFit="1" customWidth="1"/>
    <col min="981" max="982" width="10.375" bestFit="1" customWidth="1"/>
    <col min="983" max="983" width="9.125" bestFit="1" customWidth="1"/>
    <col min="984" max="985" width="10.375" bestFit="1" customWidth="1"/>
    <col min="986" max="986" width="9.125" bestFit="1" customWidth="1"/>
    <col min="987" max="988" width="10.375" bestFit="1" customWidth="1"/>
    <col min="989" max="989" width="9.125" bestFit="1" customWidth="1"/>
    <col min="990" max="991" width="10.375" bestFit="1" customWidth="1"/>
    <col min="992" max="993" width="9.125" bestFit="1" customWidth="1"/>
    <col min="994" max="995" width="10.375" bestFit="1" customWidth="1"/>
    <col min="996" max="996" width="9.125" bestFit="1" customWidth="1"/>
    <col min="997" max="998" width="10.375" bestFit="1" customWidth="1"/>
    <col min="999" max="999" width="9.125" bestFit="1" customWidth="1"/>
    <col min="1000" max="1001" width="10.375" bestFit="1" customWidth="1"/>
    <col min="1002" max="1002" width="9.125" bestFit="1" customWidth="1"/>
    <col min="1003" max="1004" width="10.375" bestFit="1" customWidth="1"/>
    <col min="1005" max="1005" width="9.125" bestFit="1" customWidth="1"/>
    <col min="1006" max="1007" width="10.375" bestFit="1" customWidth="1"/>
    <col min="1008" max="1008" width="9.125" bestFit="1" customWidth="1"/>
    <col min="1009" max="1010" width="10.375" bestFit="1" customWidth="1"/>
    <col min="1011" max="1011" width="9.125" bestFit="1" customWidth="1"/>
    <col min="1012" max="1013" width="10.375" bestFit="1" customWidth="1"/>
    <col min="1014" max="1014" width="9.125" bestFit="1" customWidth="1"/>
    <col min="1015" max="1016" width="10.375" bestFit="1" customWidth="1"/>
    <col min="1017" max="1017" width="9.125" bestFit="1" customWidth="1"/>
    <col min="1018" max="1019" width="10.375" bestFit="1" customWidth="1"/>
    <col min="1020" max="1020" width="9.125" bestFit="1" customWidth="1"/>
    <col min="1021" max="1022" width="10.375" bestFit="1" customWidth="1"/>
    <col min="1023" max="1023" width="9.125" bestFit="1" customWidth="1"/>
    <col min="1024" max="1025" width="10.375" bestFit="1" customWidth="1"/>
    <col min="1026" max="1026" width="9.125" bestFit="1" customWidth="1"/>
    <col min="1027" max="1028" width="10.375" bestFit="1" customWidth="1"/>
    <col min="1029" max="1029" width="9.125" bestFit="1" customWidth="1"/>
    <col min="1030" max="1031" width="10.375" bestFit="1" customWidth="1"/>
    <col min="1032" max="1032" width="9.125" bestFit="1" customWidth="1"/>
    <col min="1033" max="1034" width="10.375" bestFit="1" customWidth="1"/>
    <col min="1035" max="1035" width="9.125" bestFit="1" customWidth="1"/>
    <col min="1036" max="1037" width="10.375" bestFit="1" customWidth="1"/>
    <col min="1038" max="1038" width="9.125" bestFit="1" customWidth="1"/>
    <col min="1039" max="1040" width="10.375" bestFit="1" customWidth="1"/>
    <col min="1041" max="1041" width="9.125" bestFit="1" customWidth="1"/>
    <col min="1042" max="1043" width="10.375" bestFit="1" customWidth="1"/>
    <col min="1044" max="1044" width="9.125" bestFit="1" customWidth="1"/>
    <col min="1045" max="1046" width="10.375" bestFit="1" customWidth="1"/>
    <col min="1047" max="1047" width="9.125" bestFit="1" customWidth="1"/>
    <col min="1048" max="1049" width="10.375" bestFit="1" customWidth="1"/>
    <col min="1050" max="1050" width="9.125" bestFit="1" customWidth="1"/>
    <col min="1051" max="1052" width="10.375" bestFit="1" customWidth="1"/>
    <col min="1053" max="1053" width="9.125" bestFit="1" customWidth="1"/>
    <col min="1054" max="1055" width="10.375" bestFit="1" customWidth="1"/>
    <col min="1056" max="1056" width="9.125" bestFit="1" customWidth="1"/>
    <col min="1057" max="1058" width="10.375" bestFit="1" customWidth="1"/>
    <col min="1059" max="1059" width="9.125" bestFit="1" customWidth="1"/>
    <col min="1060" max="1061" width="10.375" bestFit="1" customWidth="1"/>
    <col min="1062" max="1063" width="9.125" bestFit="1" customWidth="1"/>
    <col min="1064" max="1065" width="10.375" bestFit="1" customWidth="1"/>
    <col min="1066" max="1066" width="9.125" bestFit="1" customWidth="1"/>
    <col min="1067" max="1068" width="10.375" bestFit="1" customWidth="1"/>
    <col min="1069" max="1069" width="9.125" bestFit="1" customWidth="1"/>
    <col min="1070" max="1071" width="10.375" bestFit="1" customWidth="1"/>
    <col min="1072" max="1072" width="9.125" bestFit="1" customWidth="1"/>
    <col min="1073" max="1074" width="10.375" bestFit="1" customWidth="1"/>
    <col min="1075" max="1075" width="9.125" bestFit="1" customWidth="1"/>
    <col min="1076" max="1077" width="10.375" bestFit="1" customWidth="1"/>
    <col min="1078" max="1078" width="9.125" bestFit="1" customWidth="1"/>
    <col min="1079" max="1080" width="10.375" bestFit="1" customWidth="1"/>
    <col min="1081" max="1081" width="9.125" bestFit="1" customWidth="1"/>
    <col min="1082" max="1083" width="10.375" bestFit="1" customWidth="1"/>
    <col min="1084" max="1084" width="9.125" bestFit="1" customWidth="1"/>
    <col min="1085" max="1086" width="10.375" bestFit="1" customWidth="1"/>
    <col min="1087" max="1087" width="9.125" bestFit="1" customWidth="1"/>
    <col min="1088" max="1089" width="10.375" bestFit="1" customWidth="1"/>
    <col min="1090" max="1090" width="9.125" bestFit="1" customWidth="1"/>
    <col min="1091" max="1092" width="10.375" bestFit="1" customWidth="1"/>
    <col min="1093" max="1093" width="9.125" bestFit="1" customWidth="1"/>
    <col min="1094" max="1095" width="10.375" bestFit="1" customWidth="1"/>
    <col min="1096" max="1096" width="9.125" bestFit="1" customWidth="1"/>
    <col min="1097" max="1098" width="10.375" bestFit="1" customWidth="1"/>
    <col min="1099" max="1099" width="9.125" bestFit="1" customWidth="1"/>
    <col min="1100" max="1101" width="10.375" bestFit="1" customWidth="1"/>
    <col min="1102" max="1102" width="9.125" bestFit="1" customWidth="1"/>
    <col min="1103" max="1104" width="10.375" bestFit="1" customWidth="1"/>
    <col min="1105" max="1105" width="9.125" bestFit="1" customWidth="1"/>
    <col min="1106" max="1107" width="10.375" bestFit="1" customWidth="1"/>
    <col min="1108" max="1108" width="9.125" bestFit="1" customWidth="1"/>
    <col min="1109" max="1110" width="10.375" bestFit="1" customWidth="1"/>
    <col min="1111" max="1111" width="9.125" bestFit="1" customWidth="1"/>
    <col min="1112" max="1113" width="10.375" bestFit="1" customWidth="1"/>
    <col min="1114" max="1114" width="9.125" bestFit="1" customWidth="1"/>
    <col min="1115" max="1116" width="10.375" bestFit="1" customWidth="1"/>
    <col min="1117" max="1117" width="9.125" bestFit="1" customWidth="1"/>
    <col min="1118" max="1119" width="10.375" bestFit="1" customWidth="1"/>
    <col min="1120" max="1120" width="9.125" bestFit="1" customWidth="1"/>
    <col min="1121" max="1122" width="10.375" bestFit="1" customWidth="1"/>
    <col min="1123" max="1123" width="9.125" bestFit="1" customWidth="1"/>
    <col min="1124" max="1125" width="10.375" bestFit="1" customWidth="1"/>
    <col min="1126" max="1126" width="9.125" bestFit="1" customWidth="1"/>
    <col min="1127" max="1128" width="10.375" bestFit="1" customWidth="1"/>
    <col min="1129" max="1129" width="9.125" bestFit="1" customWidth="1"/>
    <col min="1130" max="1131" width="10.375" bestFit="1" customWidth="1"/>
    <col min="1132" max="1132" width="9.125" bestFit="1" customWidth="1"/>
    <col min="1133" max="1134" width="10.375" bestFit="1" customWidth="1"/>
    <col min="1135" max="1135" width="9.125" bestFit="1" customWidth="1"/>
    <col min="1136" max="1137" width="10.375" bestFit="1" customWidth="1"/>
    <col min="1138" max="1138" width="9.125" bestFit="1" customWidth="1"/>
    <col min="1139" max="1140" width="10.375" bestFit="1" customWidth="1"/>
    <col min="1141" max="1141" width="9.125" bestFit="1" customWidth="1"/>
    <col min="1142" max="1142" width="10.375" bestFit="1" customWidth="1"/>
    <col min="1143" max="1143" width="9.125" bestFit="1" customWidth="1"/>
    <col min="1144" max="1145" width="10.375" bestFit="1" customWidth="1"/>
    <col min="1146" max="1146" width="9.125" bestFit="1" customWidth="1"/>
    <col min="1147" max="1148" width="10.375" bestFit="1" customWidth="1"/>
    <col min="1149" max="1149" width="9.125" bestFit="1" customWidth="1"/>
    <col min="1150" max="1151" width="10.375" bestFit="1" customWidth="1"/>
    <col min="1152" max="1152" width="9.125" bestFit="1" customWidth="1"/>
    <col min="1153" max="1154" width="10.375" bestFit="1" customWidth="1"/>
    <col min="1155" max="1155" width="9.125" bestFit="1" customWidth="1"/>
    <col min="1156" max="1157" width="10.375" bestFit="1" customWidth="1"/>
    <col min="1158" max="1158" width="9.125" bestFit="1" customWidth="1"/>
    <col min="1159" max="1160" width="10.375" bestFit="1" customWidth="1"/>
    <col min="1161" max="1161" width="9.125" bestFit="1" customWidth="1"/>
    <col min="1162" max="1163" width="10.375" bestFit="1" customWidth="1"/>
    <col min="1164" max="1164" width="9.125" bestFit="1" customWidth="1"/>
    <col min="1165" max="1166" width="10.375" bestFit="1" customWidth="1"/>
    <col min="1167" max="1167" width="9.125" bestFit="1" customWidth="1"/>
    <col min="1168" max="1169" width="10.375" bestFit="1" customWidth="1"/>
    <col min="1170" max="1170" width="9.125" bestFit="1" customWidth="1"/>
    <col min="1171" max="1172" width="10.375" bestFit="1" customWidth="1"/>
    <col min="1173" max="1173" width="9.125" bestFit="1" customWidth="1"/>
    <col min="1174" max="1175" width="10.375" bestFit="1" customWidth="1"/>
    <col min="1176" max="1176" width="9.125" bestFit="1" customWidth="1"/>
    <col min="1177" max="1178" width="10.375" bestFit="1" customWidth="1"/>
    <col min="1179" max="1179" width="9.125" bestFit="1" customWidth="1"/>
    <col min="1180" max="1181" width="10.375" bestFit="1" customWidth="1"/>
    <col min="1182" max="1182" width="9.125" bestFit="1" customWidth="1"/>
    <col min="1183" max="1183" width="42.25" bestFit="1" customWidth="1"/>
    <col min="1184" max="1184" width="37.625" bestFit="1" customWidth="1"/>
    <col min="1185" max="1185" width="44" bestFit="1" customWidth="1"/>
    <col min="1186" max="1186" width="45.375" bestFit="1" customWidth="1"/>
  </cols>
  <sheetData>
    <row r="1" spans="1:6">
      <c r="C1" s="100"/>
      <c r="D1" s="100"/>
      <c r="E1" s="100"/>
      <c r="F1" s="100"/>
    </row>
    <row r="2" spans="1:6">
      <c r="C2" s="100"/>
      <c r="D2" s="100"/>
      <c r="E2" s="100"/>
      <c r="F2" s="100"/>
    </row>
    <row r="3" spans="1:6">
      <c r="C3" s="100"/>
      <c r="D3" s="100"/>
      <c r="E3" s="100"/>
      <c r="F3" s="100"/>
    </row>
    <row r="4" spans="1:6">
      <c r="C4" s="100"/>
      <c r="D4" s="100"/>
      <c r="E4" s="100"/>
      <c r="F4" s="100"/>
    </row>
    <row r="5" spans="1:6">
      <c r="C5" s="100"/>
      <c r="D5" s="100"/>
      <c r="E5" s="100"/>
      <c r="F5" s="100"/>
    </row>
    <row r="6" spans="1:6">
      <c r="C6" s="100"/>
      <c r="D6" s="100"/>
      <c r="E6" s="100"/>
      <c r="F6" s="100"/>
    </row>
    <row r="7" spans="1:6">
      <c r="C7" s="100"/>
      <c r="D7" s="100"/>
      <c r="E7" s="100"/>
      <c r="F7" s="100"/>
    </row>
    <row r="8" spans="1:6">
      <c r="C8" s="100"/>
      <c r="D8" s="100"/>
      <c r="E8" s="100"/>
      <c r="F8" s="100"/>
    </row>
    <row r="9" spans="1:6">
      <c r="C9" s="100"/>
      <c r="D9" s="100"/>
      <c r="E9" s="100"/>
      <c r="F9" s="100"/>
    </row>
    <row r="10" spans="1:6">
      <c r="C10" s="100"/>
      <c r="D10" s="100"/>
      <c r="E10" s="100"/>
      <c r="F10" s="100"/>
    </row>
    <row r="11" spans="1:6">
      <c r="C11" s="100"/>
      <c r="D11" s="100"/>
      <c r="E11" s="100"/>
      <c r="F11" s="100"/>
    </row>
    <row r="12" spans="1:6">
      <c r="C12" s="100"/>
      <c r="D12" s="100"/>
      <c r="E12" s="100"/>
      <c r="F12" s="100"/>
    </row>
    <row r="13" spans="1:6">
      <c r="C13" s="100"/>
      <c r="D13" s="100"/>
      <c r="E13" s="100"/>
      <c r="F13" s="100"/>
    </row>
    <row r="14" spans="1:6">
      <c r="C14" s="100"/>
      <c r="D14" s="100"/>
      <c r="E14" s="100"/>
      <c r="F14" s="100"/>
    </row>
    <row r="15" spans="1:6" ht="17.25">
      <c r="A15" s="161" t="s">
        <v>397</v>
      </c>
      <c r="C15" s="100"/>
      <c r="D15" s="100"/>
      <c r="E15" s="100"/>
      <c r="F15" s="100"/>
    </row>
    <row r="16" spans="1:6" ht="15" thickBot="1">
      <c r="A16" s="153" t="s">
        <v>381</v>
      </c>
      <c r="B16" s="18" t="s">
        <v>377</v>
      </c>
      <c r="C16" s="45"/>
      <c r="D16" s="45"/>
      <c r="E16" s="168"/>
      <c r="F16" s="84"/>
    </row>
    <row r="17" spans="1:18" ht="21" thickTop="1">
      <c r="A17" s="302" t="s">
        <v>391</v>
      </c>
      <c r="B17" s="302"/>
      <c r="C17" s="302"/>
      <c r="D17" s="302"/>
      <c r="E17" s="302"/>
      <c r="F17" s="191"/>
      <c r="M17" s="298" t="s">
        <v>391</v>
      </c>
      <c r="N17" s="299"/>
      <c r="O17" s="299"/>
      <c r="P17" s="299"/>
      <c r="Q17" s="223"/>
    </row>
    <row r="18" spans="1:18" s="129" customFormat="1" ht="15">
      <c r="A18" s="148" t="s">
        <v>389</v>
      </c>
      <c r="B18" s="145" t="s">
        <v>386</v>
      </c>
      <c r="C18" s="145" t="s">
        <v>387</v>
      </c>
      <c r="D18" s="145" t="s">
        <v>372</v>
      </c>
      <c r="E18" s="45" t="s">
        <v>404</v>
      </c>
      <c r="F18" s="83"/>
      <c r="M18" s="224" t="s">
        <v>388</v>
      </c>
      <c r="N18" s="164" t="s">
        <v>386</v>
      </c>
      <c r="O18" s="164" t="s">
        <v>387</v>
      </c>
      <c r="P18" s="164" t="s">
        <v>372</v>
      </c>
      <c r="Q18" s="225" t="str">
        <f>E18</f>
        <v>Soma de Subscription stacking</v>
      </c>
      <c r="R18" s="129" t="s">
        <v>375</v>
      </c>
    </row>
    <row r="19" spans="1:18">
      <c r="A19" s="149" t="s">
        <v>17</v>
      </c>
      <c r="B19" s="146">
        <v>101</v>
      </c>
      <c r="C19" s="147">
        <v>61</v>
      </c>
      <c r="D19" s="147">
        <v>444</v>
      </c>
      <c r="E19" s="146">
        <v>101</v>
      </c>
      <c r="F19"/>
      <c r="M19" s="89" t="str">
        <f>A19</f>
        <v>Core</v>
      </c>
      <c r="N19" s="48">
        <f>GETPIVOTDATA("Quantidade Subscriber ID",A18,"Plan","Core")</f>
        <v>101</v>
      </c>
      <c r="O19" s="226">
        <f>GETPIVOTDATA("Valor Coupon Value",$A$18,"Plan","Core")</f>
        <v>61</v>
      </c>
      <c r="P19" s="226">
        <f>GETPIVOTDATA("Total Valor",$A$18,"Plan","Core")</f>
        <v>444</v>
      </c>
      <c r="Q19" s="117">
        <f>GETPIVOTDATA("Soma de Subscription stacking",$A$18,"Plan","Core")</f>
        <v>101</v>
      </c>
    </row>
    <row r="20" spans="1:18">
      <c r="A20" s="149" t="s">
        <v>21</v>
      </c>
      <c r="B20" s="146">
        <v>96</v>
      </c>
      <c r="C20" s="147">
        <v>1079</v>
      </c>
      <c r="D20" s="147">
        <v>1801</v>
      </c>
      <c r="E20" s="146">
        <v>192</v>
      </c>
      <c r="F20"/>
      <c r="M20" s="89" t="str">
        <f>A20</f>
        <v>Standard</v>
      </c>
      <c r="N20" s="48">
        <f>GETPIVOTDATA("Quantidade Subscriber ID",$A$18,"Plan","Standard")</f>
        <v>96</v>
      </c>
      <c r="O20" s="226">
        <f>GETPIVOTDATA("Valor Coupon Value",$A$18,"Plan","Standard")</f>
        <v>1079</v>
      </c>
      <c r="P20" s="226">
        <f>GETPIVOTDATA("Total Valor",$A$18,"Plan","Standard")</f>
        <v>1801</v>
      </c>
      <c r="Q20" s="117">
        <f>GETPIVOTDATA("Soma de Subscription stacking",$A$18,"Plan","Standard")</f>
        <v>192</v>
      </c>
    </row>
    <row r="21" spans="1:18">
      <c r="A21" s="149" t="s">
        <v>13</v>
      </c>
      <c r="B21" s="146">
        <v>98</v>
      </c>
      <c r="C21" s="147">
        <v>982</v>
      </c>
      <c r="D21" s="147">
        <v>5388</v>
      </c>
      <c r="E21" s="146">
        <v>294</v>
      </c>
      <c r="F21"/>
      <c r="M21" s="89" t="str">
        <f>A21</f>
        <v>Ultimate</v>
      </c>
      <c r="N21" s="48">
        <f>GETPIVOTDATA("Quantidade Subscriber ID",$A$18,"Plan","Ultimate")</f>
        <v>98</v>
      </c>
      <c r="O21" s="226">
        <f>GETPIVOTDATA("Valor Coupon Value",$A$18,"Plan","Ultimate")</f>
        <v>982</v>
      </c>
      <c r="P21" s="226">
        <f>GETPIVOTDATA("Total Valor",$A$18,"Plan","Ultimate")</f>
        <v>5388</v>
      </c>
      <c r="Q21" s="117">
        <f>GETPIVOTDATA("Soma de Subscription stacking",$A$18,"Plan","Ultimate")</f>
        <v>294</v>
      </c>
    </row>
    <row r="22" spans="1:18" ht="15.75" thickBot="1">
      <c r="A22" s="150" t="s">
        <v>334</v>
      </c>
      <c r="B22" s="151">
        <v>295</v>
      </c>
      <c r="C22" s="152">
        <v>2122</v>
      </c>
      <c r="D22" s="152">
        <v>7633</v>
      </c>
      <c r="E22" s="151">
        <v>587</v>
      </c>
      <c r="F22" s="85"/>
      <c r="M22" s="91" t="s">
        <v>334</v>
      </c>
      <c r="N22" s="116">
        <f>GETPIVOTDATA("Quantidade Subscriber ID",$A$18)</f>
        <v>295</v>
      </c>
      <c r="O22" s="227">
        <f>GETPIVOTDATA("Valor Coupon Value",$A$18)</f>
        <v>2122</v>
      </c>
      <c r="P22" s="227">
        <f>GETPIVOTDATA("Total Valor",$A$18)</f>
        <v>7633</v>
      </c>
      <c r="Q22" s="228">
        <f>GETPIVOTDATA("Soma de Subscription stacking",$A$18)</f>
        <v>587</v>
      </c>
      <c r="R22" s="100"/>
    </row>
    <row r="23" spans="1:18" ht="18" customHeight="1" thickTop="1">
      <c r="C23" s="100"/>
      <c r="D23" s="100"/>
      <c r="E23" s="100"/>
      <c r="F23" s="100"/>
    </row>
    <row r="24" spans="1:18" ht="18" customHeight="1">
      <c r="C24" s="100"/>
      <c r="D24" s="100"/>
      <c r="E24" s="100"/>
      <c r="F24" s="100"/>
    </row>
    <row r="25" spans="1:18" ht="18" customHeight="1" thickBot="1">
      <c r="A25" s="120" t="s">
        <v>381</v>
      </c>
      <c r="B25" t="s">
        <v>377</v>
      </c>
      <c r="C25" s="100"/>
      <c r="D25" s="100"/>
      <c r="E25" s="100"/>
      <c r="F25" s="100"/>
    </row>
    <row r="26" spans="1:18" ht="20.25" customHeight="1" thickTop="1">
      <c r="A26" s="301" t="s">
        <v>394</v>
      </c>
      <c r="B26" s="301"/>
      <c r="C26" s="301"/>
      <c r="D26" s="132"/>
      <c r="E26" s="100"/>
      <c r="F26" s="100"/>
      <c r="M26" s="298" t="s">
        <v>392</v>
      </c>
      <c r="N26" s="299"/>
      <c r="O26" s="300"/>
    </row>
    <row r="27" spans="1:18" s="129" customFormat="1" ht="24" customHeight="1">
      <c r="A27" s="130" t="s">
        <v>388</v>
      </c>
      <c r="B27" s="131" t="s">
        <v>386</v>
      </c>
      <c r="C27" s="131" t="s">
        <v>390</v>
      </c>
      <c r="D27" s="38" t="s">
        <v>375</v>
      </c>
      <c r="E27" s="38"/>
      <c r="F27" s="38"/>
      <c r="M27" s="224" t="s">
        <v>388</v>
      </c>
      <c r="N27" s="229" t="s">
        <v>386</v>
      </c>
      <c r="O27" s="225" t="s">
        <v>390</v>
      </c>
    </row>
    <row r="28" spans="1:18" ht="18" customHeight="1">
      <c r="A28" s="266" t="s">
        <v>17</v>
      </c>
      <c r="B28" s="126">
        <v>101</v>
      </c>
      <c r="C28" s="125">
        <v>505</v>
      </c>
      <c r="D28" s="100"/>
      <c r="E28" s="100"/>
      <c r="F28" s="100"/>
      <c r="M28" s="89" t="str">
        <f>A28</f>
        <v>Core</v>
      </c>
      <c r="N28" s="48">
        <f>GETPIVOTDATA("Quantidade Subscriber ID",$A$27,"Plan","Core")</f>
        <v>101</v>
      </c>
      <c r="O28" s="230">
        <f>GETPIVOTDATA("Valor Subscription",$A$27,"Plan","Core")</f>
        <v>505</v>
      </c>
    </row>
    <row r="29" spans="1:18" ht="18" customHeight="1">
      <c r="A29" s="266" t="s">
        <v>21</v>
      </c>
      <c r="B29" s="126">
        <v>96</v>
      </c>
      <c r="C29" s="125">
        <v>960</v>
      </c>
      <c r="D29" s="100"/>
      <c r="E29" s="100"/>
      <c r="F29" s="100"/>
      <c r="M29" s="89" t="str">
        <f>A29</f>
        <v>Standard</v>
      </c>
      <c r="N29" s="48">
        <f>GETPIVOTDATA("Quantidade Subscriber ID",$A$27,"Plan","Standard")</f>
        <v>96</v>
      </c>
      <c r="O29" s="230">
        <f>GETPIVOTDATA("Valor Subscription",$A$27,"Plan","Standard")</f>
        <v>960</v>
      </c>
    </row>
    <row r="30" spans="1:18" ht="18" customHeight="1">
      <c r="A30" s="266" t="s">
        <v>13</v>
      </c>
      <c r="B30" s="126">
        <v>98</v>
      </c>
      <c r="C30" s="125">
        <v>1470</v>
      </c>
      <c r="D30" s="100"/>
      <c r="E30" s="100"/>
      <c r="F30" s="100"/>
      <c r="M30" s="89" t="str">
        <f>A30</f>
        <v>Ultimate</v>
      </c>
      <c r="N30" s="48">
        <f>GETPIVOTDATA("Quantidade Subscriber ID",$A$27,"Plan","Ultimate")</f>
        <v>98</v>
      </c>
      <c r="O30" s="230">
        <f>GETPIVOTDATA("Valor Subscription",$A$27,"Plan","Ultimate")</f>
        <v>1470</v>
      </c>
    </row>
    <row r="31" spans="1:18" ht="18" customHeight="1" thickBot="1">
      <c r="A31" s="122" t="s">
        <v>334</v>
      </c>
      <c r="B31" s="127">
        <v>295</v>
      </c>
      <c r="C31" s="128">
        <v>2935</v>
      </c>
      <c r="D31" s="100"/>
      <c r="E31" s="100"/>
      <c r="F31" s="100"/>
      <c r="M31" s="91" t="s">
        <v>334</v>
      </c>
      <c r="N31" s="116">
        <f>GETPIVOTDATA("Quantidade Subscriber ID",$A$27)</f>
        <v>295</v>
      </c>
      <c r="O31" s="231">
        <f>GETPIVOTDATA("Valor Subscription",$A$27)</f>
        <v>2935</v>
      </c>
    </row>
    <row r="32" spans="1:18" ht="18" customHeight="1" thickTop="1">
      <c r="C32" s="100"/>
      <c r="D32" s="100"/>
      <c r="E32" s="100"/>
      <c r="F32" s="100"/>
    </row>
    <row r="33" spans="1:16" ht="18" customHeight="1">
      <c r="C33" s="100"/>
      <c r="D33" s="100"/>
      <c r="E33" s="100"/>
      <c r="F33" s="100"/>
    </row>
    <row r="34" spans="1:16" ht="18" customHeight="1" thickBot="1">
      <c r="A34" s="120" t="s">
        <v>381</v>
      </c>
      <c r="B34" t="s">
        <v>377</v>
      </c>
      <c r="D34" s="100"/>
      <c r="E34" s="100"/>
      <c r="F34" s="100"/>
    </row>
    <row r="35" spans="1:16" ht="20.25" customHeight="1" thickTop="1">
      <c r="A35" s="301" t="s">
        <v>395</v>
      </c>
      <c r="B35" s="301"/>
      <c r="C35" s="301"/>
      <c r="D35" s="100"/>
      <c r="E35" s="100"/>
      <c r="F35" s="100"/>
      <c r="M35" s="298" t="s">
        <v>393</v>
      </c>
      <c r="N35" s="299"/>
      <c r="O35" s="300"/>
    </row>
    <row r="36" spans="1:16" s="129" customFormat="1" ht="24" customHeight="1">
      <c r="A36" s="130" t="s">
        <v>304</v>
      </c>
      <c r="B36" s="130" t="s">
        <v>384</v>
      </c>
      <c r="C36" s="130" t="s">
        <v>385</v>
      </c>
      <c r="D36" s="38" t="s">
        <v>375</v>
      </c>
      <c r="E36" s="38"/>
      <c r="F36" s="38"/>
      <c r="M36" s="224" t="s">
        <v>304</v>
      </c>
      <c r="N36" s="164" t="s">
        <v>384</v>
      </c>
      <c r="O36" s="232" t="s">
        <v>385</v>
      </c>
      <c r="P36" s="129" t="s">
        <v>375</v>
      </c>
    </row>
    <row r="37" spans="1:16" ht="18" customHeight="1">
      <c r="A37" s="266" t="s">
        <v>382</v>
      </c>
      <c r="B37" s="121">
        <v>197</v>
      </c>
      <c r="C37" s="39">
        <v>0</v>
      </c>
      <c r="D37" s="100"/>
      <c r="E37" s="100"/>
      <c r="F37" s="100"/>
      <c r="M37" s="89" t="str">
        <f t="shared" ref="M37:M42" si="0">A37</f>
        <v>Não assinante EA Play</v>
      </c>
      <c r="N37" s="48">
        <f>GETPIVOTDATA("Quantidade EA Play Season Pass",$A$36,"EA Play Season Pass","Não assinante EA Play")</f>
        <v>197</v>
      </c>
      <c r="O37" s="230">
        <f>GETPIVOTDATA("Valor EA Play Season Pass",$A$36,"EA Play Season Pass","Não assinante EA Play")</f>
        <v>0</v>
      </c>
    </row>
    <row r="38" spans="1:16" ht="18" customHeight="1">
      <c r="A38" s="162" t="s">
        <v>17</v>
      </c>
      <c r="B38" s="121">
        <v>101</v>
      </c>
      <c r="C38" s="39">
        <v>0</v>
      </c>
      <c r="D38" s="100"/>
      <c r="E38" s="100"/>
      <c r="F38" s="100"/>
      <c r="M38" s="89" t="str">
        <f t="shared" si="0"/>
        <v>Core</v>
      </c>
      <c r="N38" s="48">
        <f>GETPIVOTDATA("Quantidade EA Play Season Pass",$A$36,"Plan","Core","EA Play Season Pass","Não assinante EA Play")</f>
        <v>101</v>
      </c>
      <c r="O38" s="230">
        <f>GETPIVOTDATA("Valor EA Play Season Pass",$A$36,"Plan","Core","EA Play Season Pass","Não assinante EA Play")</f>
        <v>0</v>
      </c>
    </row>
    <row r="39" spans="1:16" ht="18" customHeight="1">
      <c r="A39" s="162" t="s">
        <v>21</v>
      </c>
      <c r="B39" s="121">
        <v>96</v>
      </c>
      <c r="C39" s="39">
        <v>0</v>
      </c>
      <c r="D39" s="100"/>
      <c r="E39" s="100"/>
      <c r="F39" s="100"/>
      <c r="M39" s="89" t="str">
        <f t="shared" si="0"/>
        <v>Standard</v>
      </c>
      <c r="N39" s="48">
        <f>GETPIVOTDATA("Quantidade EA Play Season Pass",$A$36,"Plan","Standard","EA Play Season Pass","Não assinante EA Play")</f>
        <v>96</v>
      </c>
      <c r="O39" s="230">
        <f>GETPIVOTDATA("Valor EA Play Season Pass",$A$36,"Plan","Standard","EA Play Season Pass","Não assinante EA Play")</f>
        <v>0</v>
      </c>
    </row>
    <row r="40" spans="1:16" ht="18" customHeight="1">
      <c r="A40" s="266" t="s">
        <v>383</v>
      </c>
      <c r="B40" s="121">
        <v>98</v>
      </c>
      <c r="C40" s="39">
        <v>2940</v>
      </c>
      <c r="D40" s="100"/>
      <c r="M40" s="233" t="str">
        <f t="shared" si="0"/>
        <v>Assinante EA Play</v>
      </c>
      <c r="N40" s="234">
        <f>GETPIVOTDATA("Quantidade EA Play Season Pass",$A$36,"EA Play Season Pass","Assinante EA Play")</f>
        <v>98</v>
      </c>
      <c r="O40" s="235">
        <f>GETPIVOTDATA("Valor EA Play Season Pass",$A$36,"EA Play Season Pass","Assinante EA Play")</f>
        <v>2940</v>
      </c>
    </row>
    <row r="41" spans="1:16" ht="18" customHeight="1">
      <c r="A41" s="162" t="s">
        <v>13</v>
      </c>
      <c r="B41" s="121">
        <v>98</v>
      </c>
      <c r="C41" s="39">
        <v>2940</v>
      </c>
      <c r="D41" s="100"/>
      <c r="E41" s="100"/>
      <c r="F41" s="100"/>
      <c r="M41" s="89" t="str">
        <f t="shared" si="0"/>
        <v>Ultimate</v>
      </c>
      <c r="N41" s="48">
        <f>GETPIVOTDATA("Quantidade EA Play Season Pass",$A$36,"Plan","Ultimate","EA Play Season Pass","Assinante EA Play")</f>
        <v>98</v>
      </c>
      <c r="O41" s="230">
        <f>GETPIVOTDATA("Valor EA Play Season Pass",$A$36,"Plan","Ultimate","EA Play Season Pass","Assinante EA Play")</f>
        <v>2940</v>
      </c>
    </row>
    <row r="42" spans="1:16" ht="18" customHeight="1" thickBot="1">
      <c r="A42" s="122" t="s">
        <v>334</v>
      </c>
      <c r="B42" s="123">
        <v>295</v>
      </c>
      <c r="C42" s="124">
        <v>2940</v>
      </c>
      <c r="D42" s="100"/>
      <c r="E42" s="100"/>
      <c r="F42" s="100"/>
      <c r="M42" s="91" t="str">
        <f t="shared" si="0"/>
        <v>Total Geral</v>
      </c>
      <c r="N42" s="116">
        <f>GETPIVOTDATA("Quantidade EA Play Season Pass",$A$36)</f>
        <v>295</v>
      </c>
      <c r="O42" s="231">
        <f>GETPIVOTDATA("Valor EA Play Season Pass",$A$36)</f>
        <v>2940</v>
      </c>
    </row>
    <row r="43" spans="1:16" ht="18" customHeight="1" thickTop="1">
      <c r="B43"/>
      <c r="C43"/>
      <c r="D43" s="100"/>
      <c r="E43" s="100"/>
      <c r="F43" s="100"/>
    </row>
    <row r="44" spans="1:16" ht="18" customHeight="1">
      <c r="B44"/>
      <c r="C44"/>
      <c r="D44" s="100"/>
      <c r="E44" s="100"/>
      <c r="F44" s="100"/>
    </row>
    <row r="45" spans="1:16" ht="18" customHeight="1">
      <c r="A45" s="120" t="s">
        <v>381</v>
      </c>
      <c r="B45" t="s">
        <v>377</v>
      </c>
      <c r="C45"/>
      <c r="D45" s="100"/>
      <c r="E45" s="100"/>
      <c r="F45" s="100"/>
    </row>
    <row r="46" spans="1:16" ht="18" customHeight="1">
      <c r="A46" s="301" t="s">
        <v>396</v>
      </c>
      <c r="B46" s="301"/>
      <c r="C46" s="301"/>
      <c r="D46" s="100"/>
      <c r="E46" s="100"/>
      <c r="F46" s="100"/>
    </row>
    <row r="47" spans="1:16" ht="18" customHeight="1">
      <c r="A47" s="130" t="s">
        <v>25</v>
      </c>
      <c r="B47" s="130" t="s">
        <v>379</v>
      </c>
      <c r="C47" s="130" t="s">
        <v>380</v>
      </c>
      <c r="D47" s="100"/>
      <c r="E47" s="100"/>
      <c r="F47" s="100"/>
    </row>
    <row r="48" spans="1:16" ht="18" customHeight="1">
      <c r="A48" s="266" t="s">
        <v>376</v>
      </c>
      <c r="B48" s="121">
        <v>101</v>
      </c>
      <c r="C48" s="39">
        <v>0</v>
      </c>
      <c r="D48" s="100"/>
    </row>
    <row r="49" spans="1:21" ht="18" customHeight="1" thickBot="1">
      <c r="A49" s="266" t="s">
        <v>378</v>
      </c>
      <c r="B49" s="121">
        <v>194</v>
      </c>
      <c r="C49" s="39">
        <v>3880</v>
      </c>
      <c r="D49" s="100"/>
    </row>
    <row r="50" spans="1:21" ht="18" customHeight="1" thickTop="1">
      <c r="A50" s="162" t="s">
        <v>21</v>
      </c>
      <c r="B50" s="121">
        <v>96</v>
      </c>
      <c r="C50" s="39">
        <v>1920</v>
      </c>
      <c r="D50" s="100"/>
      <c r="M50" s="298" t="s">
        <v>396</v>
      </c>
      <c r="N50" s="299"/>
      <c r="O50" s="300"/>
    </row>
    <row r="51" spans="1:21" s="129" customFormat="1" ht="24" customHeight="1">
      <c r="A51" s="162" t="s">
        <v>13</v>
      </c>
      <c r="B51" s="121">
        <v>98</v>
      </c>
      <c r="C51" s="39">
        <v>1960</v>
      </c>
      <c r="D51" s="38" t="s">
        <v>375</v>
      </c>
      <c r="M51" s="224" t="s">
        <v>25</v>
      </c>
      <c r="N51" s="229" t="s">
        <v>379</v>
      </c>
      <c r="O51" s="225" t="s">
        <v>380</v>
      </c>
    </row>
    <row r="52" spans="1:21" ht="18" customHeight="1">
      <c r="A52" s="122" t="s">
        <v>334</v>
      </c>
      <c r="B52" s="123">
        <v>295</v>
      </c>
      <c r="C52" s="124">
        <v>3880</v>
      </c>
      <c r="D52" s="100"/>
      <c r="M52" s="89" t="str">
        <f>A48</f>
        <v>Não assinantes Minecraft</v>
      </c>
      <c r="N52" s="48">
        <f>GETPIVOTDATA("Quantidade Minecraft Season Pass",$A$47,"Minecraft Season Pass","Não assinantes Minecraft")</f>
        <v>101</v>
      </c>
      <c r="O52" s="230">
        <f>GETPIVOTDATA("Valor Minecraft Season Pass",$A$47,"Minecraft Season Pass","Não assinantes Minecraft")</f>
        <v>0</v>
      </c>
    </row>
    <row r="53" spans="1:21" ht="18" customHeight="1">
      <c r="D53" s="100"/>
      <c r="M53" s="233" t="str">
        <f>A49</f>
        <v>São assinantes</v>
      </c>
      <c r="N53" s="48">
        <f>GETPIVOTDATA("Quantidade Minecraft Season Pass",$A$47,"Minecraft Season Pass","São assinantes")</f>
        <v>194</v>
      </c>
      <c r="O53" s="230">
        <f>GETPIVOTDATA("Valor Minecraft Season Pass",$A$47,"Minecraft Season Pass","São assinantes")</f>
        <v>3880</v>
      </c>
    </row>
    <row r="54" spans="1:21" ht="18" customHeight="1">
      <c r="D54" s="100"/>
      <c r="M54" s="89" t="str">
        <f>A50</f>
        <v>Standard</v>
      </c>
      <c r="N54" s="48">
        <f>GETPIVOTDATA("Quantidade Minecraft Season Pass",$A$47,"Plan","Standard","Minecraft Season Pass","São assinantes")</f>
        <v>96</v>
      </c>
      <c r="O54" s="230">
        <f>GETPIVOTDATA("Valor Minecraft Season Pass",$A$47,"Plan","Standard","Minecraft Season Pass","São assinantes")</f>
        <v>1920</v>
      </c>
    </row>
    <row r="55" spans="1:21" ht="18" customHeight="1">
      <c r="D55" s="100"/>
      <c r="E55" s="100"/>
      <c r="F55" s="100"/>
      <c r="M55" s="89" t="str">
        <f>A51</f>
        <v>Ultimate</v>
      </c>
      <c r="N55" s="48">
        <f>GETPIVOTDATA("Quantidade Minecraft Season Pass",$A$47,"Plan","Ultimate","Minecraft Season Pass","São assinantes")</f>
        <v>98</v>
      </c>
      <c r="O55" s="230">
        <f>GETPIVOTDATA("Valor Minecraft Season Pass",$A$47,"Plan","Ultimate","Minecraft Season Pass","São assinantes")</f>
        <v>1960</v>
      </c>
    </row>
    <row r="56" spans="1:21" ht="18" customHeight="1" thickBot="1">
      <c r="D56" s="48"/>
      <c r="E56" s="48"/>
      <c r="F56" s="48"/>
      <c r="G56" s="18"/>
      <c r="H56" s="18"/>
      <c r="M56" s="91" t="str">
        <f>A52</f>
        <v>Total Geral</v>
      </c>
      <c r="N56" s="116">
        <f>GETPIVOTDATA("Quantidade Minecraft Season Pass",$A$47)</f>
        <v>295</v>
      </c>
      <c r="O56" s="231">
        <f>GETPIVOTDATA("Valor Minecraft Season Pass",$A$47)</f>
        <v>3880</v>
      </c>
    </row>
    <row r="57" spans="1:21" ht="18" customHeight="1" thickTop="1">
      <c r="B57"/>
      <c r="C57"/>
      <c r="D57" s="100"/>
      <c r="E57" s="100"/>
      <c r="F57" s="100"/>
    </row>
    <row r="58" spans="1:21" ht="18" customHeight="1">
      <c r="B58"/>
      <c r="C58"/>
      <c r="D58" s="100"/>
      <c r="E58" s="100"/>
      <c r="F58" s="100"/>
    </row>
    <row r="59" spans="1:21" ht="18" customHeight="1">
      <c r="B59"/>
      <c r="C59"/>
      <c r="D59" s="100"/>
      <c r="E59" s="100"/>
      <c r="F59" s="100"/>
    </row>
    <row r="60" spans="1:21" ht="18" customHeight="1" thickBot="1">
      <c r="A60" s="297" t="s">
        <v>401</v>
      </c>
      <c r="B60" s="297"/>
      <c r="M60" s="110"/>
      <c r="N60" s="110"/>
      <c r="O60" s="110"/>
      <c r="P60" s="110"/>
      <c r="Q60" s="110"/>
      <c r="R60" s="110"/>
      <c r="S60" s="110"/>
      <c r="T60" s="110"/>
    </row>
    <row r="61" spans="1:21" ht="20.25" customHeight="1" thickTop="1" thickBot="1">
      <c r="A61" s="302" t="s">
        <v>400</v>
      </c>
      <c r="B61" s="302"/>
      <c r="C61" s="302"/>
      <c r="D61" s="302"/>
      <c r="E61" s="302"/>
      <c r="F61" s="302"/>
      <c r="G61" s="302"/>
      <c r="H61" s="302"/>
      <c r="I61" s="302"/>
      <c r="J61" s="211"/>
      <c r="M61" s="275" t="s">
        <v>400</v>
      </c>
      <c r="N61" s="276"/>
      <c r="O61" s="276"/>
      <c r="P61" s="276"/>
      <c r="Q61" s="276"/>
      <c r="R61" s="276"/>
      <c r="S61" s="276"/>
      <c r="T61" s="276"/>
      <c r="U61" s="223"/>
    </row>
    <row r="62" spans="1:21" ht="24" customHeight="1" thickTop="1">
      <c r="A62" s="196" t="s">
        <v>336</v>
      </c>
      <c r="B62" s="189" t="s">
        <v>335</v>
      </c>
      <c r="C62" s="189" t="s">
        <v>360</v>
      </c>
      <c r="D62" s="189" t="s">
        <v>357</v>
      </c>
      <c r="E62" s="189" t="s">
        <v>339</v>
      </c>
      <c r="F62" s="189" t="s">
        <v>358</v>
      </c>
      <c r="G62" s="189" t="s">
        <v>359</v>
      </c>
      <c r="H62" s="188" t="s">
        <v>340</v>
      </c>
      <c r="I62" s="52" t="s">
        <v>405</v>
      </c>
      <c r="J62" s="82"/>
      <c r="M62" s="89" t="s">
        <v>336</v>
      </c>
      <c r="N62" s="18" t="s">
        <v>335</v>
      </c>
      <c r="O62" s="18" t="s">
        <v>360</v>
      </c>
      <c r="P62" s="18" t="s">
        <v>357</v>
      </c>
      <c r="Q62" s="18" t="s">
        <v>339</v>
      </c>
      <c r="R62" s="18" t="s">
        <v>358</v>
      </c>
      <c r="S62" s="18" t="s">
        <v>359</v>
      </c>
      <c r="T62" s="18" t="s">
        <v>340</v>
      </c>
      <c r="U62" s="236" t="str">
        <f>I62</f>
        <v>Total Subscription stacking</v>
      </c>
    </row>
    <row r="63" spans="1:21">
      <c r="A63" s="44" t="s">
        <v>17</v>
      </c>
      <c r="B63" s="41">
        <v>101</v>
      </c>
      <c r="C63" s="40">
        <v>505</v>
      </c>
      <c r="D63" s="40">
        <v>0</v>
      </c>
      <c r="E63" s="40">
        <v>0</v>
      </c>
      <c r="F63" s="40">
        <v>61</v>
      </c>
      <c r="G63" s="40">
        <v>444</v>
      </c>
      <c r="H63" s="192">
        <v>0.34237288135593219</v>
      </c>
      <c r="I63" s="41">
        <v>101</v>
      </c>
      <c r="J63" s="212"/>
      <c r="M63" s="89" t="s">
        <v>17</v>
      </c>
      <c r="N63" s="18">
        <f>GETPIVOTDATA("Quantidade",$A$62,"Plan","Core")</f>
        <v>101</v>
      </c>
      <c r="O63" s="94">
        <f>GETPIVOTDATA("Inscrição",$A$62,"Plan","Core")</f>
        <v>505</v>
      </c>
      <c r="P63" s="94">
        <f>GETPIVOTDATA("Total EA Play Season Pass",$A$62,"Plan","Core")</f>
        <v>0</v>
      </c>
      <c r="Q63" s="94">
        <f>GETPIVOTDATA("Total EA Play Season Pass",$A$62,"Plan","Core")</f>
        <v>0</v>
      </c>
      <c r="R63" s="94">
        <f>GETPIVOTDATA("Total Desconto",$A$62,"Plan","Core")</f>
        <v>61</v>
      </c>
      <c r="S63" s="94">
        <f>GETPIVOTDATA("Total dos Planos",$A$62,"Plan","Core")</f>
        <v>444</v>
      </c>
      <c r="T63" s="160">
        <f>GETPIVOTDATA("Percentual",$A$62,"Plan","Core")</f>
        <v>0.34237288135593219</v>
      </c>
      <c r="U63" s="237">
        <f>GETPIVOTDATA("Total Subscription stacking",$A$62,"Plan","Core")</f>
        <v>101</v>
      </c>
    </row>
    <row r="64" spans="1:21">
      <c r="A64" s="44" t="s">
        <v>21</v>
      </c>
      <c r="B64" s="41">
        <v>96</v>
      </c>
      <c r="C64" s="40">
        <v>960</v>
      </c>
      <c r="D64" s="40">
        <v>0</v>
      </c>
      <c r="E64" s="40">
        <v>1920</v>
      </c>
      <c r="F64" s="40">
        <v>1079</v>
      </c>
      <c r="G64" s="40">
        <v>1801</v>
      </c>
      <c r="H64" s="192">
        <v>0.32548995996026131</v>
      </c>
      <c r="I64" s="41">
        <v>192</v>
      </c>
      <c r="J64" s="212"/>
      <c r="M64" s="89" t="s">
        <v>21</v>
      </c>
      <c r="N64" s="18">
        <f>GETPIVOTDATA("Quantidade",$A$62,"Plan","Standard")</f>
        <v>96</v>
      </c>
      <c r="O64" s="94">
        <f>GETPIVOTDATA("Inscrição",$A$62,"Plan","Standard")</f>
        <v>960</v>
      </c>
      <c r="P64" s="94">
        <f>GETPIVOTDATA("Total EA Play Season Pass",$A$62,"Plan","Standard")</f>
        <v>0</v>
      </c>
      <c r="Q64" s="94">
        <f>GETPIVOTDATA("Preço Total Minecraft Season Pass",$A$62,"Plan","Standard")</f>
        <v>1920</v>
      </c>
      <c r="R64" s="94">
        <f>GETPIVOTDATA("Total Desconto",$A$62,"Plan","Standard")</f>
        <v>1079</v>
      </c>
      <c r="S64" s="94">
        <f>GETPIVOTDATA("Total dos Planos",$A$62,"Plan","Standard")</f>
        <v>1801</v>
      </c>
      <c r="T64" s="160">
        <f>GETPIVOTDATA("Percentual",$A$62,"Plan","Standard")</f>
        <v>0.32548995996026131</v>
      </c>
      <c r="U64" s="237">
        <f>GETPIVOTDATA("Total Subscription stacking",$A$62,"Plan","Standard")</f>
        <v>192</v>
      </c>
    </row>
    <row r="65" spans="1:21">
      <c r="A65" s="44" t="s">
        <v>13</v>
      </c>
      <c r="B65" s="41">
        <v>98</v>
      </c>
      <c r="C65" s="40">
        <v>1470</v>
      </c>
      <c r="D65" s="40">
        <v>2940</v>
      </c>
      <c r="E65" s="40">
        <v>1960</v>
      </c>
      <c r="F65" s="40">
        <v>982</v>
      </c>
      <c r="G65" s="40">
        <v>5388</v>
      </c>
      <c r="H65" s="192">
        <v>0.3321371586838065</v>
      </c>
      <c r="I65" s="41">
        <v>294</v>
      </c>
      <c r="J65" s="212"/>
      <c r="M65" s="89" t="s">
        <v>13</v>
      </c>
      <c r="N65" s="18">
        <f>GETPIVOTDATA("Quantidade",$A$62,"Plan","Ultimate")</f>
        <v>98</v>
      </c>
      <c r="O65" s="94">
        <f>GETPIVOTDATA("Inscrição",$A$62,"Plan","Ultimate")</f>
        <v>1470</v>
      </c>
      <c r="P65" s="94">
        <f>GETPIVOTDATA("Total EA Play Season Pass",$A$62,"Plan","Ultimate")</f>
        <v>2940</v>
      </c>
      <c r="Q65" s="94">
        <f>GETPIVOTDATA("Preço Total Minecraft Season Pass",$A$62,"Plan","Ultimate")</f>
        <v>1960</v>
      </c>
      <c r="R65" s="94">
        <f>GETPIVOTDATA("Total Desconto",$A$62,"Plan","Ultimate")</f>
        <v>982</v>
      </c>
      <c r="S65" s="94">
        <f>GETPIVOTDATA("Total dos Planos",$A$62,"Plan","Ultimate")</f>
        <v>5388</v>
      </c>
      <c r="T65" s="160">
        <f>GETPIVOTDATA("Percentual",$A$62,"Plan","Ultimate")</f>
        <v>0.3321371586838065</v>
      </c>
      <c r="U65" s="237">
        <f>GETPIVOTDATA("Total Subscription stacking",$A$62,"Plan","Ultimate")</f>
        <v>294</v>
      </c>
    </row>
    <row r="66" spans="1:21" ht="15" thickBot="1">
      <c r="A66" s="190" t="s">
        <v>334</v>
      </c>
      <c r="B66" s="193">
        <v>295</v>
      </c>
      <c r="C66" s="194">
        <v>2935</v>
      </c>
      <c r="D66" s="194">
        <v>2940</v>
      </c>
      <c r="E66" s="194">
        <v>3880</v>
      </c>
      <c r="F66" s="194">
        <v>2122</v>
      </c>
      <c r="G66" s="194">
        <v>7633</v>
      </c>
      <c r="H66" s="195">
        <v>1</v>
      </c>
      <c r="I66" s="193">
        <v>587</v>
      </c>
      <c r="J66" s="212"/>
      <c r="M66" s="91" t="s">
        <v>334</v>
      </c>
      <c r="N66" s="92">
        <f>GETPIVOTDATA("Quantidade",$A$62)</f>
        <v>295</v>
      </c>
      <c r="O66" s="95">
        <f>GETPIVOTDATA("Inscrição",$A$62)</f>
        <v>2935</v>
      </c>
      <c r="P66" s="95">
        <f>GETPIVOTDATA("Total EA Play Season Pass",$A$62)</f>
        <v>2940</v>
      </c>
      <c r="Q66" s="95">
        <f>GETPIVOTDATA("Preço Total Minecraft Season Pass",$A$62)</f>
        <v>3880</v>
      </c>
      <c r="R66" s="95">
        <f>GETPIVOTDATA("Total Desconto",$A$62)</f>
        <v>2122</v>
      </c>
      <c r="S66" s="95">
        <f>GETPIVOTDATA("Total dos Planos",$A$62)</f>
        <v>7633</v>
      </c>
      <c r="T66" s="238">
        <f>GETPIVOTDATA("Percentual",$A$62)</f>
        <v>1</v>
      </c>
      <c r="U66" s="239">
        <f>GETPIVOTDATA("Total Subscription stacking",$A$62)</f>
        <v>587</v>
      </c>
    </row>
    <row r="67" spans="1:21" ht="15" thickTop="1">
      <c r="A67" s="157"/>
      <c r="E67" s="84"/>
      <c r="L67" s="82"/>
      <c r="M67" s="82"/>
      <c r="N67" s="83"/>
      <c r="O67" s="84"/>
      <c r="P67" s="84"/>
    </row>
    <row r="68" spans="1:21" ht="15" thickBot="1">
      <c r="A68" s="157"/>
      <c r="E68" s="84"/>
      <c r="L68" s="157"/>
      <c r="M68" s="84"/>
      <c r="N68" s="84"/>
      <c r="O68" s="84"/>
      <c r="P68" s="18"/>
    </row>
    <row r="69" spans="1:21" ht="18" thickTop="1">
      <c r="A69" s="280" t="s">
        <v>407</v>
      </c>
      <c r="B69" s="280"/>
      <c r="C69" s="110"/>
      <c r="E69" s="85"/>
      <c r="M69" s="111" t="s">
        <v>356</v>
      </c>
      <c r="N69" s="112"/>
      <c r="P69" s="18"/>
    </row>
    <row r="70" spans="1:21" ht="15">
      <c r="A70" s="153" t="s">
        <v>11</v>
      </c>
      <c r="B70" s="18" t="s">
        <v>377</v>
      </c>
      <c r="C70" s="84"/>
      <c r="D70" s="100"/>
      <c r="E70" s="85"/>
      <c r="F70" s="100"/>
      <c r="M70" s="89" t="s">
        <v>11</v>
      </c>
      <c r="N70" s="90" t="s">
        <v>377</v>
      </c>
      <c r="P70" s="18"/>
    </row>
    <row r="71" spans="1:21" ht="15">
      <c r="A71" s="45"/>
      <c r="B71" s="47"/>
      <c r="C71" s="84"/>
      <c r="D71" s="100"/>
      <c r="E71" s="85"/>
      <c r="F71" s="100"/>
      <c r="M71" s="89"/>
      <c r="N71" s="90"/>
      <c r="P71" s="18"/>
    </row>
    <row r="72" spans="1:21">
      <c r="A72" s="45" t="s">
        <v>406</v>
      </c>
      <c r="B72" s="45" t="s">
        <v>402</v>
      </c>
      <c r="C72" t="s">
        <v>375</v>
      </c>
      <c r="D72"/>
      <c r="E72"/>
      <c r="F72"/>
      <c r="M72" s="89" t="s">
        <v>402</v>
      </c>
      <c r="N72" s="90" t="s">
        <v>406</v>
      </c>
      <c r="P72" s="18"/>
    </row>
    <row r="73" spans="1:21" ht="15" thickBot="1">
      <c r="A73" s="198">
        <v>587</v>
      </c>
      <c r="B73" s="94">
        <v>7633</v>
      </c>
      <c r="C73"/>
      <c r="D73"/>
      <c r="E73"/>
      <c r="F73"/>
      <c r="M73" s="91">
        <v>7633</v>
      </c>
      <c r="N73" s="93">
        <v>587</v>
      </c>
      <c r="P73" s="18"/>
    </row>
    <row r="74" spans="1:21" ht="15" thickTop="1">
      <c r="B74"/>
      <c r="C74"/>
      <c r="D74"/>
      <c r="E74"/>
      <c r="F74"/>
      <c r="P74" s="18"/>
    </row>
    <row r="75" spans="1:21" ht="15.75" thickTop="1" thickBot="1">
      <c r="B75"/>
      <c r="C75"/>
      <c r="D75"/>
      <c r="E75"/>
      <c r="F75"/>
      <c r="P75" s="18"/>
    </row>
    <row r="76" spans="1:21" ht="15" thickTop="1">
      <c r="B76"/>
      <c r="C76"/>
      <c r="D76"/>
      <c r="P76" s="18"/>
    </row>
    <row r="77" spans="1:21" ht="15" thickTop="1">
      <c r="B77"/>
      <c r="C77"/>
      <c r="P77" s="48"/>
    </row>
    <row r="78" spans="1:21" ht="15" thickTop="1">
      <c r="B78"/>
      <c r="C78"/>
      <c r="D78" s="100"/>
      <c r="E78" s="100"/>
      <c r="F78" s="100"/>
      <c r="P78" s="48"/>
    </row>
    <row r="79" spans="1:21">
      <c r="B79"/>
      <c r="C79"/>
      <c r="D79" s="100"/>
      <c r="E79" s="100"/>
      <c r="F79" s="100"/>
      <c r="P79" s="48"/>
    </row>
    <row r="80" spans="1:21" ht="15" thickBot="1">
      <c r="B80"/>
      <c r="C80"/>
      <c r="D80" s="100"/>
      <c r="E80" s="100"/>
      <c r="F80" s="100"/>
      <c r="P80" s="48"/>
    </row>
    <row r="81" spans="1:20">
      <c r="B81"/>
      <c r="C81"/>
      <c r="D81" s="100"/>
      <c r="E81" s="100"/>
      <c r="F81" s="100"/>
      <c r="P81" s="48"/>
    </row>
    <row r="82" spans="1:20">
      <c r="B82"/>
      <c r="C82"/>
      <c r="D82" s="100"/>
      <c r="E82" s="100"/>
      <c r="F82" s="100"/>
    </row>
    <row r="83" spans="1:20">
      <c r="B83"/>
      <c r="C83"/>
      <c r="D83" s="100"/>
      <c r="E83" s="100"/>
      <c r="F83" s="100"/>
    </row>
    <row r="84" spans="1:20" ht="17.25">
      <c r="A84" s="289" t="s">
        <v>410</v>
      </c>
      <c r="B84" s="289"/>
      <c r="C84"/>
      <c r="D84" s="100"/>
      <c r="E84" s="100"/>
      <c r="F84" s="100"/>
    </row>
    <row r="85" spans="1:20" ht="15" thickBot="1">
      <c r="B85"/>
      <c r="C85"/>
      <c r="D85" s="100"/>
      <c r="E85" s="100"/>
      <c r="F85" s="100"/>
      <c r="P85" s="48"/>
    </row>
    <row r="86" spans="1:20" ht="21" customHeight="1" thickTop="1">
      <c r="A86" s="248" t="s">
        <v>423</v>
      </c>
      <c r="B86" s="249"/>
      <c r="C86" s="191"/>
      <c r="D86" s="191"/>
      <c r="E86" s="42"/>
      <c r="F86" s="284"/>
      <c r="G86" s="284"/>
      <c r="H86" s="284"/>
      <c r="I86" s="284"/>
      <c r="J86" s="210"/>
      <c r="L86" t="s">
        <v>423</v>
      </c>
      <c r="M86" s="242"/>
      <c r="N86" s="242"/>
      <c r="O86" s="242"/>
      <c r="P86" s="42"/>
      <c r="Q86" s="284"/>
      <c r="R86" s="284"/>
      <c r="S86" s="284"/>
      <c r="T86" s="284"/>
    </row>
    <row r="87" spans="1:20" ht="17.25">
      <c r="A87" s="202" t="s">
        <v>361</v>
      </c>
      <c r="B87" s="247"/>
      <c r="C87" s="97"/>
      <c r="D87" s="97"/>
      <c r="E87" s="100"/>
      <c r="F87" s="96"/>
      <c r="G87" s="96"/>
      <c r="H87" s="96"/>
      <c r="I87" s="96"/>
      <c r="J87" s="96"/>
      <c r="L87" t="s">
        <v>361</v>
      </c>
      <c r="M87" s="96"/>
      <c r="N87" s="96"/>
      <c r="O87" s="96"/>
      <c r="P87" s="25"/>
      <c r="Q87" s="96"/>
      <c r="R87" s="96"/>
      <c r="S87" s="96"/>
      <c r="T87" s="96"/>
    </row>
    <row r="88" spans="1:20">
      <c r="A88" s="125">
        <f>GETPIVOTDATA("Valor",$A$106)/GETPIVOTDATA("Soma de Subscription stacking",$A$136)</f>
        <v>13.003407155025554</v>
      </c>
      <c r="B88" s="42"/>
      <c r="C88" s="125"/>
      <c r="D88" s="125"/>
      <c r="F88" s="209"/>
      <c r="G88" s="209"/>
      <c r="H88" s="209"/>
      <c r="I88" s="209"/>
      <c r="J88" s="209"/>
      <c r="L88" s="39">
        <f>A88</f>
        <v>13.003407155025554</v>
      </c>
      <c r="M88" s="209"/>
      <c r="N88" s="209"/>
      <c r="O88" s="209"/>
      <c r="P88" s="25"/>
      <c r="Q88" s="209"/>
      <c r="R88" s="209"/>
      <c r="S88" s="209"/>
      <c r="T88" s="209"/>
    </row>
    <row r="89" spans="1:20">
      <c r="J89" s="87"/>
      <c r="P89" s="48"/>
    </row>
    <row r="90" spans="1:20" ht="15" thickBot="1">
      <c r="C90" s="100"/>
      <c r="D90" s="100"/>
      <c r="E90" s="100"/>
      <c r="F90" s="100"/>
      <c r="J90" s="87"/>
      <c r="P90" s="48"/>
    </row>
    <row r="91" spans="1:20" ht="15.75" thickTop="1" thickBot="1">
      <c r="A91" s="216" t="s">
        <v>381</v>
      </c>
      <c r="B91" s="217" t="s">
        <v>377</v>
      </c>
      <c r="C91" s="125"/>
      <c r="D91" s="216" t="s">
        <v>381</v>
      </c>
      <c r="E91" s="217" t="s">
        <v>377</v>
      </c>
      <c r="F91" s="100"/>
      <c r="G91" s="82"/>
      <c r="H91" s="82"/>
      <c r="J91" s="87"/>
      <c r="L91" s="111" t="s">
        <v>381</v>
      </c>
      <c r="M91" s="112" t="s">
        <v>377</v>
      </c>
      <c r="P91" s="48"/>
    </row>
    <row r="92" spans="1:20" ht="21.75" thickTop="1" thickBot="1">
      <c r="A92" s="272" t="s">
        <v>429</v>
      </c>
      <c r="B92" s="272"/>
      <c r="C92" s="125"/>
      <c r="D92" s="272" t="s">
        <v>430</v>
      </c>
      <c r="E92" s="272"/>
      <c r="F92" s="100"/>
      <c r="G92" s="273"/>
      <c r="H92" s="273"/>
      <c r="J92" s="87"/>
      <c r="L92" s="295" t="s">
        <v>420</v>
      </c>
      <c r="M92" s="296"/>
      <c r="P92" s="270" t="s">
        <v>428</v>
      </c>
      <c r="Q92" s="271"/>
    </row>
    <row r="93" spans="1:20" ht="15" thickTop="1">
      <c r="A93" s="216" t="s">
        <v>338</v>
      </c>
      <c r="B93" s="218" t="s">
        <v>424</v>
      </c>
      <c r="C93" s="125"/>
      <c r="D93" s="216" t="s">
        <v>338</v>
      </c>
      <c r="E93" s="218" t="s">
        <v>425</v>
      </c>
      <c r="F93"/>
      <c r="H93" s="82"/>
      <c r="J93" s="87"/>
      <c r="L93" s="89" t="str">
        <f>A93</f>
        <v>Planos</v>
      </c>
      <c r="M93" s="90" t="s">
        <v>424</v>
      </c>
      <c r="P93" s="251" t="str">
        <f>D93</f>
        <v>Planos</v>
      </c>
      <c r="Q93" s="90" t="s">
        <v>425</v>
      </c>
    </row>
    <row r="94" spans="1:20">
      <c r="A94" s="44" t="s">
        <v>19</v>
      </c>
      <c r="B94" s="94">
        <v>9.71830985915493</v>
      </c>
      <c r="C94"/>
      <c r="D94" s="44" t="s">
        <v>18</v>
      </c>
      <c r="E94" s="94" t="e">
        <v>#DIV/0!</v>
      </c>
      <c r="F94"/>
      <c r="J94" s="87"/>
      <c r="L94" s="89" t="str">
        <f>A94</f>
        <v>Annual</v>
      </c>
      <c r="M94" s="98">
        <f>GETPIVOTDATA("Subscription Price",$A$93,"Subscription Type","Annual")</f>
        <v>9.71830985915493</v>
      </c>
      <c r="P94" s="251" t="str">
        <f>D94</f>
        <v>No</v>
      </c>
      <c r="Q94" s="90" t="e">
        <f>GETPIVOTDATA("EA Play Season Pass
Price",$D$93,"EA Play Season Pass","No")</f>
        <v>#DIV/0!</v>
      </c>
    </row>
    <row r="95" spans="1:20">
      <c r="A95" s="44" t="s">
        <v>15</v>
      </c>
      <c r="B95" s="94">
        <v>9.8561151079136682</v>
      </c>
      <c r="C95"/>
      <c r="D95" s="44" t="s">
        <v>14</v>
      </c>
      <c r="E95" s="94">
        <v>30</v>
      </c>
      <c r="F95"/>
      <c r="J95" s="87"/>
      <c r="L95" s="89" t="str">
        <f>A95</f>
        <v>Monthly</v>
      </c>
      <c r="M95" s="98">
        <f>GETPIVOTDATA("Subscription Price",$A$93,"Subscription Type","Monthly")</f>
        <v>9.8561151079136682</v>
      </c>
      <c r="P95" s="251" t="str">
        <f>D95</f>
        <v>Yes</v>
      </c>
      <c r="Q95" s="98">
        <f>GETPIVOTDATA("EA Play Season Pass
Price",$D$93,"EA Play Season Pass","Yes")</f>
        <v>30</v>
      </c>
    </row>
    <row r="96" spans="1:20" ht="15" thickBot="1">
      <c r="A96" s="44" t="s">
        <v>22</v>
      </c>
      <c r="B96" s="94">
        <v>10.294117647058824</v>
      </c>
      <c r="C96"/>
      <c r="D96" s="177" t="s">
        <v>334</v>
      </c>
      <c r="E96" s="94">
        <v>30</v>
      </c>
      <c r="F96" s="100"/>
      <c r="J96" s="87"/>
      <c r="L96" s="89" t="str">
        <f>A96</f>
        <v>Quarterly</v>
      </c>
      <c r="M96" s="98">
        <f>GETPIVOTDATA("Subscription Price",$A$93,"Subscription Type","Quarterly")</f>
        <v>10.294117647058824</v>
      </c>
      <c r="P96" s="252" t="str">
        <f>D96</f>
        <v>Total Geral</v>
      </c>
      <c r="Q96" s="99">
        <f>GETPIVOTDATA("EA Play Season Pass
Price",$D$93)</f>
        <v>30</v>
      </c>
    </row>
    <row r="97" spans="1:20" ht="15.75" thickTop="1" thickBot="1">
      <c r="A97" s="177" t="s">
        <v>334</v>
      </c>
      <c r="B97" s="94">
        <v>9.9491525423728806</v>
      </c>
      <c r="C97"/>
      <c r="F97" s="100"/>
      <c r="J97" s="87"/>
      <c r="L97" s="91" t="str">
        <f>A97</f>
        <v>Total Geral</v>
      </c>
      <c r="M97" s="99">
        <f>GETPIVOTDATA("Subscription Price",$A$93)</f>
        <v>9.9491525423728806</v>
      </c>
      <c r="P97" s="48"/>
    </row>
    <row r="98" spans="1:20" ht="15.75" thickTop="1" thickBot="1">
      <c r="C98"/>
      <c r="F98" s="100"/>
      <c r="J98" s="87"/>
      <c r="P98" s="48"/>
    </row>
    <row r="99" spans="1:20" ht="21.75" thickTop="1" thickBot="1">
      <c r="A99" s="272" t="s">
        <v>431</v>
      </c>
      <c r="B99" s="272"/>
      <c r="C99" s="39"/>
      <c r="F99" s="100"/>
      <c r="J99" s="87"/>
      <c r="L99" s="111" t="str">
        <f>A100</f>
        <v>Planos</v>
      </c>
      <c r="M99" s="112" t="s">
        <v>426</v>
      </c>
      <c r="P99" s="48"/>
    </row>
    <row r="100" spans="1:20" ht="15" thickTop="1">
      <c r="A100" s="216" t="s">
        <v>338</v>
      </c>
      <c r="B100" s="218" t="s">
        <v>426</v>
      </c>
      <c r="C100" s="39"/>
      <c r="F100" s="100"/>
      <c r="J100" s="87"/>
      <c r="L100" s="89" t="str">
        <f>A101</f>
        <v>Minecraft Não</v>
      </c>
      <c r="M100" s="98">
        <f>GETPIVOTDATA("Minecraft Season Pass Price",$A$100,"Minecraft Season Pass","Minecraft Não")</f>
        <v>0</v>
      </c>
      <c r="P100" s="48"/>
    </row>
    <row r="101" spans="1:20">
      <c r="A101" s="44" t="s">
        <v>414</v>
      </c>
      <c r="B101" s="165">
        <v>0</v>
      </c>
      <c r="C101" s="39"/>
      <c r="F101" s="100"/>
      <c r="J101" s="87"/>
      <c r="L101" s="89" t="str">
        <f>A102</f>
        <v>Manicraft Sim</v>
      </c>
      <c r="M101" s="98">
        <f>GETPIVOTDATA("Minecraft Season Pass Price",$A$100,"Minecraft Season Pass","Manicraft Sim")</f>
        <v>20</v>
      </c>
      <c r="P101" s="48"/>
    </row>
    <row r="102" spans="1:20" ht="15" thickBot="1">
      <c r="A102" s="44" t="s">
        <v>433</v>
      </c>
      <c r="B102" s="94">
        <v>20</v>
      </c>
      <c r="C102" s="39"/>
      <c r="F102" s="100"/>
      <c r="J102" s="87"/>
      <c r="L102" s="91" t="s">
        <v>334</v>
      </c>
      <c r="M102" s="99">
        <f>GETPIVOTDATA("Minecraft Season Pass Price",$A$100)</f>
        <v>13.152542372881356</v>
      </c>
      <c r="P102" s="48"/>
    </row>
    <row r="103" spans="1:20" ht="15" thickTop="1">
      <c r="A103" s="177" t="s">
        <v>334</v>
      </c>
      <c r="B103" s="250">
        <v>13.152542372881356</v>
      </c>
      <c r="C103"/>
      <c r="F103"/>
      <c r="J103" s="87"/>
      <c r="P103" s="48"/>
    </row>
    <row r="104" spans="1:20" ht="15" thickBot="1">
      <c r="B104"/>
      <c r="C104"/>
      <c r="F104" s="100"/>
      <c r="J104" s="87"/>
      <c r="P104" s="48"/>
    </row>
    <row r="105" spans="1:20" ht="21" thickTop="1">
      <c r="A105" s="274" t="s">
        <v>411</v>
      </c>
      <c r="B105" s="274"/>
      <c r="C105" s="274"/>
      <c r="D105" s="274"/>
      <c r="E105" s="274"/>
      <c r="F105" s="274"/>
      <c r="G105" s="274"/>
      <c r="H105" s="274"/>
      <c r="I105" s="274"/>
      <c r="J105" s="210"/>
      <c r="L105" s="290" t="s">
        <v>411</v>
      </c>
      <c r="M105" s="291"/>
      <c r="N105" s="291"/>
      <c r="O105" s="291"/>
      <c r="P105" s="291"/>
      <c r="Q105" s="291"/>
      <c r="R105" s="291"/>
      <c r="S105" s="291"/>
      <c r="T105" s="292"/>
    </row>
    <row r="106" spans="1:20" ht="17.25">
      <c r="A106" s="203"/>
      <c r="B106" s="203" t="s">
        <v>337</v>
      </c>
      <c r="C106" s="203"/>
      <c r="D106" s="203"/>
      <c r="E106" s="203"/>
      <c r="F106" s="203"/>
      <c r="G106" s="203"/>
      <c r="H106" s="203"/>
      <c r="I106" s="203"/>
      <c r="J106" s="82"/>
      <c r="L106" s="118"/>
      <c r="M106" s="110"/>
      <c r="N106" s="110"/>
      <c r="O106" s="110"/>
      <c r="P106" s="110"/>
      <c r="Q106" s="110"/>
      <c r="R106" s="110"/>
      <c r="S106" s="110"/>
      <c r="T106" s="119"/>
    </row>
    <row r="107" spans="1:20">
      <c r="A107" s="203"/>
      <c r="B107" s="204" t="s">
        <v>17</v>
      </c>
      <c r="C107" s="255"/>
      <c r="D107" s="204" t="s">
        <v>21</v>
      </c>
      <c r="E107" s="255"/>
      <c r="F107" s="204" t="s">
        <v>13</v>
      </c>
      <c r="G107" s="204"/>
      <c r="H107" s="205" t="s">
        <v>371</v>
      </c>
      <c r="I107" s="205" t="s">
        <v>372</v>
      </c>
      <c r="J107" s="84"/>
      <c r="L107" s="89"/>
      <c r="M107" s="18" t="s">
        <v>337</v>
      </c>
      <c r="N107" s="18"/>
      <c r="O107" s="18"/>
      <c r="P107" s="18"/>
      <c r="Q107" s="48"/>
      <c r="R107" s="18"/>
      <c r="S107" s="18"/>
      <c r="T107" s="90"/>
    </row>
    <row r="108" spans="1:20">
      <c r="A108" s="203" t="s">
        <v>336</v>
      </c>
      <c r="B108" s="203" t="s">
        <v>335</v>
      </c>
      <c r="C108" s="205" t="s">
        <v>373</v>
      </c>
      <c r="D108" s="203" t="s">
        <v>335</v>
      </c>
      <c r="E108" s="205" t="s">
        <v>373</v>
      </c>
      <c r="F108" s="203" t="s">
        <v>335</v>
      </c>
      <c r="G108" s="205" t="s">
        <v>373</v>
      </c>
      <c r="H108" s="205"/>
      <c r="I108" s="205"/>
      <c r="J108" s="84"/>
      <c r="L108" s="89"/>
      <c r="M108" s="48" t="s">
        <v>17</v>
      </c>
      <c r="N108" s="48"/>
      <c r="O108" s="48" t="s">
        <v>21</v>
      </c>
      <c r="P108" s="48"/>
      <c r="Q108" s="48" t="s">
        <v>13</v>
      </c>
      <c r="R108" s="48"/>
      <c r="S108" s="48" t="s">
        <v>371</v>
      </c>
      <c r="T108" s="117" t="s">
        <v>372</v>
      </c>
    </row>
    <row r="109" spans="1:20">
      <c r="A109" s="44" t="s">
        <v>19</v>
      </c>
      <c r="B109" s="41">
        <v>24</v>
      </c>
      <c r="C109" s="40">
        <v>120</v>
      </c>
      <c r="D109" s="41">
        <v>27</v>
      </c>
      <c r="E109" s="40">
        <v>448</v>
      </c>
      <c r="F109" s="41">
        <v>20</v>
      </c>
      <c r="G109" s="40">
        <v>1186</v>
      </c>
      <c r="H109" s="41">
        <v>71</v>
      </c>
      <c r="I109" s="40">
        <v>1754</v>
      </c>
      <c r="J109" s="55"/>
      <c r="L109" s="89" t="s">
        <v>336</v>
      </c>
      <c r="M109" s="48" t="s">
        <v>335</v>
      </c>
      <c r="N109" s="48" t="s">
        <v>373</v>
      </c>
      <c r="O109" s="48" t="s">
        <v>335</v>
      </c>
      <c r="P109" s="48" t="s">
        <v>373</v>
      </c>
      <c r="Q109" s="48" t="s">
        <v>335</v>
      </c>
      <c r="R109" s="48" t="s">
        <v>373</v>
      </c>
      <c r="S109" s="48"/>
      <c r="T109" s="117"/>
    </row>
    <row r="110" spans="1:20">
      <c r="A110" s="44" t="s">
        <v>15</v>
      </c>
      <c r="B110" s="41">
        <v>49</v>
      </c>
      <c r="C110" s="40">
        <v>192</v>
      </c>
      <c r="D110" s="41">
        <v>45</v>
      </c>
      <c r="E110" s="40">
        <v>958</v>
      </c>
      <c r="F110" s="41">
        <v>45</v>
      </c>
      <c r="G110" s="40">
        <v>2421</v>
      </c>
      <c r="H110" s="41">
        <v>139</v>
      </c>
      <c r="I110" s="40">
        <v>3571</v>
      </c>
      <c r="J110" s="55"/>
      <c r="L110" s="89" t="str">
        <f>A109</f>
        <v>Annual</v>
      </c>
      <c r="M110" s="18">
        <f>GETPIVOTDATA("Quantidade",$A$106,"Plan","Core","Subscription Type","Annual")</f>
        <v>24</v>
      </c>
      <c r="N110" s="94">
        <f>GETPIVOTDATA("Valor",$A$106,"Plan","Core","Subscription Type","Annual")</f>
        <v>120</v>
      </c>
      <c r="O110" s="18">
        <f>GETPIVOTDATA("Quantidade",$A$106,"Plan","Standard","Subscription Type","Annual")</f>
        <v>27</v>
      </c>
      <c r="P110" s="94">
        <f>GETPIVOTDATA("Valor",$A$106,"Plan","Standard","Subscription Type","Annual")</f>
        <v>448</v>
      </c>
      <c r="Q110" s="48">
        <f>GETPIVOTDATA("Quantidade",$A$106,"Plan","Ultimate","Subscription Type","Annual")</f>
        <v>20</v>
      </c>
      <c r="R110" s="94">
        <f>GETPIVOTDATA("Valor",$A$106,"Plan","Ultimate","Subscription Type","Annual")</f>
        <v>1186</v>
      </c>
      <c r="S110" s="18">
        <f>GETPIVOTDATA("Quantidade",$A$106,"Subscription Type","Annual")</f>
        <v>71</v>
      </c>
      <c r="T110" s="98">
        <f>GETPIVOTDATA("Valor",$A$106,"Subscription Type","Annual")</f>
        <v>1754</v>
      </c>
    </row>
    <row r="111" spans="1:20">
      <c r="A111" s="44" t="s">
        <v>22</v>
      </c>
      <c r="B111" s="41">
        <v>28</v>
      </c>
      <c r="C111" s="40">
        <v>132</v>
      </c>
      <c r="D111" s="41">
        <v>24</v>
      </c>
      <c r="E111" s="40">
        <v>395</v>
      </c>
      <c r="F111" s="41">
        <v>33</v>
      </c>
      <c r="G111" s="40">
        <v>1781</v>
      </c>
      <c r="H111" s="41">
        <v>85</v>
      </c>
      <c r="I111" s="40">
        <v>2308</v>
      </c>
      <c r="J111" s="55"/>
      <c r="L111" s="89" t="str">
        <f>A110</f>
        <v>Monthly</v>
      </c>
      <c r="M111" s="18">
        <f>GETPIVOTDATA("Quantidade",$A$106,"Plan","Core","Subscription Type","Monthly")</f>
        <v>49</v>
      </c>
      <c r="N111" s="94">
        <f>GETPIVOTDATA("Valor",$A$106,"Plan","Core","Subscription Type","Monthly")</f>
        <v>192</v>
      </c>
      <c r="O111" s="18">
        <f>GETPIVOTDATA("Quantidade",$A$106,"Plan","Standard","Subscription Type","Monthly")</f>
        <v>45</v>
      </c>
      <c r="P111" s="94">
        <f>GETPIVOTDATA("Valor",$A$106,"Plan","Standard","Subscription Type","Monthly")</f>
        <v>958</v>
      </c>
      <c r="Q111" s="48">
        <f>GETPIVOTDATA("Quantidade",$A$106,"Plan","Ultimate","Subscription Type","Monthly")</f>
        <v>45</v>
      </c>
      <c r="R111" s="94">
        <f>GETPIVOTDATA("Valor",$A$106,"Plan","Ultimate","Subscription Type","Monthly")</f>
        <v>2421</v>
      </c>
      <c r="S111" s="18">
        <f>GETPIVOTDATA("Quantidade",$A$106,"Subscription Type","Monthly")</f>
        <v>139</v>
      </c>
      <c r="T111" s="98">
        <f>GETPIVOTDATA("Valor",$A$106,"Subscription Type","Monthly")</f>
        <v>3571</v>
      </c>
    </row>
    <row r="112" spans="1:20">
      <c r="A112" s="206" t="s">
        <v>334</v>
      </c>
      <c r="B112" s="207">
        <v>101</v>
      </c>
      <c r="C112" s="208">
        <v>444</v>
      </c>
      <c r="D112" s="207">
        <v>96</v>
      </c>
      <c r="E112" s="208">
        <v>1801</v>
      </c>
      <c r="F112" s="207">
        <v>98</v>
      </c>
      <c r="G112" s="208">
        <v>5388</v>
      </c>
      <c r="H112" s="207">
        <v>295</v>
      </c>
      <c r="I112" s="208">
        <v>7633</v>
      </c>
      <c r="J112" s="55"/>
      <c r="L112" s="89" t="str">
        <f>A111</f>
        <v>Quarterly</v>
      </c>
      <c r="M112" s="18">
        <f>GETPIVOTDATA("Quantidade",$A$106,"Plan","Core","Subscription Type","Quarterly")</f>
        <v>28</v>
      </c>
      <c r="N112" s="94">
        <f>GETPIVOTDATA("Valor",$A$106,"Plan","Core","Subscription Type","Quarterly")</f>
        <v>132</v>
      </c>
      <c r="O112" s="18">
        <f>GETPIVOTDATA("Quantidade",$A$106,"Plan","Standard","Subscription Type","Quarterly")</f>
        <v>24</v>
      </c>
      <c r="P112" s="94">
        <f>GETPIVOTDATA("Valor",$A$106,"Plan","Standard","Subscription Type","Quarterly")</f>
        <v>395</v>
      </c>
      <c r="Q112" s="48">
        <f>GETPIVOTDATA("Quantidade",$A$106,"Plan","Ultimate","Subscription Type","Quarterly")</f>
        <v>33</v>
      </c>
      <c r="R112" s="94">
        <f>GETPIVOTDATA("Valor",$A$106,"Plan","Ultimate","Subscription Type","Quarterly")</f>
        <v>1781</v>
      </c>
      <c r="S112" s="18">
        <f>GETPIVOTDATA("Quantidade",$A$106,"Subscription Type","Quarterly")</f>
        <v>85</v>
      </c>
      <c r="T112" s="98">
        <f>GETPIVOTDATA("Valor",$A$106,"Subscription Type","Quarterly")</f>
        <v>2308</v>
      </c>
    </row>
    <row r="113" spans="1:20" ht="15" thickBot="1">
      <c r="L113" s="91" t="s">
        <v>374</v>
      </c>
      <c r="M113" s="113">
        <f>GETPIVOTDATA("Quantidade",$A$106,"Plan","Core")</f>
        <v>101</v>
      </c>
      <c r="N113" s="114">
        <f>GETPIVOTDATA("Valor",$A$106,"Plan","Core")</f>
        <v>444</v>
      </c>
      <c r="O113" s="115">
        <f>GETPIVOTDATA("Quantidade",$A$106,"Plan","Standard")</f>
        <v>96</v>
      </c>
      <c r="P113" s="114">
        <f>GETPIVOTDATA("Valor",$A$106,"Plan","Standard")</f>
        <v>1801</v>
      </c>
      <c r="Q113" s="116">
        <f>GETPIVOTDATA("Quantidade",$A$106,"Plan","Ultimate")</f>
        <v>98</v>
      </c>
      <c r="R113" s="95">
        <f>GETPIVOTDATA("Valor",$A$106,"Plan","Ultimate")</f>
        <v>5388</v>
      </c>
      <c r="S113" s="92">
        <f>GETPIVOTDATA("Quantidade",$A$106)</f>
        <v>295</v>
      </c>
      <c r="T113" s="99">
        <f>GETPIVOTDATA("Valor",$A$106)</f>
        <v>7633</v>
      </c>
    </row>
    <row r="114" spans="1:20" ht="15" thickTop="1">
      <c r="C114" s="100"/>
      <c r="D114" s="100"/>
      <c r="E114" s="100"/>
      <c r="F114" s="100"/>
      <c r="L114" s="18"/>
      <c r="M114" s="213"/>
      <c r="N114" s="214"/>
      <c r="O114" s="215"/>
      <c r="P114" s="214"/>
      <c r="Q114" s="48"/>
      <c r="R114" s="94"/>
      <c r="S114" s="18"/>
      <c r="T114" s="94"/>
    </row>
    <row r="115" spans="1:20" ht="21" thickBot="1">
      <c r="A115" s="274" t="s">
        <v>412</v>
      </c>
      <c r="B115" s="274"/>
      <c r="C115" s="274"/>
      <c r="D115" s="274"/>
      <c r="E115" s="274"/>
      <c r="F115" s="274"/>
      <c r="G115" s="274"/>
      <c r="H115" s="274"/>
      <c r="I115" s="274"/>
      <c r="L115" s="18"/>
      <c r="M115" s="213"/>
      <c r="N115" s="214"/>
      <c r="O115" s="215"/>
      <c r="P115" s="214"/>
      <c r="Q115" s="48"/>
      <c r="R115" s="94"/>
      <c r="S115" s="18"/>
      <c r="T115" s="94"/>
    </row>
    <row r="116" spans="1:20" ht="15.75" thickTop="1">
      <c r="A116" s="219" t="s">
        <v>336</v>
      </c>
      <c r="B116" s="220" t="s">
        <v>335</v>
      </c>
      <c r="C116" s="220" t="s">
        <v>360</v>
      </c>
      <c r="D116" s="220" t="s">
        <v>357</v>
      </c>
      <c r="E116" s="220" t="s">
        <v>339</v>
      </c>
      <c r="F116" s="220" t="s">
        <v>358</v>
      </c>
      <c r="G116" s="221" t="s">
        <v>359</v>
      </c>
      <c r="H116" s="222" t="s">
        <v>405</v>
      </c>
      <c r="L116" s="275" t="s">
        <v>400</v>
      </c>
      <c r="M116" s="276"/>
      <c r="N116" s="276"/>
      <c r="O116" s="276"/>
      <c r="P116" s="276"/>
      <c r="Q116" s="276"/>
      <c r="R116" s="276"/>
      <c r="S116" s="276"/>
      <c r="T116" s="223"/>
    </row>
    <row r="117" spans="1:20">
      <c r="A117" s="44" t="s">
        <v>17</v>
      </c>
      <c r="B117" s="41">
        <v>101</v>
      </c>
      <c r="C117" s="40">
        <v>505</v>
      </c>
      <c r="D117" s="40">
        <v>0</v>
      </c>
      <c r="E117" s="40">
        <v>0</v>
      </c>
      <c r="F117" s="40">
        <v>61</v>
      </c>
      <c r="G117" s="40">
        <v>444</v>
      </c>
      <c r="H117" s="41">
        <v>101</v>
      </c>
      <c r="L117" s="89" t="s">
        <v>336</v>
      </c>
      <c r="M117" s="18" t="s">
        <v>335</v>
      </c>
      <c r="N117" s="18" t="s">
        <v>360</v>
      </c>
      <c r="O117" s="18" t="s">
        <v>357</v>
      </c>
      <c r="P117" s="18" t="s">
        <v>339</v>
      </c>
      <c r="Q117" s="18" t="s">
        <v>358</v>
      </c>
      <c r="R117" s="18" t="s">
        <v>359</v>
      </c>
      <c r="S117" s="18" t="s">
        <v>340</v>
      </c>
      <c r="T117" s="236">
        <f>I116</f>
        <v>0</v>
      </c>
    </row>
    <row r="118" spans="1:20">
      <c r="A118" s="44" t="s">
        <v>21</v>
      </c>
      <c r="B118" s="41">
        <v>96</v>
      </c>
      <c r="C118" s="40">
        <v>960</v>
      </c>
      <c r="D118" s="40">
        <v>0</v>
      </c>
      <c r="E118" s="40">
        <v>1920</v>
      </c>
      <c r="F118" s="40">
        <v>1079</v>
      </c>
      <c r="G118" s="40">
        <v>1801</v>
      </c>
      <c r="H118" s="41">
        <v>192</v>
      </c>
      <c r="L118" s="89" t="str">
        <f>A117</f>
        <v>Core</v>
      </c>
      <c r="M118" s="89">
        <f>B117</f>
        <v>101</v>
      </c>
      <c r="N118" s="244">
        <f t="shared" ref="N118:T121" si="1">C117</f>
        <v>505</v>
      </c>
      <c r="O118" s="244">
        <f t="shared" si="1"/>
        <v>0</v>
      </c>
      <c r="P118" s="244">
        <f t="shared" si="1"/>
        <v>0</v>
      </c>
      <c r="Q118" s="244">
        <f t="shared" si="1"/>
        <v>61</v>
      </c>
      <c r="R118" s="244">
        <f t="shared" si="1"/>
        <v>444</v>
      </c>
      <c r="S118" s="89">
        <f t="shared" si="1"/>
        <v>101</v>
      </c>
      <c r="T118" s="89">
        <f t="shared" si="1"/>
        <v>0</v>
      </c>
    </row>
    <row r="119" spans="1:20">
      <c r="A119" s="44" t="s">
        <v>13</v>
      </c>
      <c r="B119" s="41">
        <v>98</v>
      </c>
      <c r="C119" s="40">
        <v>1470</v>
      </c>
      <c r="D119" s="40">
        <v>2940</v>
      </c>
      <c r="E119" s="40">
        <v>1960</v>
      </c>
      <c r="F119" s="40">
        <v>982</v>
      </c>
      <c r="G119" s="40">
        <v>5388</v>
      </c>
      <c r="H119" s="41">
        <v>294</v>
      </c>
      <c r="L119" s="89" t="str">
        <f>A118</f>
        <v>Standard</v>
      </c>
      <c r="M119" s="89">
        <f t="shared" ref="M119:M120" si="2">B118</f>
        <v>96</v>
      </c>
      <c r="N119" s="244">
        <f t="shared" si="1"/>
        <v>960</v>
      </c>
      <c r="O119" s="244">
        <f t="shared" si="1"/>
        <v>0</v>
      </c>
      <c r="P119" s="244">
        <f t="shared" si="1"/>
        <v>1920</v>
      </c>
      <c r="Q119" s="244">
        <f t="shared" si="1"/>
        <v>1079</v>
      </c>
      <c r="R119" s="244">
        <f t="shared" si="1"/>
        <v>1801</v>
      </c>
      <c r="S119" s="89">
        <f t="shared" si="1"/>
        <v>192</v>
      </c>
      <c r="T119" s="89">
        <f t="shared" si="1"/>
        <v>0</v>
      </c>
    </row>
    <row r="120" spans="1:20">
      <c r="A120" s="206" t="s">
        <v>334</v>
      </c>
      <c r="B120" s="207">
        <v>295</v>
      </c>
      <c r="C120" s="208">
        <v>2935</v>
      </c>
      <c r="D120" s="208">
        <v>2940</v>
      </c>
      <c r="E120" s="208">
        <v>3880</v>
      </c>
      <c r="F120" s="208">
        <v>2122</v>
      </c>
      <c r="G120" s="208">
        <v>7633</v>
      </c>
      <c r="H120" s="207">
        <v>587</v>
      </c>
      <c r="L120" s="89" t="str">
        <f>A119</f>
        <v>Ultimate</v>
      </c>
      <c r="M120" s="89">
        <f t="shared" si="2"/>
        <v>98</v>
      </c>
      <c r="N120" s="244">
        <f t="shared" si="1"/>
        <v>1470</v>
      </c>
      <c r="O120" s="244">
        <f t="shared" si="1"/>
        <v>2940</v>
      </c>
      <c r="P120" s="244">
        <f t="shared" si="1"/>
        <v>1960</v>
      </c>
      <c r="Q120" s="244">
        <f t="shared" si="1"/>
        <v>982</v>
      </c>
      <c r="R120" s="244">
        <f t="shared" si="1"/>
        <v>5388</v>
      </c>
      <c r="S120" s="89">
        <f t="shared" si="1"/>
        <v>294</v>
      </c>
      <c r="T120" s="89">
        <f t="shared" si="1"/>
        <v>0</v>
      </c>
    </row>
    <row r="121" spans="1:20" ht="15" thickBot="1">
      <c r="C121" s="100"/>
      <c r="D121" s="100"/>
      <c r="E121" s="100"/>
      <c r="F121" s="100"/>
      <c r="L121" s="91" t="str">
        <f>A120</f>
        <v>Total Geral</v>
      </c>
      <c r="M121" s="89">
        <f>B120</f>
        <v>295</v>
      </c>
      <c r="N121" s="244">
        <f>C120</f>
        <v>2935</v>
      </c>
      <c r="O121" s="244">
        <f>D120</f>
        <v>2940</v>
      </c>
      <c r="P121" s="244">
        <f>E120</f>
        <v>3880</v>
      </c>
      <c r="Q121" s="244">
        <f t="shared" si="1"/>
        <v>2122</v>
      </c>
      <c r="R121" s="244">
        <f t="shared" si="1"/>
        <v>7633</v>
      </c>
      <c r="S121" s="89">
        <f>H120</f>
        <v>587</v>
      </c>
      <c r="T121" s="89">
        <f t="shared" si="1"/>
        <v>0</v>
      </c>
    </row>
    <row r="122" spans="1:20" ht="15" thickTop="1">
      <c r="A122" s="216" t="s">
        <v>381</v>
      </c>
      <c r="B122" s="217" t="s">
        <v>377</v>
      </c>
      <c r="C122" s="100"/>
      <c r="D122" s="100"/>
      <c r="E122" s="100"/>
      <c r="F122" s="100"/>
      <c r="L122" s="18"/>
      <c r="M122" s="213"/>
      <c r="N122" s="214"/>
      <c r="O122" s="215"/>
      <c r="P122" s="214"/>
      <c r="Q122" s="48"/>
      <c r="R122" s="94"/>
      <c r="S122" s="18"/>
      <c r="T122" s="94"/>
    </row>
    <row r="123" spans="1:20" ht="21" thickBot="1">
      <c r="A123" s="274" t="s">
        <v>416</v>
      </c>
      <c r="B123" s="274"/>
      <c r="C123" s="274"/>
      <c r="D123" s="274"/>
      <c r="E123" s="100"/>
      <c r="F123" s="100"/>
      <c r="L123" s="18"/>
      <c r="M123" s="213"/>
      <c r="N123" s="214"/>
      <c r="O123" s="215"/>
      <c r="P123" s="214"/>
      <c r="Q123" s="48"/>
      <c r="R123" s="94"/>
      <c r="S123" s="18"/>
      <c r="T123" s="94"/>
    </row>
    <row r="124" spans="1:20" ht="21" thickTop="1">
      <c r="A124" s="222"/>
      <c r="B124" s="222" t="s">
        <v>337</v>
      </c>
      <c r="C124" s="222"/>
      <c r="D124" s="222"/>
      <c r="E124" s="100"/>
      <c r="F124" s="25">
        <f>5388*100</f>
        <v>538800</v>
      </c>
      <c r="L124" s="241" t="s">
        <v>416</v>
      </c>
      <c r="M124" s="241"/>
      <c r="N124" s="241"/>
      <c r="O124" s="241"/>
      <c r="P124" s="214"/>
      <c r="Q124" s="48"/>
      <c r="R124" s="94"/>
      <c r="S124" s="18"/>
      <c r="T124" s="94"/>
    </row>
    <row r="125" spans="1:20">
      <c r="A125" s="203"/>
      <c r="B125" s="203" t="s">
        <v>417</v>
      </c>
      <c r="C125" s="205" t="s">
        <v>418</v>
      </c>
      <c r="D125" s="203" t="s">
        <v>334</v>
      </c>
      <c r="E125" s="100"/>
      <c r="F125" s="268">
        <f>538800/7633</f>
        <v>70.588235294117652</v>
      </c>
      <c r="M125" t="s">
        <v>337</v>
      </c>
      <c r="P125" s="214"/>
      <c r="Q125" s="48"/>
      <c r="R125" s="94"/>
      <c r="S125" s="18"/>
      <c r="T125" s="94"/>
    </row>
    <row r="126" spans="1:20" ht="20.25">
      <c r="A126" s="82" t="s">
        <v>427</v>
      </c>
      <c r="B126" s="240">
        <v>101</v>
      </c>
      <c r="C126" s="240">
        <v>194</v>
      </c>
      <c r="D126" s="240">
        <v>295</v>
      </c>
      <c r="E126" s="191"/>
      <c r="I126" s="191"/>
      <c r="M126" t="s">
        <v>417</v>
      </c>
      <c r="N126" t="s">
        <v>418</v>
      </c>
      <c r="O126" t="s">
        <v>334</v>
      </c>
      <c r="P126" s="214"/>
      <c r="Q126" s="48"/>
      <c r="R126" s="94"/>
      <c r="S126" s="18"/>
      <c r="T126" s="94"/>
    </row>
    <row r="127" spans="1:20" ht="15" thickBot="1">
      <c r="E127"/>
      <c r="F127"/>
      <c r="L127" t="str">
        <f>A126</f>
        <v>Assinatura Total</v>
      </c>
      <c r="M127">
        <f>GETPIVOTDATA("Subscription stacking",$A$124,"Minecraft Season Pass","Não Assinante")</f>
        <v>101</v>
      </c>
      <c r="N127">
        <f>GETPIVOTDATA("Subscription stacking",$A$124,"Minecraft Season Pass","Assinante")</f>
        <v>194</v>
      </c>
      <c r="O127">
        <f>GETPIVOTDATA("Subscription stacking",$A$124)</f>
        <v>295</v>
      </c>
      <c r="P127" s="214"/>
      <c r="Q127" s="48"/>
      <c r="R127" s="94"/>
      <c r="S127" s="18"/>
      <c r="T127" s="94"/>
    </row>
    <row r="128" spans="1:20" ht="15" thickTop="1">
      <c r="A128" s="222" t="s">
        <v>381</v>
      </c>
      <c r="B128" s="222" t="s">
        <v>377</v>
      </c>
      <c r="E128"/>
      <c r="F128" s="267">
        <f>9800/295</f>
        <v>33.220338983050844</v>
      </c>
      <c r="L128" s="18"/>
      <c r="M128" s="213"/>
      <c r="N128" s="214"/>
      <c r="O128" s="215"/>
      <c r="P128" s="214"/>
      <c r="Q128" s="48"/>
      <c r="R128" s="94"/>
      <c r="S128" s="18"/>
      <c r="T128" s="94"/>
    </row>
    <row r="129" spans="1:20" ht="21" thickBot="1">
      <c r="A129" s="274" t="s">
        <v>419</v>
      </c>
      <c r="B129" s="274"/>
      <c r="C129" s="274"/>
      <c r="D129" s="274"/>
      <c r="E129"/>
      <c r="F129"/>
      <c r="L129" s="18"/>
      <c r="M129" s="213"/>
      <c r="N129" s="214"/>
      <c r="O129" s="215"/>
      <c r="P129" s="214"/>
      <c r="Q129" s="48"/>
      <c r="R129" s="94"/>
      <c r="S129" s="18"/>
      <c r="T129" s="94"/>
    </row>
    <row r="130" spans="1:20" ht="21" thickTop="1">
      <c r="A130" s="222"/>
      <c r="B130" s="222" t="s">
        <v>337</v>
      </c>
      <c r="C130" s="222"/>
      <c r="D130" s="222"/>
      <c r="E130"/>
      <c r="F130"/>
      <c r="L130" s="241" t="s">
        <v>419</v>
      </c>
      <c r="M130" s="241"/>
      <c r="N130" s="241"/>
      <c r="O130" s="241"/>
      <c r="P130" s="214"/>
      <c r="Q130" s="48"/>
      <c r="R130" s="94"/>
      <c r="S130" s="18"/>
      <c r="T130" s="94"/>
    </row>
    <row r="131" spans="1:20">
      <c r="A131" s="203"/>
      <c r="B131" s="203" t="s">
        <v>421</v>
      </c>
      <c r="C131" s="203" t="s">
        <v>422</v>
      </c>
      <c r="D131" s="203" t="s">
        <v>334</v>
      </c>
      <c r="E131"/>
      <c r="F131"/>
      <c r="M131" t="s">
        <v>337</v>
      </c>
      <c r="P131" s="214"/>
      <c r="Q131" s="48"/>
      <c r="R131" s="94"/>
      <c r="S131" s="18"/>
      <c r="T131" s="94"/>
    </row>
    <row r="132" spans="1:20">
      <c r="A132" s="82" t="s">
        <v>413</v>
      </c>
      <c r="B132" s="240">
        <v>197</v>
      </c>
      <c r="C132" s="240">
        <v>98</v>
      </c>
      <c r="D132" s="240">
        <v>295</v>
      </c>
      <c r="E132"/>
      <c r="F132"/>
      <c r="M132" t="s">
        <v>421</v>
      </c>
      <c r="N132" t="s">
        <v>422</v>
      </c>
      <c r="O132" t="s">
        <v>334</v>
      </c>
      <c r="P132" s="214"/>
      <c r="Q132" s="48"/>
      <c r="R132" s="94"/>
      <c r="S132" s="18"/>
      <c r="T132" s="94"/>
    </row>
    <row r="133" spans="1:20" ht="15" thickBot="1">
      <c r="E133"/>
      <c r="F133"/>
      <c r="L133" t="str">
        <f>A132</f>
        <v>Contagem de Subscription stacking</v>
      </c>
      <c r="M133">
        <f>GETPIVOTDATA("Subscription stacking",$A$130,"EA Play Season Pass","Não Assinantes")</f>
        <v>197</v>
      </c>
      <c r="N133">
        <f>GETPIVOTDATA("Subscription stacking",$A$130,"EA Play Season Pass","Assinantes")</f>
        <v>98</v>
      </c>
      <c r="O133">
        <f>GETPIVOTDATA("Subscription stacking",$A$130)</f>
        <v>295</v>
      </c>
      <c r="P133" s="214"/>
      <c r="Q133" s="48"/>
      <c r="R133" s="94"/>
      <c r="S133" s="18"/>
      <c r="T133" s="94"/>
    </row>
    <row r="134" spans="1:20" ht="15" thickTop="1">
      <c r="A134" s="216" t="s">
        <v>381</v>
      </c>
      <c r="B134" s="217" t="s">
        <v>377</v>
      </c>
      <c r="C134"/>
      <c r="D134"/>
      <c r="E134" s="100"/>
      <c r="F134" s="100"/>
      <c r="L134" s="18"/>
      <c r="M134" s="213"/>
      <c r="N134" s="214"/>
      <c r="O134" s="215"/>
      <c r="P134" s="214"/>
      <c r="Q134" s="48"/>
      <c r="R134" s="94"/>
      <c r="S134" s="18"/>
      <c r="T134" s="94"/>
    </row>
    <row r="135" spans="1:20" ht="21" thickBot="1">
      <c r="A135" s="274" t="s">
        <v>420</v>
      </c>
      <c r="B135" s="274"/>
      <c r="C135" s="191"/>
      <c r="D135" s="191"/>
      <c r="E135" s="100"/>
      <c r="F135" s="100"/>
      <c r="L135" s="18"/>
      <c r="M135" s="213"/>
      <c r="N135" s="214"/>
      <c r="O135" s="215"/>
      <c r="P135" s="214"/>
      <c r="Q135" s="48"/>
      <c r="R135" s="94"/>
      <c r="S135" s="18"/>
      <c r="T135" s="94"/>
    </row>
    <row r="136" spans="1:20" ht="21" thickTop="1">
      <c r="A136" s="222" t="s">
        <v>404</v>
      </c>
      <c r="B136" s="222" t="s">
        <v>415</v>
      </c>
      <c r="C136" t="s">
        <v>375</v>
      </c>
      <c r="D136"/>
      <c r="E136"/>
      <c r="F136"/>
      <c r="L136" s="241" t="s">
        <v>420</v>
      </c>
      <c r="M136" s="241"/>
    </row>
    <row r="137" spans="1:20">
      <c r="A137" s="198">
        <v>587</v>
      </c>
      <c r="B137" s="165">
        <v>295</v>
      </c>
      <c r="C137"/>
      <c r="D137"/>
      <c r="E137"/>
      <c r="F137"/>
      <c r="L137" t="s">
        <v>404</v>
      </c>
      <c r="M137" t="s">
        <v>415</v>
      </c>
    </row>
    <row r="138" spans="1:20">
      <c r="A138" s="165"/>
      <c r="B138" s="165"/>
      <c r="C138"/>
      <c r="D138"/>
      <c r="E138"/>
      <c r="F138"/>
    </row>
    <row r="139" spans="1:20">
      <c r="B139"/>
      <c r="C139"/>
      <c r="D139"/>
      <c r="E139"/>
      <c r="F139"/>
      <c r="L139">
        <f>GETPIVOTDATA("Soma de Subscription stacking",$A$136)</f>
        <v>587</v>
      </c>
      <c r="M139">
        <f>GETPIVOTDATA("Contagem de Subscriber ID",$A$136)</f>
        <v>295</v>
      </c>
    </row>
    <row r="140" spans="1:20" ht="21" thickBot="1">
      <c r="A140" s="272" t="s">
        <v>432</v>
      </c>
      <c r="B140" s="272"/>
      <c r="C140" s="191"/>
      <c r="D140"/>
      <c r="E140"/>
      <c r="F140"/>
    </row>
    <row r="141" spans="1:20" ht="21.75" thickTop="1" thickBot="1">
      <c r="A141" s="256" t="s">
        <v>354</v>
      </c>
      <c r="B141" s="257" t="s">
        <v>402</v>
      </c>
      <c r="C141" s="293"/>
      <c r="D141" s="294"/>
      <c r="E141"/>
      <c r="F141"/>
      <c r="L141" s="270" t="s">
        <v>432</v>
      </c>
      <c r="M141" s="279"/>
      <c r="N141" s="279"/>
      <c r="O141" s="271"/>
    </row>
    <row r="142" spans="1:20" ht="15.75" thickTop="1">
      <c r="A142" s="199" t="s">
        <v>342</v>
      </c>
      <c r="B142" s="253">
        <v>65</v>
      </c>
      <c r="C142" s="125"/>
      <c r="D142"/>
      <c r="E142"/>
      <c r="F142"/>
      <c r="L142" s="261" t="s">
        <v>402</v>
      </c>
      <c r="M142" s="262" t="str">
        <f t="shared" ref="M142:M155" si="3">A141</f>
        <v>Datas de Inscrição</v>
      </c>
      <c r="N142" s="277" t="s">
        <v>434</v>
      </c>
      <c r="O142" s="278"/>
    </row>
    <row r="143" spans="1:20">
      <c r="A143" s="199" t="s">
        <v>343</v>
      </c>
      <c r="B143" s="254">
        <v>82</v>
      </c>
      <c r="C143" s="100"/>
      <c r="D143"/>
      <c r="E143" s="100"/>
      <c r="F143" s="100"/>
      <c r="L143" s="263">
        <f>GETPIVOTDATA("Total Value",$A$141,"Meses",1)</f>
        <v>65</v>
      </c>
      <c r="M143" s="197" t="str">
        <f t="shared" si="3"/>
        <v>jan</v>
      </c>
      <c r="N143" s="214">
        <f>MAX(L143:L154)</f>
        <v>832</v>
      </c>
      <c r="O143" s="117" t="str">
        <f>VLOOKUP(N143,L143:M154,2,0)</f>
        <v>out</v>
      </c>
      <c r="P143" s="214"/>
      <c r="Q143" s="48"/>
      <c r="R143" s="94"/>
      <c r="S143" s="18"/>
      <c r="T143" s="94"/>
    </row>
    <row r="144" spans="1:20">
      <c r="A144" s="199" t="s">
        <v>344</v>
      </c>
      <c r="B144" s="254">
        <v>801</v>
      </c>
      <c r="C144" s="100"/>
      <c r="D144"/>
      <c r="G144" s="39"/>
      <c r="L144" s="263">
        <f>GETPIVOTDATA("Total Value",$A$141,"Meses",2)</f>
        <v>82</v>
      </c>
      <c r="M144" s="245" t="str">
        <f t="shared" si="3"/>
        <v>fev</v>
      </c>
      <c r="N144" s="18"/>
      <c r="O144" s="90"/>
    </row>
    <row r="145" spans="1:19">
      <c r="A145" s="199" t="s">
        <v>345</v>
      </c>
      <c r="B145" s="254">
        <v>782</v>
      </c>
      <c r="C145" s="100"/>
      <c r="D145"/>
      <c r="L145" s="263">
        <f>GETPIVOTDATA("Total Value",$A$141,"Meses",3)</f>
        <v>801</v>
      </c>
      <c r="M145" s="245" t="str">
        <f t="shared" si="3"/>
        <v>mar</v>
      </c>
      <c r="N145" s="18"/>
      <c r="O145" s="90"/>
      <c r="P145" s="25"/>
      <c r="Q145" s="25"/>
    </row>
    <row r="146" spans="1:19" ht="17.25" customHeight="1">
      <c r="A146" s="199" t="s">
        <v>346</v>
      </c>
      <c r="B146" s="254">
        <v>777</v>
      </c>
      <c r="C146" s="100"/>
      <c r="D146" s="246"/>
      <c r="E146" s="246"/>
      <c r="F146" s="246"/>
      <c r="G146" s="246"/>
      <c r="H146" s="82"/>
      <c r="L146" s="263">
        <f>GETPIVOTDATA("Total Value",$A$141,"Meses",4)</f>
        <v>782</v>
      </c>
      <c r="M146" s="245" t="str">
        <f t="shared" si="3"/>
        <v>abr</v>
      </c>
      <c r="N146" s="277" t="s">
        <v>435</v>
      </c>
      <c r="O146" s="278"/>
      <c r="P146" s="25"/>
      <c r="Q146" s="25"/>
      <c r="R146" s="39"/>
    </row>
    <row r="147" spans="1:19">
      <c r="A147" s="199" t="s">
        <v>347</v>
      </c>
      <c r="B147" s="254">
        <v>770</v>
      </c>
      <c r="C147" s="100"/>
      <c r="D147" s="246"/>
      <c r="E147" s="246"/>
      <c r="F147" s="246"/>
      <c r="G147" s="246"/>
      <c r="H147" s="82"/>
      <c r="L147" s="263">
        <f>GETPIVOTDATA("Total Value",$A$141,"Meses",5)</f>
        <v>777</v>
      </c>
      <c r="M147" s="197" t="str">
        <f t="shared" si="3"/>
        <v>mai</v>
      </c>
      <c r="N147" s="226">
        <f>MIN(L143:L154)</f>
        <v>65</v>
      </c>
      <c r="O147" s="117" t="str">
        <f>VLOOKUP(N147,L143:M154,2,0)</f>
        <v>jan</v>
      </c>
      <c r="P147" s="25"/>
      <c r="Q147" s="25"/>
    </row>
    <row r="148" spans="1:19" ht="17.25">
      <c r="A148" s="199" t="s">
        <v>348</v>
      </c>
      <c r="B148" s="254">
        <v>784</v>
      </c>
      <c r="C148" s="100"/>
      <c r="D148"/>
      <c r="E148" s="246"/>
      <c r="F148" s="246"/>
      <c r="G148" s="246"/>
      <c r="H148" s="82"/>
      <c r="L148" s="263">
        <f>GETPIVOTDATA("Total Value",$A$141,"Meses",6)</f>
        <v>770</v>
      </c>
      <c r="M148" s="84" t="str">
        <f t="shared" si="3"/>
        <v>jun</v>
      </c>
      <c r="N148" s="110"/>
      <c r="O148" s="119"/>
      <c r="P148" s="110"/>
      <c r="Q148" s="110"/>
      <c r="R148" s="110"/>
      <c r="S148" s="82"/>
    </row>
    <row r="149" spans="1:19" ht="15" customHeight="1">
      <c r="A149" s="199" t="s">
        <v>349</v>
      </c>
      <c r="B149" s="254">
        <v>787</v>
      </c>
      <c r="C149" s="100"/>
      <c r="D149"/>
      <c r="E149" s="246"/>
      <c r="F149" s="246"/>
      <c r="G149" s="246"/>
      <c r="H149" s="82"/>
      <c r="L149" s="263">
        <f>GETPIVOTDATA("Total Value",$A$141,"Meses",7)</f>
        <v>784</v>
      </c>
      <c r="M149" s="84" t="str">
        <f t="shared" si="3"/>
        <v>jul</v>
      </c>
      <c r="N149" s="84"/>
      <c r="O149" s="88"/>
      <c r="P149" s="82"/>
      <c r="Q149" s="82"/>
      <c r="R149" s="82"/>
      <c r="S149" s="82"/>
    </row>
    <row r="150" spans="1:19">
      <c r="A150" s="199" t="s">
        <v>350</v>
      </c>
      <c r="B150" s="254">
        <v>780</v>
      </c>
      <c r="C150" s="100"/>
      <c r="D150"/>
      <c r="E150" s="82"/>
      <c r="F150" s="82"/>
      <c r="G150" s="82"/>
      <c r="H150" s="82"/>
      <c r="L150" s="263">
        <f>GETPIVOTDATA("Total Value",$A$141,"Meses",8)</f>
        <v>787</v>
      </c>
      <c r="M150" s="245" t="str">
        <f t="shared" si="3"/>
        <v>ago</v>
      </c>
      <c r="N150" s="18"/>
      <c r="O150" s="90"/>
      <c r="P150" s="18"/>
      <c r="Q150" s="18"/>
      <c r="R150" s="18"/>
      <c r="S150" s="18"/>
    </row>
    <row r="151" spans="1:19">
      <c r="A151" s="199" t="s">
        <v>351</v>
      </c>
      <c r="B151" s="254">
        <v>832</v>
      </c>
      <c r="C151" s="100"/>
      <c r="D151"/>
      <c r="E151" s="82"/>
      <c r="F151" s="82"/>
      <c r="G151" s="82"/>
      <c r="H151" s="82"/>
      <c r="L151" s="263">
        <f>GETPIVOTDATA("Total Value",$A$141,"Meses",9)</f>
        <v>780</v>
      </c>
      <c r="M151" s="245" t="str">
        <f t="shared" si="3"/>
        <v>set</v>
      </c>
      <c r="N151" s="94"/>
      <c r="O151" s="98"/>
      <c r="P151" s="94"/>
      <c r="Q151" s="94"/>
      <c r="R151" s="94"/>
      <c r="S151" s="160"/>
    </row>
    <row r="152" spans="1:19">
      <c r="A152" s="199" t="s">
        <v>352</v>
      </c>
      <c r="B152" s="254">
        <v>784</v>
      </c>
      <c r="C152" s="100"/>
      <c r="D152" s="82"/>
      <c r="E152" s="82"/>
      <c r="F152" s="82"/>
      <c r="G152" s="82"/>
      <c r="H152" s="82"/>
      <c r="L152" s="263">
        <f>GETPIVOTDATA("Total Value",$A$141,"Meses",10)</f>
        <v>832</v>
      </c>
      <c r="M152" s="245" t="str">
        <f t="shared" si="3"/>
        <v>out</v>
      </c>
      <c r="N152" s="94"/>
      <c r="O152" s="98"/>
      <c r="P152" s="94"/>
      <c r="Q152" s="94"/>
      <c r="R152" s="94"/>
      <c r="S152" s="160"/>
    </row>
    <row r="153" spans="1:19" ht="15" thickBot="1">
      <c r="A153" s="199" t="s">
        <v>353</v>
      </c>
      <c r="B153" s="254">
        <v>389</v>
      </c>
      <c r="C153" s="100"/>
      <c r="L153" s="263">
        <f>GETPIVOTDATA("Total Value",$A$141,"Meses",11)</f>
        <v>784</v>
      </c>
      <c r="M153" s="260" t="str">
        <f t="shared" si="3"/>
        <v>nov</v>
      </c>
      <c r="N153" s="94"/>
      <c r="O153" s="98"/>
      <c r="P153" s="94"/>
      <c r="Q153" s="94"/>
      <c r="R153" s="94"/>
      <c r="S153" s="160"/>
    </row>
    <row r="154" spans="1:19" ht="15.75" thickTop="1" thickBot="1">
      <c r="A154" s="258" t="s">
        <v>335</v>
      </c>
      <c r="B154" s="259">
        <v>7633</v>
      </c>
      <c r="C154" s="100"/>
      <c r="L154" s="263">
        <f>GETPIVOTDATA("Total Value",$A$141,"Meses",12)</f>
        <v>389</v>
      </c>
      <c r="M154" s="260" t="str">
        <f t="shared" si="3"/>
        <v>dez</v>
      </c>
      <c r="N154" s="94"/>
      <c r="O154" s="98"/>
      <c r="P154" s="94"/>
      <c r="Q154" s="94"/>
      <c r="R154" s="94"/>
      <c r="S154" s="160"/>
    </row>
    <row r="155" spans="1:19" ht="16.5" thickTop="1" thickBot="1">
      <c r="D155"/>
      <c r="L155" s="264">
        <f>GETPIVOTDATA("Total Value",$A$141)</f>
        <v>7633</v>
      </c>
      <c r="M155" s="265" t="str">
        <f t="shared" si="3"/>
        <v>Quantidade</v>
      </c>
      <c r="N155" s="116"/>
      <c r="O155" s="228"/>
      <c r="P155" s="25"/>
      <c r="Q155" s="25"/>
    </row>
    <row r="156" spans="1:19" ht="26.25" thickTop="1">
      <c r="A156" s="82"/>
      <c r="D156"/>
      <c r="F156" s="158"/>
      <c r="G156" s="159"/>
      <c r="H156" s="159"/>
      <c r="I156" s="159"/>
      <c r="J156" s="159"/>
      <c r="M156" s="38"/>
      <c r="N156" s="25"/>
      <c r="O156" s="25"/>
      <c r="P156" s="25"/>
      <c r="Q156" s="25"/>
    </row>
    <row r="157" spans="1:19">
      <c r="A157" s="82"/>
      <c r="B157"/>
      <c r="C157"/>
      <c r="D157"/>
      <c r="E157" s="100"/>
      <c r="F157"/>
      <c r="M157" s="38"/>
      <c r="N157" s="100"/>
      <c r="O157" s="100"/>
      <c r="P157" s="100"/>
      <c r="Q157" s="100"/>
    </row>
    <row r="158" spans="1:19" ht="20.25">
      <c r="A158" s="82"/>
      <c r="B158" s="273"/>
      <c r="C158" s="273"/>
      <c r="D158"/>
      <c r="E158" s="100"/>
      <c r="G158" s="110"/>
      <c r="H158" s="110"/>
      <c r="I158" s="110"/>
      <c r="J158" s="110"/>
      <c r="M158" s="38"/>
      <c r="N158" s="100"/>
      <c r="O158" s="100"/>
      <c r="P158" s="100"/>
      <c r="Q158" s="100"/>
    </row>
    <row r="159" spans="1:19">
      <c r="A159" s="82"/>
      <c r="B159" s="82"/>
      <c r="C159" s="82"/>
      <c r="D159" s="100"/>
      <c r="E159" s="100"/>
      <c r="G159" s="82"/>
      <c r="H159" s="82"/>
      <c r="I159" s="84"/>
      <c r="J159" s="84"/>
      <c r="M159" s="38"/>
      <c r="N159" s="100"/>
      <c r="O159" s="100"/>
      <c r="P159" s="100"/>
      <c r="Q159" s="100"/>
    </row>
    <row r="160" spans="1:19">
      <c r="A160" s="82"/>
      <c r="B160" s="240"/>
      <c r="C160" s="243"/>
      <c r="G160" s="82"/>
      <c r="H160" s="83"/>
      <c r="I160" s="84"/>
      <c r="J160" s="84"/>
      <c r="M160" s="38"/>
      <c r="N160" s="25"/>
      <c r="O160" s="25"/>
      <c r="P160" s="25"/>
      <c r="Q160" s="25"/>
    </row>
    <row r="161" spans="1:17" ht="15">
      <c r="A161" s="82"/>
      <c r="B161" s="240"/>
      <c r="C161" s="243"/>
      <c r="G161" s="82"/>
      <c r="H161" s="82"/>
      <c r="I161" s="85"/>
      <c r="J161" s="85"/>
    </row>
    <row r="162" spans="1:17" ht="15">
      <c r="A162" s="82"/>
      <c r="B162" s="82"/>
      <c r="C162" s="85"/>
      <c r="G162" s="82"/>
      <c r="H162" s="82"/>
      <c r="I162" s="82"/>
      <c r="J162" s="82"/>
    </row>
    <row r="163" spans="1:17">
      <c r="G163" s="82"/>
      <c r="H163" s="82"/>
      <c r="I163" s="82"/>
      <c r="J163" s="82"/>
    </row>
    <row r="164" spans="1:17">
      <c r="G164" s="82"/>
      <c r="H164" s="82"/>
      <c r="I164" s="82"/>
      <c r="J164" s="82"/>
      <c r="K164" s="87"/>
      <c r="M164" s="38"/>
      <c r="N164" s="25"/>
      <c r="O164" s="25"/>
      <c r="P164" s="25"/>
      <c r="Q164" s="25"/>
    </row>
    <row r="165" spans="1:17">
      <c r="G165" s="82"/>
      <c r="H165" s="82"/>
      <c r="I165" s="82"/>
      <c r="J165" s="82"/>
      <c r="K165" s="87"/>
      <c r="M165" s="38"/>
      <c r="N165" s="25"/>
      <c r="O165" s="25"/>
      <c r="P165" s="25"/>
      <c r="Q165" s="25"/>
    </row>
    <row r="166" spans="1:17">
      <c r="K166" s="87"/>
    </row>
    <row r="167" spans="1:17">
      <c r="K167" s="87"/>
    </row>
    <row r="168" spans="1:17">
      <c r="K168" s="87"/>
    </row>
    <row r="169" spans="1:17">
      <c r="K169" s="87"/>
    </row>
    <row r="170" spans="1:17">
      <c r="K170" s="87"/>
    </row>
    <row r="171" spans="1:17">
      <c r="K171" s="87"/>
    </row>
    <row r="172" spans="1:17">
      <c r="K172" s="87"/>
    </row>
    <row r="174" spans="1:17" ht="15" thickBot="1"/>
    <row r="175" spans="1:17" ht="18.75" thickTop="1" thickBot="1">
      <c r="A175" s="286" t="s">
        <v>367</v>
      </c>
      <c r="B175" s="287"/>
      <c r="C175" s="287"/>
      <c r="D175" s="287"/>
      <c r="E175" s="288"/>
      <c r="G175" s="285"/>
      <c r="H175" s="285"/>
      <c r="I175" s="285"/>
      <c r="J175" s="163"/>
      <c r="M175" s="38"/>
      <c r="N175" s="25"/>
      <c r="O175" s="25"/>
      <c r="P175" s="25"/>
      <c r="Q175" s="25"/>
    </row>
    <row r="176" spans="1:17" ht="15.75" thickTop="1" thickBot="1">
      <c r="A176" s="166" t="s">
        <v>335</v>
      </c>
      <c r="B176" s="166" t="s">
        <v>355</v>
      </c>
      <c r="C176" s="170"/>
      <c r="D176" s="171"/>
      <c r="E176" s="172"/>
      <c r="G176" s="82"/>
      <c r="H176" s="82"/>
      <c r="I176" s="84"/>
      <c r="J176" s="84"/>
      <c r="M176" s="38"/>
      <c r="N176" s="25"/>
      <c r="O176" s="25"/>
      <c r="P176" s="25"/>
      <c r="Q176" s="25"/>
    </row>
    <row r="177" spans="1:17" ht="18.75" thickTop="1" thickBot="1">
      <c r="A177" s="166" t="s">
        <v>354</v>
      </c>
      <c r="B177" s="170" t="s">
        <v>17</v>
      </c>
      <c r="C177" s="171" t="s">
        <v>21</v>
      </c>
      <c r="D177" s="172" t="s">
        <v>13</v>
      </c>
      <c r="E177" s="166" t="s">
        <v>335</v>
      </c>
      <c r="G177" s="82"/>
      <c r="H177" s="83"/>
      <c r="I177" s="84"/>
      <c r="J177" s="84"/>
      <c r="L177" s="281" t="s">
        <v>367</v>
      </c>
      <c r="M177" s="282"/>
      <c r="N177" s="282"/>
      <c r="O177" s="282"/>
      <c r="P177" s="283"/>
      <c r="Q177" s="25"/>
    </row>
    <row r="178" spans="1:17" ht="15.75" thickTop="1">
      <c r="A178" s="178" t="s">
        <v>346</v>
      </c>
      <c r="B178" s="103">
        <v>11</v>
      </c>
      <c r="C178" s="173">
        <v>10</v>
      </c>
      <c r="D178" s="169">
        <v>10</v>
      </c>
      <c r="E178" s="175">
        <v>31</v>
      </c>
      <c r="G178" s="18"/>
      <c r="H178" s="18"/>
      <c r="I178" s="85"/>
      <c r="J178" s="85"/>
      <c r="L178" s="89" t="s">
        <v>335</v>
      </c>
      <c r="M178" s="18" t="s">
        <v>355</v>
      </c>
      <c r="N178" s="18"/>
      <c r="O178" s="18"/>
      <c r="P178" s="90"/>
      <c r="Q178" s="25"/>
    </row>
    <row r="179" spans="1:17">
      <c r="A179" s="179" t="s">
        <v>349</v>
      </c>
      <c r="B179" s="174">
        <v>11</v>
      </c>
      <c r="C179" s="63">
        <v>10</v>
      </c>
      <c r="D179" s="61">
        <v>10</v>
      </c>
      <c r="E179" s="54">
        <v>31</v>
      </c>
      <c r="G179" s="18"/>
      <c r="H179" s="18"/>
      <c r="I179" s="84"/>
      <c r="J179" s="84"/>
      <c r="L179" s="89" t="s">
        <v>354</v>
      </c>
      <c r="M179" s="18" t="s">
        <v>17</v>
      </c>
      <c r="N179" s="18" t="s">
        <v>21</v>
      </c>
      <c r="O179" s="18" t="s">
        <v>13</v>
      </c>
      <c r="P179" s="90" t="s">
        <v>335</v>
      </c>
      <c r="Q179" s="25"/>
    </row>
    <row r="180" spans="1:17">
      <c r="A180" s="176" t="s">
        <v>344</v>
      </c>
      <c r="B180" s="174">
        <v>11</v>
      </c>
      <c r="C180" s="63">
        <v>10</v>
      </c>
      <c r="D180" s="61">
        <v>10</v>
      </c>
      <c r="E180" s="181">
        <v>31</v>
      </c>
      <c r="G180" s="18"/>
      <c r="H180" s="18"/>
      <c r="I180" s="84"/>
      <c r="J180" s="84"/>
      <c r="L180" s="89" t="str">
        <f t="shared" ref="L180:L191" si="4">A178</f>
        <v>mai</v>
      </c>
      <c r="M180" s="18">
        <f>GETPIVOTDATA("Plan",$A$176,"Plan","Core","Meses",5)</f>
        <v>11</v>
      </c>
      <c r="N180" s="18">
        <f>GETPIVOTDATA("Plan",$A$176,"Plan","Standard","Meses",5)</f>
        <v>10</v>
      </c>
      <c r="O180" s="18">
        <f>GETPIVOTDATA("Plan",$A$176,"Plan","Ultimate","Meses",5)</f>
        <v>10</v>
      </c>
      <c r="P180" s="90">
        <f>GETPIVOTDATA("Plan",$A$176,"Meses",5)</f>
        <v>31</v>
      </c>
      <c r="Q180" s="25"/>
    </row>
    <row r="181" spans="1:17">
      <c r="A181" s="176" t="s">
        <v>351</v>
      </c>
      <c r="B181" s="174">
        <v>10</v>
      </c>
      <c r="C181" s="63">
        <v>10</v>
      </c>
      <c r="D181" s="61">
        <v>11</v>
      </c>
      <c r="E181" s="54">
        <v>31</v>
      </c>
      <c r="G181" s="18"/>
      <c r="H181" s="18"/>
      <c r="I181" s="84"/>
      <c r="J181" s="84"/>
      <c r="L181" s="89" t="str">
        <f t="shared" si="4"/>
        <v>ago</v>
      </c>
      <c r="M181" s="18">
        <f>GETPIVOTDATA("Plan",$A$176,"Plan","Core","Meses",8)</f>
        <v>11</v>
      </c>
      <c r="N181" s="18">
        <f>GETPIVOTDATA("Plan",$A$176,"Plan","Standard","Meses",8)</f>
        <v>10</v>
      </c>
      <c r="O181" s="18">
        <f>GETPIVOTDATA("Plan",$A$176,"Plan","Ultimate","Meses",8)</f>
        <v>10</v>
      </c>
      <c r="P181" s="90">
        <f>GETPIVOTDATA("Plan",$A$176,"Meses",8)</f>
        <v>31</v>
      </c>
      <c r="Q181" s="25"/>
    </row>
    <row r="182" spans="1:17" ht="15">
      <c r="A182" s="185" t="s">
        <v>348</v>
      </c>
      <c r="B182" s="104">
        <v>11</v>
      </c>
      <c r="C182" s="41">
        <v>10</v>
      </c>
      <c r="D182" s="60">
        <v>10</v>
      </c>
      <c r="E182" s="180">
        <v>31</v>
      </c>
      <c r="G182" s="18"/>
      <c r="H182" s="18"/>
      <c r="I182" s="85"/>
      <c r="J182" s="85"/>
      <c r="L182" s="89" t="str">
        <f t="shared" si="4"/>
        <v>mar</v>
      </c>
      <c r="M182" s="18">
        <f>GETPIVOTDATA("Plan",$A$176,"Plan","Core","Meses",3)</f>
        <v>11</v>
      </c>
      <c r="N182" s="18">
        <f>GETPIVOTDATA("Plan",$A$176,"Plan","Standard","Meses",3)</f>
        <v>10</v>
      </c>
      <c r="O182" s="18">
        <f>GETPIVOTDATA("Plan",$A$176,"Plan","Ultimate","Meses",3)</f>
        <v>10</v>
      </c>
      <c r="P182" s="90">
        <f>GETPIVOTDATA("Plan",$A$176,"Meses",3)</f>
        <v>31</v>
      </c>
      <c r="Q182" s="25"/>
    </row>
    <row r="183" spans="1:17">
      <c r="A183" s="186" t="s">
        <v>352</v>
      </c>
      <c r="B183" s="183">
        <v>10</v>
      </c>
      <c r="C183" s="58">
        <v>10</v>
      </c>
      <c r="D183" s="59">
        <v>10</v>
      </c>
      <c r="E183" s="180">
        <v>30</v>
      </c>
      <c r="L183" s="89" t="str">
        <f t="shared" si="4"/>
        <v>out</v>
      </c>
      <c r="M183" s="18">
        <f>GETPIVOTDATA("Plan",$A$176,"Plan","Core","Meses",10)</f>
        <v>10</v>
      </c>
      <c r="N183" s="18">
        <f>GETPIVOTDATA("Plan",$A$176,"Plan","Standard","Meses",10)</f>
        <v>10</v>
      </c>
      <c r="O183" s="18">
        <f>GETPIVOTDATA("Plan",$A$176,"Plan","Ultimate","Meses",10)</f>
        <v>11</v>
      </c>
      <c r="P183" s="90">
        <f>GETPIVOTDATA("Plan",$A$176,"Meses",10)</f>
        <v>31</v>
      </c>
      <c r="Q183" s="25"/>
    </row>
    <row r="184" spans="1:17">
      <c r="A184" s="186" t="s">
        <v>350</v>
      </c>
      <c r="B184" s="183">
        <v>10</v>
      </c>
      <c r="C184" s="63">
        <v>10</v>
      </c>
      <c r="D184" s="61">
        <v>10</v>
      </c>
      <c r="E184" s="180">
        <v>30</v>
      </c>
      <c r="L184" s="89" t="str">
        <f t="shared" si="4"/>
        <v>jul</v>
      </c>
      <c r="M184" s="18">
        <f>GETPIVOTDATA("Plan",$A$176,"Plan","Core","Meses",7)</f>
        <v>11</v>
      </c>
      <c r="N184" s="18">
        <f>GETPIVOTDATA("Plan",$A$176,"Plan","Standard","Meses",7)</f>
        <v>10</v>
      </c>
      <c r="O184" s="18">
        <f>GETPIVOTDATA("Plan",$A$176,"Plan","Ultimate","Meses",7)</f>
        <v>10</v>
      </c>
      <c r="P184" s="90">
        <f>GETPIVOTDATA("Plan",$A$176,"Meses",7)</f>
        <v>31</v>
      </c>
      <c r="Q184" s="25"/>
    </row>
    <row r="185" spans="1:17">
      <c r="A185" s="186" t="s">
        <v>347</v>
      </c>
      <c r="B185" s="183">
        <v>10</v>
      </c>
      <c r="C185" s="41">
        <v>10</v>
      </c>
      <c r="D185" s="60">
        <v>10</v>
      </c>
      <c r="E185" s="180">
        <v>30</v>
      </c>
      <c r="L185" s="89" t="str">
        <f t="shared" si="4"/>
        <v>nov</v>
      </c>
      <c r="M185" s="18">
        <f>GETPIVOTDATA("Plan",$A$176,"Plan","Core","Meses",11)</f>
        <v>10</v>
      </c>
      <c r="N185" s="18">
        <f>GETPIVOTDATA("Plan",$A$176,"Plan","Standard","Meses",11)</f>
        <v>10</v>
      </c>
      <c r="O185" s="18">
        <f>GETPIVOTDATA("Plan",$A$176,"Plan","Ultimate","Meses",11)</f>
        <v>10</v>
      </c>
      <c r="P185" s="90">
        <f>GETPIVOTDATA("Plan",$A$176,"Meses",11)</f>
        <v>30</v>
      </c>
      <c r="Q185" s="25"/>
    </row>
    <row r="186" spans="1:17">
      <c r="A186" s="186" t="s">
        <v>345</v>
      </c>
      <c r="B186" s="183">
        <v>10</v>
      </c>
      <c r="C186" s="63">
        <v>10</v>
      </c>
      <c r="D186" s="59">
        <v>10</v>
      </c>
      <c r="E186" s="180">
        <v>30</v>
      </c>
      <c r="L186" s="89" t="str">
        <f t="shared" si="4"/>
        <v>set</v>
      </c>
      <c r="M186" s="18">
        <f>GETPIVOTDATA("Plan",$A$176,"Plan","Core","Meses",9)</f>
        <v>10</v>
      </c>
      <c r="N186" s="18">
        <f>GETPIVOTDATA("Plan",$A$176,"Plan","Standard","Meses",9)</f>
        <v>10</v>
      </c>
      <c r="O186" s="18">
        <f>GETPIVOTDATA("Plan",$A$176,"Plan","Ultimate","Meses",9)</f>
        <v>10</v>
      </c>
      <c r="P186" s="90">
        <f>GETPIVOTDATA("Plan",$A$176,"Meses",9)</f>
        <v>30</v>
      </c>
      <c r="Q186" s="25"/>
    </row>
    <row r="187" spans="1:17">
      <c r="A187" s="177" t="s">
        <v>353</v>
      </c>
      <c r="B187" s="183">
        <v>6</v>
      </c>
      <c r="C187" s="182">
        <v>5</v>
      </c>
      <c r="D187" s="59">
        <v>5</v>
      </c>
      <c r="E187" s="181">
        <v>16</v>
      </c>
      <c r="L187" s="89" t="str">
        <f t="shared" si="4"/>
        <v>jun</v>
      </c>
      <c r="M187" s="18">
        <f>GETPIVOTDATA("Plan",$A$176,"Plan","Core","Meses",6)</f>
        <v>10</v>
      </c>
      <c r="N187" s="18">
        <f>GETPIVOTDATA("Plan",$A$176,"Plan","Standard","Meses",6)</f>
        <v>10</v>
      </c>
      <c r="O187" s="18">
        <f>GETPIVOTDATA("Plan",$A$176,"Plan","Ultimate","Meses",6)</f>
        <v>10</v>
      </c>
      <c r="P187" s="90">
        <f>GETPIVOTDATA("Plan",$A$176,"Meses",6)</f>
        <v>30</v>
      </c>
      <c r="Q187" s="25"/>
    </row>
    <row r="188" spans="1:17">
      <c r="A188" s="184" t="s">
        <v>342</v>
      </c>
      <c r="B188" s="183">
        <v>1</v>
      </c>
      <c r="C188" s="182"/>
      <c r="D188" s="59">
        <v>1</v>
      </c>
      <c r="E188" s="62">
        <v>2</v>
      </c>
      <c r="L188" s="89" t="str">
        <f t="shared" si="4"/>
        <v>abr</v>
      </c>
      <c r="M188" s="18">
        <f>GETPIVOTDATA("Plan",$A$176,"Plan","Core","Meses",4)</f>
        <v>10</v>
      </c>
      <c r="N188" s="18">
        <f>GETPIVOTDATA("Plan",$A$176,"Plan","Standard","Meses",4)</f>
        <v>10</v>
      </c>
      <c r="O188" s="18">
        <f>GETPIVOTDATA("Plan",$A$176,"Plan","Ultimate","Meses",4)</f>
        <v>10</v>
      </c>
      <c r="P188" s="90">
        <f>GETPIVOTDATA("Plan",$A$176,"Meses",4)</f>
        <v>30</v>
      </c>
      <c r="Q188" s="25"/>
    </row>
    <row r="189" spans="1:17" ht="15" thickBot="1">
      <c r="A189" s="187" t="s">
        <v>343</v>
      </c>
      <c r="B189" s="183"/>
      <c r="C189" s="41">
        <v>1</v>
      </c>
      <c r="D189" s="58">
        <v>1</v>
      </c>
      <c r="E189" s="54">
        <v>2</v>
      </c>
      <c r="L189" s="89" t="str">
        <f t="shared" si="4"/>
        <v>dez</v>
      </c>
      <c r="M189" s="18">
        <f>GETPIVOTDATA("Plan",$A$176,"Plan","Core","Meses",12)</f>
        <v>6</v>
      </c>
      <c r="N189" s="18">
        <f>GETPIVOTDATA("Plan",$A$176,"Plan","Standard","Meses",12)</f>
        <v>5</v>
      </c>
      <c r="O189" s="18">
        <f>GETPIVOTDATA("Plan",$A$176,"Plan","Ultimate","Meses",12)</f>
        <v>5</v>
      </c>
      <c r="P189" s="90">
        <f>GETPIVOTDATA("Plan",$A$176,"Meses",12)</f>
        <v>16</v>
      </c>
      <c r="Q189" s="25"/>
    </row>
    <row r="190" spans="1:17" ht="15.75" thickTop="1" thickBot="1">
      <c r="A190" s="106" t="s">
        <v>335</v>
      </c>
      <c r="B190" s="105">
        <v>101</v>
      </c>
      <c r="C190" s="49">
        <v>96</v>
      </c>
      <c r="D190" s="49">
        <v>98</v>
      </c>
      <c r="E190" s="53">
        <v>295</v>
      </c>
      <c r="L190" s="89" t="str">
        <f t="shared" si="4"/>
        <v>jan</v>
      </c>
      <c r="M190" s="18">
        <f>GETPIVOTDATA("Plan",$A$176,"Plan","Core","Meses",1)</f>
        <v>1</v>
      </c>
      <c r="N190" s="18">
        <f>GETPIVOTDATA("Plan",$A$176,"Plan","Standard","Meses",1)</f>
        <v>0</v>
      </c>
      <c r="O190" s="18">
        <f>GETPIVOTDATA("Plan",$A$176,"Plan","Ultimate","Meses",1)</f>
        <v>1</v>
      </c>
      <c r="P190" s="90">
        <f>GETPIVOTDATA("Plan",$A$176,"Meses",1)</f>
        <v>2</v>
      </c>
      <c r="Q190" s="25"/>
    </row>
    <row r="191" spans="1:17" ht="15" thickTop="1">
      <c r="B191"/>
      <c r="C191"/>
      <c r="D191"/>
      <c r="E191"/>
      <c r="L191" s="89" t="str">
        <f t="shared" si="4"/>
        <v>fev</v>
      </c>
      <c r="M191" s="18">
        <f>GETPIVOTDATA("Plan",$A$176,"Plan","Core","Meses",2)</f>
        <v>0</v>
      </c>
      <c r="N191" s="18">
        <f>GETPIVOTDATA("Plan",$A$176,"Plan","Standard","Meses",2)</f>
        <v>1</v>
      </c>
      <c r="O191" s="18">
        <f>GETPIVOTDATA("Plan",$A$176,"Plan","Ultimate","Meses",2)</f>
        <v>1</v>
      </c>
      <c r="P191" s="90">
        <f>GETPIVOTDATA("Plan",$A$176,"Meses",2)</f>
        <v>2</v>
      </c>
      <c r="Q191" s="25"/>
    </row>
    <row r="192" spans="1:17" ht="15" thickBot="1">
      <c r="B192"/>
      <c r="C192"/>
      <c r="D192"/>
      <c r="E192"/>
      <c r="L192" s="91" t="s">
        <v>335</v>
      </c>
      <c r="M192" s="92">
        <f>GETPIVOTDATA("Plan",$A$176,"Plan","Core")</f>
        <v>101</v>
      </c>
      <c r="N192" s="92">
        <f>GETPIVOTDATA("Plan",$A$176,"Plan","Standard")</f>
        <v>96</v>
      </c>
      <c r="O192" s="92">
        <f>GETPIVOTDATA("Plan",$A$176,"Plan","Ultimate")</f>
        <v>98</v>
      </c>
      <c r="P192" s="93">
        <f>GETPIVOTDATA("Plan",$A$176)</f>
        <v>295</v>
      </c>
      <c r="Q192" s="25"/>
    </row>
    <row r="193" spans="1:20" ht="15.75" thickTop="1" thickBot="1">
      <c r="B193"/>
      <c r="C193"/>
      <c r="D193"/>
      <c r="E193"/>
      <c r="Q193" s="25"/>
    </row>
    <row r="194" spans="1:20" ht="18" thickTop="1">
      <c r="A194" s="286" t="s">
        <v>366</v>
      </c>
      <c r="B194" s="287"/>
      <c r="C194" s="287"/>
      <c r="D194" s="287"/>
      <c r="E194" s="287"/>
      <c r="F194" s="287"/>
      <c r="G194" s="288"/>
      <c r="Q194" s="25"/>
    </row>
    <row r="195" spans="1:20" ht="15" thickBot="1">
      <c r="A195" s="46"/>
      <c r="B195" s="45"/>
      <c r="C195" s="45"/>
      <c r="D195" s="45"/>
      <c r="E195" s="45"/>
      <c r="F195" s="45"/>
      <c r="G195" s="51"/>
      <c r="L195" s="87"/>
      <c r="M195" s="87"/>
      <c r="N195" s="87"/>
      <c r="O195" s="87"/>
      <c r="P195" s="87"/>
      <c r="Q195" s="97"/>
      <c r="R195" s="87"/>
    </row>
    <row r="196" spans="1:20" ht="18.75" thickTop="1" thickBot="1">
      <c r="A196" s="135" t="s">
        <v>354</v>
      </c>
      <c r="B196" s="107" t="s">
        <v>335</v>
      </c>
      <c r="C196" s="107" t="s">
        <v>362</v>
      </c>
      <c r="D196" s="108" t="s">
        <v>357</v>
      </c>
      <c r="E196" s="108" t="s">
        <v>363</v>
      </c>
      <c r="F196" s="108" t="s">
        <v>364</v>
      </c>
      <c r="G196" s="109" t="s">
        <v>365</v>
      </c>
      <c r="L196" s="281" t="s">
        <v>366</v>
      </c>
      <c r="M196" s="282"/>
      <c r="N196" s="282"/>
      <c r="O196" s="282"/>
      <c r="P196" s="282"/>
      <c r="Q196" s="282"/>
      <c r="R196" s="283"/>
    </row>
    <row r="197" spans="1:20" ht="15" thickTop="1">
      <c r="A197" s="144" t="s">
        <v>351</v>
      </c>
      <c r="B197" s="136">
        <v>31</v>
      </c>
      <c r="C197" s="133">
        <v>315</v>
      </c>
      <c r="D197" s="133">
        <v>330</v>
      </c>
      <c r="E197" s="133">
        <v>420</v>
      </c>
      <c r="F197" s="133">
        <v>233</v>
      </c>
      <c r="G197" s="140">
        <v>832</v>
      </c>
      <c r="L197" s="86"/>
      <c r="M197" s="82"/>
      <c r="N197" s="82"/>
      <c r="O197" s="82"/>
      <c r="P197" s="82"/>
      <c r="Q197" s="82"/>
      <c r="R197" s="88"/>
    </row>
    <row r="198" spans="1:20">
      <c r="A198" s="137" t="s">
        <v>344</v>
      </c>
      <c r="B198" s="136">
        <v>31</v>
      </c>
      <c r="C198" s="64">
        <v>305</v>
      </c>
      <c r="D198" s="65">
        <v>300</v>
      </c>
      <c r="E198" s="64">
        <v>400</v>
      </c>
      <c r="F198" s="65">
        <v>204</v>
      </c>
      <c r="G198" s="56">
        <v>801</v>
      </c>
      <c r="L198" s="89" t="s">
        <v>354</v>
      </c>
      <c r="M198" s="18" t="s">
        <v>335</v>
      </c>
      <c r="N198" s="18" t="s">
        <v>362</v>
      </c>
      <c r="O198" s="18" t="s">
        <v>357</v>
      </c>
      <c r="P198" s="18" t="s">
        <v>363</v>
      </c>
      <c r="Q198" s="18" t="s">
        <v>364</v>
      </c>
      <c r="R198" s="90" t="s">
        <v>365</v>
      </c>
    </row>
    <row r="199" spans="1:20">
      <c r="A199" s="144" t="s">
        <v>349</v>
      </c>
      <c r="B199" s="136">
        <v>31</v>
      </c>
      <c r="C199" s="64">
        <v>305</v>
      </c>
      <c r="D199" s="139">
        <v>300</v>
      </c>
      <c r="E199" s="64">
        <v>400</v>
      </c>
      <c r="F199" s="55">
        <v>218</v>
      </c>
      <c r="G199" s="66">
        <v>787</v>
      </c>
      <c r="L199" s="89" t="str">
        <f t="shared" ref="L199:L210" si="5">A197</f>
        <v>out</v>
      </c>
      <c r="M199" s="18">
        <f>GETPIVOTDATA("Quantidade",$A$196,"Meses",10)</f>
        <v>31</v>
      </c>
      <c r="N199" s="94">
        <f>GETPIVOTDATA("Total Subscription Price",$A$196,"Meses",10)</f>
        <v>315</v>
      </c>
      <c r="O199" s="94">
        <f>GETPIVOTDATA("Total EA Play Season Pass",$A$196,"Meses",10)</f>
        <v>330</v>
      </c>
      <c r="P199" s="94">
        <f>GETPIVOTDATA("Total Minecraft Season Pass Price",$A$196,"Meses",10)</f>
        <v>420</v>
      </c>
      <c r="Q199" s="94">
        <f>GETPIVOTDATA("Total  Coupon Value",$A$196,"Meses",10)</f>
        <v>233</v>
      </c>
      <c r="R199" s="98">
        <f>GETPIVOTDATA("Total Final Value",$A$196,"Meses",10)</f>
        <v>832</v>
      </c>
    </row>
    <row r="200" spans="1:20">
      <c r="A200" s="137" t="s">
        <v>352</v>
      </c>
      <c r="B200" s="136">
        <v>30</v>
      </c>
      <c r="C200" s="64">
        <v>300</v>
      </c>
      <c r="D200" s="139">
        <v>300</v>
      </c>
      <c r="E200" s="64">
        <v>400</v>
      </c>
      <c r="F200" s="64">
        <v>216</v>
      </c>
      <c r="G200" s="66">
        <v>784</v>
      </c>
      <c r="L200" s="89" t="str">
        <f t="shared" si="5"/>
        <v>mar</v>
      </c>
      <c r="M200" s="18">
        <f>GETPIVOTDATA("Quantidade",$A$196,"Meses",3)</f>
        <v>31</v>
      </c>
      <c r="N200" s="94">
        <f>GETPIVOTDATA("Total Subscription Price",$A$196,"Meses",3)</f>
        <v>305</v>
      </c>
      <c r="O200" s="94">
        <f>GETPIVOTDATA("Total EA Play Season Pass",$A$196,"Meses",3)</f>
        <v>300</v>
      </c>
      <c r="P200" s="94">
        <f>GETPIVOTDATA("Total Minecraft Season Pass Price",$A$196,"Meses",3)</f>
        <v>400</v>
      </c>
      <c r="Q200" s="94">
        <f>GETPIVOTDATA("Total  Coupon Value",$A$196,"Meses",3)</f>
        <v>204</v>
      </c>
      <c r="R200" s="98">
        <f>GETPIVOTDATA("Total Final Value",$A$196,"Meses",3)</f>
        <v>801</v>
      </c>
    </row>
    <row r="201" spans="1:20">
      <c r="A201" s="144" t="s">
        <v>348</v>
      </c>
      <c r="B201" s="136">
        <v>31</v>
      </c>
      <c r="C201" s="64">
        <v>305</v>
      </c>
      <c r="D201" s="55">
        <v>300</v>
      </c>
      <c r="E201" s="64">
        <v>400</v>
      </c>
      <c r="F201" s="64">
        <v>221</v>
      </c>
      <c r="G201" s="67">
        <v>784</v>
      </c>
      <c r="L201" s="89" t="str">
        <f t="shared" si="5"/>
        <v>ago</v>
      </c>
      <c r="M201" s="18">
        <f>GETPIVOTDATA("Quantidade",$A$196,"Meses",8)</f>
        <v>31</v>
      </c>
      <c r="N201" s="94">
        <f>GETPIVOTDATA("Total Subscription Price",$A$196,"Meses",8)</f>
        <v>305</v>
      </c>
      <c r="O201" s="94">
        <f>GETPIVOTDATA("Total EA Play Season Pass",$A$196,"Meses",8)</f>
        <v>300</v>
      </c>
      <c r="P201" s="94">
        <f>GETPIVOTDATA("Total Minecraft Season Pass Price",$A$196,"Meses",8)</f>
        <v>400</v>
      </c>
      <c r="Q201" s="94">
        <f>GETPIVOTDATA("Total  Coupon Value",$A$196,"Meses",8)</f>
        <v>218</v>
      </c>
      <c r="R201" s="98">
        <f>GETPIVOTDATA("Total Final Value",$A$196,"Meses",8)</f>
        <v>787</v>
      </c>
    </row>
    <row r="202" spans="1:20">
      <c r="A202" s="137" t="s">
        <v>345</v>
      </c>
      <c r="B202" s="136">
        <v>30</v>
      </c>
      <c r="C202" s="64">
        <v>300</v>
      </c>
      <c r="D202" s="64">
        <v>300</v>
      </c>
      <c r="E202" s="64">
        <v>400</v>
      </c>
      <c r="F202" s="64">
        <v>218</v>
      </c>
      <c r="G202" s="56">
        <v>782</v>
      </c>
      <c r="L202" s="89" t="str">
        <f t="shared" si="5"/>
        <v>nov</v>
      </c>
      <c r="M202" s="18">
        <f>GETPIVOTDATA("Quantidade",$A$196,"Meses",11)</f>
        <v>30</v>
      </c>
      <c r="N202" s="94">
        <f>GETPIVOTDATA("Total Subscription Price",$A$196,"Meses",11)</f>
        <v>300</v>
      </c>
      <c r="O202" s="94">
        <f>GETPIVOTDATA("Total EA Play Season Pass",$A$196,"Meses",11)</f>
        <v>300</v>
      </c>
      <c r="P202" s="94">
        <f>GETPIVOTDATA("Total Minecraft Season Pass Price",$A$196,"Meses",11)</f>
        <v>400</v>
      </c>
      <c r="Q202" s="94">
        <f>GETPIVOTDATA("Total  Coupon Value",$A$196,"Meses",11)</f>
        <v>216</v>
      </c>
      <c r="R202" s="98">
        <f>GETPIVOTDATA("Total Final Value",$A$196,"Meses",11)</f>
        <v>784</v>
      </c>
    </row>
    <row r="203" spans="1:20">
      <c r="A203" s="144" t="s">
        <v>350</v>
      </c>
      <c r="B203" s="136">
        <v>30</v>
      </c>
      <c r="C203" s="64">
        <v>300</v>
      </c>
      <c r="D203" s="64">
        <v>300</v>
      </c>
      <c r="E203" s="64">
        <v>400</v>
      </c>
      <c r="F203" s="64">
        <v>220</v>
      </c>
      <c r="G203" s="67">
        <v>780</v>
      </c>
      <c r="L203" s="89" t="str">
        <f t="shared" si="5"/>
        <v>jul</v>
      </c>
      <c r="M203" s="18">
        <f>GETPIVOTDATA("Quantidade",$A$196,"Meses",7)</f>
        <v>31</v>
      </c>
      <c r="N203" s="94">
        <f>GETPIVOTDATA("Total Subscription Price",$A$196,"Meses",7)</f>
        <v>305</v>
      </c>
      <c r="O203" s="94">
        <f>GETPIVOTDATA("Total EA Play Season Pass",$A$196,"Meses",7)</f>
        <v>300</v>
      </c>
      <c r="P203" s="94">
        <f>GETPIVOTDATA("Total Minecraft Season Pass Price",$A$196,"Meses",7)</f>
        <v>400</v>
      </c>
      <c r="Q203" s="94">
        <f>GETPIVOTDATA("Total  Coupon Value",$A$196,"Meses",7)</f>
        <v>221</v>
      </c>
      <c r="R203" s="98">
        <f>GETPIVOTDATA("Total Final Value",$A$196,"Meses",7)</f>
        <v>784</v>
      </c>
    </row>
    <row r="204" spans="1:20">
      <c r="A204" s="141" t="s">
        <v>346</v>
      </c>
      <c r="B204" s="134">
        <v>31</v>
      </c>
      <c r="C204" s="64">
        <v>305</v>
      </c>
      <c r="D204" s="64">
        <v>300</v>
      </c>
      <c r="E204" s="64">
        <v>400</v>
      </c>
      <c r="F204" s="64">
        <v>228</v>
      </c>
      <c r="G204" s="56">
        <v>777</v>
      </c>
      <c r="L204" s="89" t="str">
        <f t="shared" si="5"/>
        <v>abr</v>
      </c>
      <c r="M204" s="18">
        <f>GETPIVOTDATA("Quantidade",$A$196,"Meses",4)</f>
        <v>30</v>
      </c>
      <c r="N204" s="94">
        <f>GETPIVOTDATA("Total Subscription Price",$A$196,"Meses",4)</f>
        <v>300</v>
      </c>
      <c r="O204" s="94">
        <f>GETPIVOTDATA("Total EA Play Season Pass",$A$196,"Meses",4)</f>
        <v>300</v>
      </c>
      <c r="P204" s="94">
        <f>GETPIVOTDATA("Total Minecraft Season Pass Price",$A$196,"Meses",4)</f>
        <v>400</v>
      </c>
      <c r="Q204" s="94">
        <f>GETPIVOTDATA("Total  Coupon Value",$A$196,"Meses",4)</f>
        <v>218</v>
      </c>
      <c r="R204" s="98">
        <f>GETPIVOTDATA("Total Final Value",$A$196,"Meses",4)</f>
        <v>782</v>
      </c>
    </row>
    <row r="205" spans="1:20">
      <c r="A205" s="102" t="s">
        <v>347</v>
      </c>
      <c r="B205" s="138">
        <v>30</v>
      </c>
      <c r="C205" s="64">
        <v>300</v>
      </c>
      <c r="D205" s="64">
        <v>300</v>
      </c>
      <c r="E205" s="64">
        <v>400</v>
      </c>
      <c r="F205" s="65">
        <v>230</v>
      </c>
      <c r="G205" s="66">
        <v>770</v>
      </c>
      <c r="I205" s="18"/>
      <c r="J205" s="18"/>
      <c r="L205" s="89" t="str">
        <f t="shared" si="5"/>
        <v>set</v>
      </c>
      <c r="M205" s="18">
        <f>GETPIVOTDATA("Quantidade",$A$196,"Meses",9)</f>
        <v>30</v>
      </c>
      <c r="N205" s="94">
        <f>GETPIVOTDATA("Total Subscription Price",$A$196,"Meses",9)</f>
        <v>300</v>
      </c>
      <c r="O205" s="94">
        <f>GETPIVOTDATA("Total EA Play Season Pass",$A$196,"Meses",9)</f>
        <v>300</v>
      </c>
      <c r="P205" s="94">
        <f>GETPIVOTDATA("Total Minecraft Season Pass Price",$A$196,"Meses",9)</f>
        <v>400</v>
      </c>
      <c r="Q205" s="94">
        <f>GETPIVOTDATA("Total  Coupon Value",$A$196,"Meses",9)</f>
        <v>220</v>
      </c>
      <c r="R205" s="98">
        <f>GETPIVOTDATA("Total Final Value",$A$196,"Meses",9)</f>
        <v>780</v>
      </c>
    </row>
    <row r="206" spans="1:20">
      <c r="A206" s="143" t="s">
        <v>353</v>
      </c>
      <c r="B206" s="138">
        <v>16</v>
      </c>
      <c r="C206" s="64">
        <v>155</v>
      </c>
      <c r="D206" s="64">
        <v>150</v>
      </c>
      <c r="E206" s="65">
        <v>200</v>
      </c>
      <c r="F206" s="55">
        <v>116</v>
      </c>
      <c r="G206" s="66">
        <v>389</v>
      </c>
      <c r="L206" s="89" t="str">
        <f t="shared" si="5"/>
        <v>mai</v>
      </c>
      <c r="M206" s="18">
        <f>GETPIVOTDATA("Quantidade",$A$196,"Meses",5)</f>
        <v>31</v>
      </c>
      <c r="N206" s="94">
        <f>GETPIVOTDATA("Total Subscription Price",$A$196,"Meses",5)</f>
        <v>305</v>
      </c>
      <c r="O206" s="94">
        <f>GETPIVOTDATA("Total EA Play Season Pass",$A$196,"Meses",5)</f>
        <v>300</v>
      </c>
      <c r="P206" s="94">
        <f>GETPIVOTDATA("Total Minecraft Season Pass Price",$A$196,"Meses",5)</f>
        <v>400</v>
      </c>
      <c r="Q206" s="94">
        <f>GETPIVOTDATA("Total  Coupon Value",$A$196,"Meses",5)</f>
        <v>228</v>
      </c>
      <c r="R206" s="98">
        <f>GETPIVOTDATA("Total Final Value",$A$196,"Meses",5)</f>
        <v>777</v>
      </c>
    </row>
    <row r="207" spans="1:20">
      <c r="A207" s="102" t="s">
        <v>343</v>
      </c>
      <c r="B207" s="138">
        <v>2</v>
      </c>
      <c r="C207" s="64">
        <v>25</v>
      </c>
      <c r="D207" s="64">
        <v>30</v>
      </c>
      <c r="E207" s="55">
        <v>40</v>
      </c>
      <c r="F207" s="65">
        <v>13</v>
      </c>
      <c r="G207" s="66">
        <v>82</v>
      </c>
      <c r="L207" s="89" t="str">
        <f t="shared" si="5"/>
        <v>jun</v>
      </c>
      <c r="M207" s="18">
        <f>GETPIVOTDATA("Quantidade",$A$196,"Meses",6)</f>
        <v>30</v>
      </c>
      <c r="N207" s="94">
        <f>GETPIVOTDATA("Total Subscription Price",$A$196,"Meses",6)</f>
        <v>300</v>
      </c>
      <c r="O207" s="94">
        <f>GETPIVOTDATA("Total EA Play Season Pass",$A$196,"Meses",6)</f>
        <v>300</v>
      </c>
      <c r="P207" s="94">
        <f>GETPIVOTDATA("Total Minecraft Season Pass Price",$A$196,"Meses",6)</f>
        <v>400</v>
      </c>
      <c r="Q207" s="94">
        <f>GETPIVOTDATA("Total  Coupon Value",$A$196,"Meses",6)</f>
        <v>230</v>
      </c>
      <c r="R207" s="98">
        <f>GETPIVOTDATA("Total Final Value",$A$196,"Meses",6)</f>
        <v>770</v>
      </c>
      <c r="T207" s="18"/>
    </row>
    <row r="208" spans="1:20" ht="15" thickBot="1">
      <c r="A208" s="142" t="s">
        <v>342</v>
      </c>
      <c r="B208" s="138">
        <v>2</v>
      </c>
      <c r="C208" s="64">
        <v>20</v>
      </c>
      <c r="D208" s="64">
        <v>30</v>
      </c>
      <c r="E208" s="64">
        <v>20</v>
      </c>
      <c r="F208" s="55">
        <v>5</v>
      </c>
      <c r="G208" s="66">
        <v>65</v>
      </c>
      <c r="L208" s="89" t="str">
        <f t="shared" si="5"/>
        <v>dez</v>
      </c>
      <c r="M208" s="18">
        <f>GETPIVOTDATA("Quantidade",$A$196,"Meses",12)</f>
        <v>16</v>
      </c>
      <c r="N208" s="94">
        <f>GETPIVOTDATA("Total Subscription Price",$A$196,"Meses",12)</f>
        <v>155</v>
      </c>
      <c r="O208" s="94">
        <f>GETPIVOTDATA("Total EA Play Season Pass",$A$196,"Meses",12)</f>
        <v>150</v>
      </c>
      <c r="P208" s="94">
        <f>GETPIVOTDATA("Total Minecraft Season Pass Price",$A$196,"Meses",12)</f>
        <v>200</v>
      </c>
      <c r="Q208" s="94">
        <f>GETPIVOTDATA("Total  Coupon Value",$A$196,"Meses",12)</f>
        <v>116</v>
      </c>
      <c r="R208" s="98">
        <f>GETPIVOTDATA("Total Final Value",$A$196,"Meses",12)</f>
        <v>389</v>
      </c>
    </row>
    <row r="209" spans="1:18" ht="15.75" thickTop="1" thickBot="1">
      <c r="A209" s="106" t="s">
        <v>335</v>
      </c>
      <c r="B209" s="105">
        <v>295</v>
      </c>
      <c r="C209" s="50">
        <v>2935</v>
      </c>
      <c r="D209" s="50">
        <v>2940</v>
      </c>
      <c r="E209" s="50">
        <v>3880</v>
      </c>
      <c r="F209" s="50">
        <v>2122</v>
      </c>
      <c r="G209" s="57">
        <v>7633</v>
      </c>
      <c r="L209" s="89" t="str">
        <f t="shared" si="5"/>
        <v>fev</v>
      </c>
      <c r="M209" s="18">
        <f>GETPIVOTDATA("Quantidade",$A$196,"Meses",2)</f>
        <v>2</v>
      </c>
      <c r="N209" s="94">
        <f>GETPIVOTDATA("Total Subscription Price",$A$196,"Meses",2)</f>
        <v>25</v>
      </c>
      <c r="O209" s="94">
        <f>GETPIVOTDATA("Total EA Play Season Pass",$A$196,"Meses",2)</f>
        <v>30</v>
      </c>
      <c r="P209" s="94">
        <f>GETPIVOTDATA("Total Minecraft Season Pass Price",$A$196,"Meses",2)</f>
        <v>40</v>
      </c>
      <c r="Q209" s="94">
        <f>GETPIVOTDATA("Total  Coupon Value",$A$196,"Meses",2)</f>
        <v>13</v>
      </c>
      <c r="R209" s="98">
        <f>GETPIVOTDATA("Total Final Value",$A$196,"Meses",2)</f>
        <v>82</v>
      </c>
    </row>
    <row r="210" spans="1:18" ht="15.75" thickTop="1" thickBot="1">
      <c r="B210"/>
      <c r="C210"/>
      <c r="D210"/>
      <c r="E210"/>
      <c r="F210"/>
      <c r="L210" s="89" t="str">
        <f t="shared" si="5"/>
        <v>jan</v>
      </c>
      <c r="M210" s="18">
        <f>GETPIVOTDATA("Quantidade",$A$196,"Meses",1)</f>
        <v>2</v>
      </c>
      <c r="N210" s="94">
        <f>GETPIVOTDATA("Total Subscription Price",$A$196,"Meses",1)</f>
        <v>20</v>
      </c>
      <c r="O210" s="94">
        <f>GETPIVOTDATA("Total EA Play Season Pass",$A$196,"Meses",1)</f>
        <v>30</v>
      </c>
      <c r="P210" s="94">
        <f>GETPIVOTDATA("Total Minecraft Season Pass Price",$A$196,"Meses",1)</f>
        <v>20</v>
      </c>
      <c r="Q210" s="94">
        <f>GETPIVOTDATA("Total  Coupon Value",$A$196,"Meses",1)</f>
        <v>5</v>
      </c>
      <c r="R210" s="98">
        <f>GETPIVOTDATA("Total Final Value",$A$196,"Meses",1)</f>
        <v>65</v>
      </c>
    </row>
    <row r="211" spans="1:18" ht="15" thickBot="1">
      <c r="B211"/>
      <c r="C211"/>
      <c r="D211"/>
      <c r="E211"/>
      <c r="F211"/>
      <c r="L211" s="91" t="s">
        <v>335</v>
      </c>
      <c r="M211" s="92">
        <f>GETPIVOTDATA("Quantidade",$A$196)</f>
        <v>295</v>
      </c>
      <c r="N211" s="95">
        <f>GETPIVOTDATA("Total Subscription Price",$A$196)</f>
        <v>2935</v>
      </c>
      <c r="O211" s="95">
        <f>GETPIVOTDATA("Total EA Play Season Pass",$A$196)</f>
        <v>2940</v>
      </c>
      <c r="P211" s="95">
        <f>GETPIVOTDATA("Total Minecraft Season Pass Price",$A$196)</f>
        <v>3880</v>
      </c>
      <c r="Q211" s="95">
        <f>GETPIVOTDATA("Total  Coupon Value",$A$196)</f>
        <v>2122</v>
      </c>
      <c r="R211" s="99">
        <f>GETPIVOTDATA("Total Final Value",$A$196)</f>
        <v>7633</v>
      </c>
    </row>
    <row r="212" spans="1:18" ht="15" thickTop="1">
      <c r="C212"/>
      <c r="D212"/>
      <c r="E212"/>
      <c r="F212"/>
    </row>
    <row r="213" spans="1:18">
      <c r="C213"/>
      <c r="D213"/>
      <c r="E213"/>
      <c r="F213"/>
    </row>
    <row r="214" spans="1:18">
      <c r="C214"/>
      <c r="D214"/>
      <c r="F214"/>
    </row>
    <row r="215" spans="1:18">
      <c r="C215"/>
      <c r="D215"/>
      <c r="E215"/>
      <c r="F215"/>
    </row>
    <row r="216" spans="1:18">
      <c r="C216"/>
      <c r="D216"/>
      <c r="E216"/>
      <c r="F216"/>
    </row>
    <row r="217" spans="1:18">
      <c r="C217"/>
      <c r="D217"/>
      <c r="E217"/>
      <c r="F217"/>
    </row>
    <row r="218" spans="1:18">
      <c r="C218"/>
      <c r="D218"/>
      <c r="E218"/>
      <c r="F218"/>
    </row>
    <row r="219" spans="1:18">
      <c r="C219"/>
      <c r="D219"/>
      <c r="F219"/>
    </row>
    <row r="220" spans="1:18">
      <c r="C220"/>
      <c r="D220"/>
      <c r="E220"/>
      <c r="F220"/>
    </row>
    <row r="221" spans="1:18">
      <c r="C221"/>
      <c r="D221"/>
      <c r="E221"/>
      <c r="F221"/>
    </row>
    <row r="222" spans="1:18">
      <c r="C222"/>
      <c r="D222"/>
      <c r="E222"/>
      <c r="F222"/>
    </row>
    <row r="223" spans="1:18">
      <c r="C223"/>
      <c r="D223"/>
      <c r="E223"/>
      <c r="F223"/>
    </row>
    <row r="224" spans="1:18">
      <c r="C224"/>
      <c r="D224"/>
      <c r="E224"/>
      <c r="F224"/>
    </row>
    <row r="225" spans="2:6"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 ht="15" thickBot="1">
      <c r="B228"/>
      <c r="C228"/>
      <c r="D228"/>
      <c r="E228"/>
      <c r="F228"/>
    </row>
    <row r="229" spans="2:6" ht="15.75" thickTop="1" thickBot="1">
      <c r="B229"/>
      <c r="C229"/>
      <c r="D229"/>
      <c r="E229"/>
      <c r="F229"/>
    </row>
    <row r="230" spans="2:6" ht="15" thickTop="1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 ht="15" thickBot="1"/>
    <row r="352" customFormat="1" ht="15.75" thickTop="1" thickBot="1"/>
    <row r="353" customFormat="1" ht="15" thickTop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spans="2:6">
      <c r="B513"/>
      <c r="C513"/>
      <c r="D513"/>
      <c r="E513"/>
      <c r="F513"/>
    </row>
    <row r="514" spans="2:6">
      <c r="B514"/>
      <c r="C514"/>
      <c r="D514"/>
      <c r="E514"/>
    </row>
    <row r="515" spans="2:6">
      <c r="B515"/>
      <c r="C515"/>
      <c r="D515"/>
      <c r="E515"/>
    </row>
    <row r="516" spans="2:6">
      <c r="B516"/>
      <c r="C516"/>
      <c r="D516"/>
      <c r="E516"/>
    </row>
    <row r="517" spans="2:6">
      <c r="B517"/>
      <c r="C517"/>
      <c r="D517"/>
      <c r="E517"/>
    </row>
    <row r="518" spans="2:6">
      <c r="B518"/>
      <c r="C518"/>
      <c r="D518"/>
      <c r="E518"/>
    </row>
    <row r="519" spans="2:6">
      <c r="B519"/>
      <c r="C519"/>
      <c r="D519"/>
      <c r="E519"/>
    </row>
    <row r="801" ht="15" thickBot="1"/>
    <row r="802" ht="15.75" thickTop="1" thickBot="1"/>
    <row r="803" ht="15" thickTop="1"/>
  </sheetData>
  <sheetProtection selectLockedCells="1" sort="0" autoFilter="0" pivotTables="0"/>
  <dataConsolidate/>
  <mergeCells count="39">
    <mergeCell ref="M61:T61"/>
    <mergeCell ref="A60:B60"/>
    <mergeCell ref="M17:P17"/>
    <mergeCell ref="M26:O26"/>
    <mergeCell ref="M35:O35"/>
    <mergeCell ref="M50:O50"/>
    <mergeCell ref="A46:C46"/>
    <mergeCell ref="A17:E17"/>
    <mergeCell ref="A61:I61"/>
    <mergeCell ref="A26:C26"/>
    <mergeCell ref="A35:C35"/>
    <mergeCell ref="A69:B69"/>
    <mergeCell ref="L196:R196"/>
    <mergeCell ref="Q86:T86"/>
    <mergeCell ref="G175:I175"/>
    <mergeCell ref="A105:I105"/>
    <mergeCell ref="L177:P177"/>
    <mergeCell ref="A194:G194"/>
    <mergeCell ref="A175:E175"/>
    <mergeCell ref="A84:B84"/>
    <mergeCell ref="F86:I86"/>
    <mergeCell ref="L105:T105"/>
    <mergeCell ref="C141:D141"/>
    <mergeCell ref="N142:O142"/>
    <mergeCell ref="G92:H92"/>
    <mergeCell ref="L92:M92"/>
    <mergeCell ref="P92:Q92"/>
    <mergeCell ref="A99:B99"/>
    <mergeCell ref="B158:C158"/>
    <mergeCell ref="A92:B92"/>
    <mergeCell ref="D92:E92"/>
    <mergeCell ref="A129:D129"/>
    <mergeCell ref="A135:B135"/>
    <mergeCell ref="A115:I115"/>
    <mergeCell ref="L116:S116"/>
    <mergeCell ref="A123:D123"/>
    <mergeCell ref="N146:O146"/>
    <mergeCell ref="L141:O141"/>
    <mergeCell ref="A140:B140"/>
  </mergeCells>
  <pageMargins left="0.511811024" right="0.511811024" top="0.78740157499999996" bottom="0.78740157499999996" header="0.31496062000000002" footer="0.31496062000000002"/>
  <pageSetup paperSize="9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FA5-EF0D-4E73-98C1-5BEB89809DD2}">
  <sheetPr>
    <tabColor theme="1"/>
  </sheetPr>
  <dimension ref="A8:N28"/>
  <sheetViews>
    <sheetView showGridLines="0" showRowColHeaders="0" tabSelected="1" zoomScaleNormal="100" workbookViewId="0">
      <selection activeCell="D16" sqref="D16:G16"/>
    </sheetView>
  </sheetViews>
  <sheetFormatPr defaultRowHeight="14.25"/>
  <cols>
    <col min="1" max="1" width="21.375" style="4" customWidth="1"/>
    <col min="2" max="2" width="3.5" style="13" customWidth="1"/>
    <col min="3" max="3" width="4.5" style="13" customWidth="1"/>
    <col min="4" max="5" width="9" style="13"/>
    <col min="6" max="6" width="4.75" style="13" customWidth="1"/>
    <col min="7" max="7" width="2.625" style="13" customWidth="1"/>
    <col min="8" max="8" width="4.5" style="13" customWidth="1"/>
    <col min="9" max="9" width="2.625" style="13" customWidth="1"/>
    <col min="10" max="10" width="6.75" style="13" customWidth="1"/>
    <col min="11" max="14" width="9" style="13"/>
    <col min="15" max="15" width="6.625" style="13" customWidth="1"/>
    <col min="16" max="16384" width="9" style="13"/>
  </cols>
  <sheetData>
    <row r="8" spans="3:14">
      <c r="C8" s="7"/>
    </row>
    <row r="9" spans="3:14">
      <c r="C9" s="7"/>
      <c r="D9" s="7"/>
      <c r="E9" s="7"/>
      <c r="F9" s="7"/>
      <c r="G9" s="7"/>
      <c r="H9" s="7"/>
      <c r="K9" s="23"/>
    </row>
    <row r="10" spans="3:14" ht="33.75" customHeight="1">
      <c r="C10" s="7"/>
      <c r="D10" s="7"/>
      <c r="E10" s="7"/>
      <c r="F10" s="7"/>
      <c r="G10" s="7"/>
      <c r="H10" s="7"/>
      <c r="K10" s="23"/>
    </row>
    <row r="11" spans="3:14" ht="15" customHeight="1">
      <c r="C11" s="7"/>
      <c r="D11" s="7"/>
      <c r="E11" s="7"/>
      <c r="F11" s="7"/>
      <c r="G11" s="7"/>
      <c r="H11" s="7"/>
    </row>
    <row r="12" spans="3:14" ht="24" customHeight="1">
      <c r="C12" s="305" t="s">
        <v>310</v>
      </c>
      <c r="D12" s="305"/>
      <c r="E12" s="305"/>
      <c r="F12" s="305"/>
      <c r="G12" s="305"/>
      <c r="H12" s="305"/>
    </row>
    <row r="13" spans="3:14" ht="21" customHeight="1">
      <c r="C13" s="7"/>
      <c r="D13" s="304"/>
      <c r="E13" s="304"/>
      <c r="F13" s="304"/>
      <c r="G13" s="304"/>
      <c r="H13" s="24"/>
      <c r="J13" s="30" t="s">
        <v>328</v>
      </c>
      <c r="K13" s="30" t="s">
        <v>329</v>
      </c>
      <c r="L13" s="32"/>
      <c r="M13" s="31"/>
      <c r="N13" s="31"/>
    </row>
    <row r="14" spans="3:14">
      <c r="C14" s="7"/>
      <c r="D14" s="7"/>
      <c r="E14" s="7"/>
      <c r="F14" s="7"/>
      <c r="G14" s="7"/>
      <c r="H14" s="7"/>
    </row>
    <row r="15" spans="3:14" ht="24" customHeight="1">
      <c r="C15" s="306" t="s">
        <v>312</v>
      </c>
      <c r="D15" s="306"/>
      <c r="E15" s="306"/>
      <c r="F15" s="306"/>
      <c r="G15" s="306"/>
      <c r="H15" s="306"/>
    </row>
    <row r="16" spans="3:14" ht="21" customHeight="1">
      <c r="C16" s="7"/>
      <c r="D16" s="307"/>
      <c r="E16" s="307"/>
      <c r="F16" s="307"/>
      <c r="G16" s="307"/>
      <c r="H16" s="27"/>
      <c r="I16" s="34" t="b">
        <f>ISNUMBER(MATCH(D16, {"DIR01";"DIR02";"VEND_SUPER";"VEND_REPRE";"DAD_SUPER";"DAD_ANALIS"}, 0))</f>
        <v>0</v>
      </c>
      <c r="J16" s="33" t="s">
        <v>328</v>
      </c>
      <c r="K16" s="33" t="s">
        <v>330</v>
      </c>
      <c r="L16" s="34"/>
      <c r="M16" s="34"/>
      <c r="N16" s="34"/>
    </row>
    <row r="17" spans="3:10" ht="18" customHeight="1">
      <c r="C17" s="7"/>
      <c r="D17" s="29"/>
      <c r="E17" s="29"/>
      <c r="F17" s="29"/>
      <c r="G17" s="29"/>
      <c r="H17" s="27"/>
    </row>
    <row r="18" spans="3:10" ht="14.25" customHeight="1">
      <c r="C18" s="308" t="str">
        <f>IF(ISNUMBER(MATCH(D16, {"DIR01";"DIR02"}, 0)),
   HYPERLINK("#D̳ash_Diretor!A1", "DASHBOARD DA DIRETORIA"),
IF(ISNUMBER(MATCH(D16, {"VEND_SUPER";"VEND_REPRE"}, 0)),
   HYPERLINK("#Dash_Vendas!A1", "DASHBOARD DA EQUIPE DE VENDAS"),
IF(ISNUMBER(MATCH(D16, {"DAD_SUPER";"DAD_ANALIS"}, 0)),
   HYPERLINK("#Dash_Analistas!A1", "DASHBOARD DOS ANALISTAS"),
"")))</f>
        <v/>
      </c>
      <c r="D18" s="308"/>
      <c r="E18" s="308"/>
      <c r="F18" s="308"/>
      <c r="G18" s="308"/>
      <c r="H18" s="308"/>
    </row>
    <row r="19" spans="3:10" ht="9.75" customHeight="1">
      <c r="C19" s="308"/>
      <c r="D19" s="308"/>
      <c r="E19" s="308"/>
      <c r="F19" s="308"/>
      <c r="G19" s="308"/>
      <c r="H19" s="308"/>
    </row>
    <row r="20" spans="3:10" ht="14.25" customHeight="1">
      <c r="D20" s="303" t="str">
        <f>IF(ISNUMBER(MATCH(D16, {"DIR01";"DIR02"}, 0)),
   HYPERLINK("#D̳ash_Diretor!A1", "ACESSAR"),
IF(ISNUMBER(MATCH(D16, {"VEND_SUPER";"VEND_REPRE"}, 0)),
   HYPERLINK("#D̳ash_Vendas!A1", "ACESSAR"),
IF(ISNUMBER(MATCH(D16, {"DAD_SUPER";"DAD_ANALIS"}, 0)),
   HYPERLINK("#D̳ash_Analistas!A1", "ACESSAR"),
"")))</f>
        <v/>
      </c>
      <c r="E20" s="303"/>
      <c r="F20" s="303"/>
      <c r="G20" s="303"/>
      <c r="H20" s="28"/>
    </row>
    <row r="21" spans="3:10" ht="14.25" customHeight="1">
      <c r="D21" s="303"/>
      <c r="E21" s="303"/>
      <c r="F21" s="303"/>
      <c r="G21" s="303"/>
    </row>
    <row r="28" spans="3:10">
      <c r="I28" s="23"/>
      <c r="J28" s="23"/>
    </row>
  </sheetData>
  <sheetProtection algorithmName="SHA-512" hashValue="+uEaP5nxaGGQLQqIWBPgmvi0QmcQZRal6gS7I+gbYc1j8HUyF+8RxsJLQx3dKpOKSVXCFJCaK/a7tcbcRMzDdw==" saltValue="CG8FSAsXt9R5NvppNm0VjQ==" spinCount="100000" sheet="1" selectLockedCells="1"/>
  <mergeCells count="6">
    <mergeCell ref="D20:G21"/>
    <mergeCell ref="D13:G13"/>
    <mergeCell ref="C12:H12"/>
    <mergeCell ref="C15:H15"/>
    <mergeCell ref="D16:G16"/>
    <mergeCell ref="C18:H19"/>
  </mergeCells>
  <conditionalFormatting sqref="D20:G21">
    <cfRule type="notContainsBlanks" dxfId="116" priority="9">
      <formula>LEN(TRIM(D20))&gt;0</formula>
    </cfRule>
  </conditionalFormatting>
  <conditionalFormatting sqref="J13:K13">
    <cfRule type="expression" dxfId="115" priority="3">
      <formula>OR(ISBLANK($D$13))</formula>
    </cfRule>
    <cfRule type="expression" dxfId="114" priority="4">
      <formula>AND("DIREÇÃO")</formula>
    </cfRule>
  </conditionalFormatting>
  <conditionalFormatting sqref="J16:K16">
    <cfRule type="expression" dxfId="113" priority="1">
      <formula>AND($D$13&lt;&gt;"", $I$16=FALSE)</formula>
    </cfRule>
  </conditionalFormatting>
  <dataValidations xWindow="306" yWindow="480" count="4">
    <dataValidation type="list" allowBlank="1" showInputMessage="1" showErrorMessage="1" promptTitle="Defina aqui o setor" prompt="Clique na seta" sqref="D13 H13" xr:uid="{27CA752C-DEEE-4887-BD62-6F5C3A50137D}">
      <formula1>SETOR</formula1>
    </dataValidation>
    <dataValidation type="custom" allowBlank="1" showInputMessage="1" showErrorMessage="1" sqref="D16:D17 H16:H17" xr:uid="{F91E7B33-DF97-4EE9-B16C-4DD0F97C4924}">
      <formula1>ISNUMBER(MATCH(D16,INDIRECT(escolha_setor),0))</formula1>
    </dataValidation>
    <dataValidation type="custom" allowBlank="1" showInputMessage="1" showErrorMessage="1" sqref="H20" xr:uid="{F2F16D3D-743B-48CC-A9B1-9852FF9EA79B}">
      <formula1>#REF!=TRUE</formula1>
    </dataValidation>
    <dataValidation type="custom" allowBlank="1" showInputMessage="1" showErrorMessage="1" sqref="D20:G21" xr:uid="{135E43AB-5A12-42EC-A8F5-2F1802E8B3FF}">
      <formula1>"I16=VERDADEIRO"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7C80-F1BE-4393-ADAD-C7132D4A8E34}">
  <sheetPr>
    <tabColor rgb="FF5BF6A8"/>
  </sheetPr>
  <dimension ref="A6:T28"/>
  <sheetViews>
    <sheetView showGridLines="0" showRowColHeaders="0" zoomScaleNormal="100" workbookViewId="0">
      <selection activeCell="E24" sqref="E24"/>
    </sheetView>
  </sheetViews>
  <sheetFormatPr defaultRowHeight="14.25"/>
  <cols>
    <col min="1" max="1" width="21.375" style="4" customWidth="1"/>
    <col min="2" max="2" width="3.5" style="13" customWidth="1"/>
    <col min="3" max="3" width="4.5" style="13" customWidth="1"/>
    <col min="4" max="5" width="9" style="13"/>
    <col min="6" max="6" width="4.75" style="13" customWidth="1"/>
    <col min="7" max="7" width="2.625" style="13" customWidth="1"/>
    <col min="8" max="8" width="4.5" style="13" customWidth="1"/>
    <col min="9" max="9" width="2.625" style="13" customWidth="1"/>
    <col min="10" max="10" width="6.75" style="13" customWidth="1"/>
    <col min="11" max="14" width="9" style="13"/>
    <col min="15" max="15" width="6.625" style="13" customWidth="1"/>
    <col min="16" max="16384" width="9" style="13"/>
  </cols>
  <sheetData>
    <row r="6" spans="1:20" ht="17.25">
      <c r="A6" s="156" t="s">
        <v>368</v>
      </c>
    </row>
    <row r="7" spans="1:20">
      <c r="R7" s="101"/>
    </row>
    <row r="8" spans="1:20" ht="16.5">
      <c r="A8" s="155"/>
      <c r="B8" s="154"/>
      <c r="K8" s="81"/>
    </row>
    <row r="9" spans="1:20" ht="14.25" customHeight="1">
      <c r="A9" s="309"/>
      <c r="B9" s="154"/>
    </row>
    <row r="10" spans="1:20" ht="33.75" customHeight="1">
      <c r="A10" s="309"/>
      <c r="B10" s="154"/>
    </row>
    <row r="11" spans="1:20" ht="15" customHeight="1"/>
    <row r="12" spans="1:20" ht="24" customHeight="1">
      <c r="C12" s="72"/>
      <c r="D12" s="72"/>
      <c r="E12" s="72"/>
      <c r="F12" s="72"/>
      <c r="G12" s="72"/>
      <c r="H12" s="72"/>
    </row>
    <row r="13" spans="1:20" ht="21" customHeight="1">
      <c r="D13" s="200"/>
      <c r="E13" s="73"/>
      <c r="F13" s="73"/>
      <c r="G13" s="73"/>
      <c r="H13" s="74"/>
    </row>
    <row r="15" spans="1:20" ht="24" customHeight="1">
      <c r="C15" s="75"/>
      <c r="D15" s="75"/>
      <c r="E15" s="75"/>
      <c r="F15" s="75"/>
      <c r="G15" s="75"/>
      <c r="H15" s="75"/>
      <c r="J15" s="69"/>
      <c r="K15" s="68"/>
      <c r="L15" s="69"/>
      <c r="N15" s="69"/>
      <c r="O15" s="69"/>
      <c r="P15" s="69"/>
      <c r="R15" s="69"/>
      <c r="S15" s="69"/>
      <c r="T15" s="69"/>
    </row>
    <row r="16" spans="1:20" ht="21" customHeight="1">
      <c r="D16" s="76"/>
      <c r="E16" s="76"/>
      <c r="F16" s="76"/>
      <c r="G16" s="76"/>
      <c r="H16" s="77"/>
      <c r="I16" s="34"/>
      <c r="J16" s="69"/>
      <c r="K16" s="68"/>
      <c r="L16" s="69"/>
      <c r="N16" s="69"/>
      <c r="O16" s="69"/>
      <c r="P16" s="69"/>
      <c r="R16" s="69"/>
      <c r="S16" s="69"/>
      <c r="T16" s="69"/>
    </row>
    <row r="17" spans="3:17" ht="18" customHeight="1">
      <c r="D17" s="78"/>
      <c r="E17" s="78"/>
      <c r="F17" s="78"/>
      <c r="G17" s="78"/>
      <c r="H17" s="77"/>
    </row>
    <row r="18" spans="3:17" ht="14.25" customHeight="1">
      <c r="C18" s="71"/>
      <c r="D18" s="71"/>
      <c r="E18" s="71"/>
      <c r="F18" s="71"/>
      <c r="G18" s="71"/>
      <c r="H18" s="71"/>
    </row>
    <row r="19" spans="3:17" ht="9.75" customHeight="1">
      <c r="G19" s="71"/>
      <c r="H19" s="71"/>
      <c r="J19" s="80"/>
      <c r="K19" s="80"/>
      <c r="L19" s="32"/>
      <c r="M19" s="79"/>
      <c r="N19" s="79"/>
      <c r="Q19" s="13" t="s">
        <v>375</v>
      </c>
    </row>
    <row r="20" spans="3:17" ht="14.25" customHeight="1">
      <c r="G20" s="70"/>
      <c r="H20" s="28"/>
      <c r="M20" s="69"/>
      <c r="Q20" s="69"/>
    </row>
    <row r="21" spans="3:17" ht="14.25" customHeight="1">
      <c r="G21" s="70"/>
    </row>
    <row r="22" spans="3:17">
      <c r="L22" s="13" t="s">
        <v>398</v>
      </c>
      <c r="M22" s="69"/>
      <c r="Q22" s="69"/>
    </row>
    <row r="23" spans="3:17" ht="15">
      <c r="C23" s="71"/>
      <c r="D23" s="71"/>
      <c r="E23" s="71"/>
      <c r="F23" s="71"/>
    </row>
    <row r="24" spans="3:17" ht="20.25">
      <c r="D24" s="70"/>
      <c r="E24" s="70"/>
      <c r="F24" s="70"/>
    </row>
    <row r="25" spans="3:17" ht="20.25">
      <c r="D25" s="70"/>
      <c r="E25" s="70"/>
      <c r="F25" s="70"/>
    </row>
    <row r="28" spans="3:17">
      <c r="I28" s="23"/>
      <c r="J28" s="23"/>
    </row>
  </sheetData>
  <sheetProtection algorithmName="SHA-512" hashValue="gqd2Y8hOQiTevzR/qYsXrjkPGMexBkeg+bqMYc6Nq6nNsk3AGUMCh1nL/6pQLHqpgqbg0Md0uvAVNQOvrOHlPQ==" saltValue="JFoSq+BQ2qHHOaOWSu3HDQ==" spinCount="100000" sheet="1" scenarios="1" selectLockedCells="1"/>
  <mergeCells count="1">
    <mergeCell ref="A9:A10"/>
  </mergeCells>
  <conditionalFormatting sqref="G20:G21 D24:F25">
    <cfRule type="notContainsBlanks" dxfId="112" priority="3">
      <formula>LEN(TRIM(D20))&gt;0</formula>
    </cfRule>
  </conditionalFormatting>
  <conditionalFormatting sqref="J19:K19">
    <cfRule type="expression" dxfId="111" priority="1">
      <formula>OR(ISBLANK($D$13))</formula>
    </cfRule>
    <cfRule type="expression" dxfId="110" priority="2">
      <formula>AND("DIREÇÃO")</formula>
    </cfRule>
  </conditionalFormatting>
  <dataValidations count="5">
    <dataValidation type="custom" allowBlank="1" showInputMessage="1" showErrorMessage="1" sqref="H20" xr:uid="{9CADB469-CA3D-4463-8266-880294714487}">
      <formula1>#REF!=TRUE</formula1>
    </dataValidation>
    <dataValidation type="custom" allowBlank="1" showInputMessage="1" showErrorMessage="1" sqref="D16:D17 H16:H17" xr:uid="{69E2D60F-F873-4AC1-961C-6B2CACC089AB}">
      <formula1>ISNUMBER(MATCH(D16,INDIRECT(escolha_setor),0))</formula1>
    </dataValidation>
    <dataValidation type="list" allowBlank="1" showInputMessage="1" showErrorMessage="1" promptTitle="Defina aqui o setor" prompt="Clique na seta" sqref="H13" xr:uid="{0C2D8DC0-612F-48D6-BFA0-4A7B549C2295}">
      <formula1>SETOR</formula1>
    </dataValidation>
    <dataValidation type="custom" allowBlank="1" showInputMessage="1" showErrorMessage="1" sqref="G20:G21 D24:F25" xr:uid="{66822073-E3A1-4475-A899-04E86E5BFDCA}">
      <formula1>"I16=VERDADEIRO"</formula1>
    </dataValidation>
    <dataValidation allowBlank="1" showInputMessage="1" showErrorMessage="1" promptTitle="Defina aqui o setor" prompt="Clique na seta" sqref="D13" xr:uid="{A835F04E-081C-419F-BBF3-4F9A00177FFA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F12F-913B-4A55-AD0E-80E27A362549}">
  <sheetPr>
    <tabColor rgb="FF5BF6A8"/>
  </sheetPr>
  <dimension ref="A6:T28"/>
  <sheetViews>
    <sheetView showGridLines="0" showRowColHeaders="0" zoomScaleNormal="100" workbookViewId="0">
      <selection activeCell="G19" sqref="G19"/>
    </sheetView>
  </sheetViews>
  <sheetFormatPr defaultRowHeight="14.25"/>
  <cols>
    <col min="1" max="1" width="21.375" style="4" customWidth="1"/>
    <col min="2" max="2" width="3.5" style="13" customWidth="1"/>
    <col min="3" max="3" width="4.5" style="13" customWidth="1"/>
    <col min="4" max="5" width="9" style="13"/>
    <col min="6" max="6" width="4.75" style="13" customWidth="1"/>
    <col min="7" max="7" width="2.625" style="13" customWidth="1"/>
    <col min="8" max="8" width="4.5" style="13" customWidth="1"/>
    <col min="9" max="9" width="2.625" style="13" customWidth="1"/>
    <col min="10" max="10" width="6.75" style="13" customWidth="1"/>
    <col min="11" max="14" width="9" style="13"/>
    <col min="15" max="15" width="6.625" style="13" customWidth="1"/>
    <col min="16" max="16384" width="9" style="13"/>
  </cols>
  <sheetData>
    <row r="6" spans="1:20" ht="17.25">
      <c r="A6" s="156" t="s">
        <v>368</v>
      </c>
    </row>
    <row r="7" spans="1:20">
      <c r="R7" s="101"/>
    </row>
    <row r="8" spans="1:20" ht="16.5">
      <c r="A8" s="155"/>
      <c r="B8" s="154"/>
      <c r="K8" s="81"/>
    </row>
    <row r="9" spans="1:20" ht="14.25" customHeight="1">
      <c r="A9" s="309"/>
      <c r="B9" s="154"/>
    </row>
    <row r="10" spans="1:20" ht="33.75" customHeight="1">
      <c r="A10" s="309"/>
      <c r="B10" s="154"/>
    </row>
    <row r="11" spans="1:20" ht="15" customHeight="1"/>
    <row r="12" spans="1:20" ht="24" customHeight="1">
      <c r="C12" s="72"/>
      <c r="D12" s="72"/>
      <c r="E12" s="72"/>
      <c r="F12" s="72"/>
      <c r="G12" s="72"/>
      <c r="H12" s="72"/>
    </row>
    <row r="13" spans="1:20" ht="21" customHeight="1">
      <c r="D13" s="200"/>
      <c r="E13" s="73"/>
      <c r="F13" s="73"/>
      <c r="G13" s="73"/>
      <c r="H13" s="74"/>
    </row>
    <row r="15" spans="1:20" ht="24" customHeight="1">
      <c r="C15" s="75"/>
      <c r="D15" s="75"/>
      <c r="E15" s="75"/>
      <c r="F15" s="75"/>
      <c r="G15" s="75"/>
      <c r="H15" s="75"/>
      <c r="J15" s="69"/>
      <c r="K15" s="68"/>
      <c r="L15" s="69"/>
      <c r="N15" s="69"/>
      <c r="O15" s="69"/>
      <c r="P15" s="69"/>
      <c r="R15" s="69"/>
      <c r="S15" s="69"/>
      <c r="T15" s="69"/>
    </row>
    <row r="16" spans="1:20" ht="21" customHeight="1">
      <c r="A16" s="323"/>
      <c r="D16" s="76" t="s">
        <v>437</v>
      </c>
      <c r="E16" s="76"/>
      <c r="F16" s="76"/>
      <c r="G16" s="76"/>
      <c r="H16" s="77"/>
      <c r="I16" s="34"/>
      <c r="J16" s="69"/>
      <c r="K16" s="68"/>
      <c r="L16" s="69"/>
      <c r="N16" s="69"/>
      <c r="O16" s="69"/>
      <c r="P16" s="69"/>
      <c r="R16" s="69"/>
      <c r="S16" s="69"/>
      <c r="T16" s="69"/>
    </row>
    <row r="17" spans="1:17" ht="18" customHeight="1">
      <c r="D17" s="78"/>
      <c r="E17" s="78"/>
      <c r="F17" s="78"/>
      <c r="G17" s="78"/>
      <c r="H17" s="77"/>
    </row>
    <row r="18" spans="1:17" ht="14.25" customHeight="1">
      <c r="C18" s="71"/>
      <c r="D18" s="71"/>
      <c r="E18" s="71"/>
      <c r="F18" s="71"/>
      <c r="G18" s="71"/>
      <c r="H18" s="71"/>
    </row>
    <row r="19" spans="1:17" ht="9.75" customHeight="1">
      <c r="G19" s="71"/>
      <c r="H19" s="71"/>
      <c r="J19" s="80"/>
      <c r="K19" s="80"/>
      <c r="L19" s="32"/>
      <c r="M19" s="79"/>
      <c r="N19" s="79"/>
      <c r="Q19" s="13" t="s">
        <v>375</v>
      </c>
    </row>
    <row r="20" spans="1:17" ht="14.25" customHeight="1">
      <c r="G20" s="70"/>
      <c r="H20" s="28"/>
      <c r="M20" s="69"/>
      <c r="Q20" s="69"/>
    </row>
    <row r="21" spans="1:17" ht="14.25" customHeight="1">
      <c r="G21" s="70"/>
    </row>
    <row r="22" spans="1:17">
      <c r="L22" s="13" t="s">
        <v>398</v>
      </c>
      <c r="M22" s="69"/>
      <c r="Q22" s="69"/>
    </row>
    <row r="23" spans="1:17" ht="15">
      <c r="C23" s="71"/>
      <c r="D23" s="71"/>
      <c r="E23" s="71"/>
      <c r="F23" s="71"/>
    </row>
    <row r="24" spans="1:17" ht="20.25">
      <c r="D24" s="70"/>
      <c r="E24" s="70"/>
      <c r="F24" s="70"/>
    </row>
    <row r="25" spans="1:17" ht="20.25">
      <c r="A25" s="323"/>
      <c r="D25" s="70"/>
      <c r="E25" s="70"/>
      <c r="F25" s="70"/>
    </row>
    <row r="28" spans="1:17">
      <c r="I28" s="23"/>
      <c r="J28" s="23"/>
    </row>
  </sheetData>
  <sheetProtection algorithmName="SHA-512" hashValue="rU+ZHy0MHTlERhXRti9bcasLULxxJmofrZkA4Cw/Hml6guoNsGQYXN61vbZEeAEAanQFiTJ49efmBDu6ybN/3g==" saltValue="En+45hL4FFIzAh0GXc4VPA==" spinCount="100000" sheet="1" scenarios="1" selectLockedCells="1"/>
  <mergeCells count="1">
    <mergeCell ref="A9:A10"/>
  </mergeCells>
  <conditionalFormatting sqref="G20:G21 D24:F25">
    <cfRule type="notContainsBlanks" dxfId="109" priority="3">
      <formula>LEN(TRIM(D20))&gt;0</formula>
    </cfRule>
  </conditionalFormatting>
  <conditionalFormatting sqref="J19:K19">
    <cfRule type="expression" dxfId="108" priority="1">
      <formula>OR(ISBLANK($D$13))</formula>
    </cfRule>
    <cfRule type="expression" dxfId="107" priority="2">
      <formula>AND("DIREÇÃO")</formula>
    </cfRule>
  </conditionalFormatting>
  <dataValidations count="5">
    <dataValidation type="custom" allowBlank="1" showInputMessage="1" showErrorMessage="1" sqref="G20:G21 D24:F25" xr:uid="{89D38808-07AA-4F52-8542-990ED8B3A047}">
      <formula1>"I16=VERDADEIRO"</formula1>
    </dataValidation>
    <dataValidation type="list" allowBlank="1" showInputMessage="1" showErrorMessage="1" promptTitle="Defina aqui o setor" prompt="Clique na seta" sqref="H13" xr:uid="{647583AA-7C1C-481A-9EB0-B1B80AE69380}">
      <formula1>SETOR</formula1>
    </dataValidation>
    <dataValidation type="custom" allowBlank="1" showInputMessage="1" showErrorMessage="1" sqref="D16:D17 H16:H17" xr:uid="{EA247947-EC73-40A9-830B-307616031061}">
      <formula1>ISNUMBER(MATCH(D16,INDIRECT(escolha_setor),0))</formula1>
    </dataValidation>
    <dataValidation type="custom" allowBlank="1" showInputMessage="1" showErrorMessage="1" sqref="H20" xr:uid="{30F852A8-7C70-45FE-BFB3-2D408E77400C}">
      <formula1>#REF!=TRUE</formula1>
    </dataValidation>
    <dataValidation showInputMessage="1" showErrorMessage="1" promptTitle="Defina aqui o setor" prompt="Clique na seta" sqref="D13" xr:uid="{7390BF15-E828-4AC4-BA88-E0E6FBA0E55F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E0BE-DC04-4275-B4E1-4C1C0BDCC580}">
  <sheetPr>
    <tabColor rgb="FF22C55E"/>
  </sheetPr>
  <dimension ref="A6:T28"/>
  <sheetViews>
    <sheetView showGridLines="0" showRowColHeaders="0" topLeftCell="A10" zoomScaleNormal="100" workbookViewId="0">
      <selection activeCell="C16" sqref="C16"/>
    </sheetView>
  </sheetViews>
  <sheetFormatPr defaultRowHeight="14.25"/>
  <cols>
    <col min="1" max="1" width="21.375" style="4" customWidth="1"/>
    <col min="2" max="2" width="3.5" style="13" customWidth="1"/>
    <col min="3" max="3" width="4.5" style="13" customWidth="1"/>
    <col min="4" max="5" width="9" style="13"/>
    <col min="6" max="6" width="4.75" style="13" customWidth="1"/>
    <col min="7" max="7" width="2.625" style="13" customWidth="1"/>
    <col min="8" max="8" width="4.5" style="13" customWidth="1"/>
    <col min="9" max="9" width="2.625" style="13" customWidth="1"/>
    <col min="10" max="10" width="6.75" style="13" customWidth="1"/>
    <col min="11" max="14" width="9" style="13"/>
    <col min="15" max="15" width="6.625" style="13" customWidth="1"/>
    <col min="16" max="16384" width="9" style="13"/>
  </cols>
  <sheetData>
    <row r="6" spans="1:20" ht="15.75">
      <c r="A6" s="201" t="s">
        <v>409</v>
      </c>
    </row>
    <row r="7" spans="1:20" ht="15.75">
      <c r="A7" s="201" t="s">
        <v>408</v>
      </c>
      <c r="R7" s="101"/>
    </row>
    <row r="8" spans="1:20" ht="16.5">
      <c r="A8" s="155"/>
      <c r="B8" s="154"/>
      <c r="K8" s="81"/>
    </row>
    <row r="9" spans="1:20" ht="14.25" customHeight="1">
      <c r="A9" s="309"/>
      <c r="B9" s="154"/>
    </row>
    <row r="10" spans="1:20" ht="33.75" customHeight="1">
      <c r="A10" s="309"/>
      <c r="B10" s="154"/>
    </row>
    <row r="11" spans="1:20" ht="15" customHeight="1"/>
    <row r="12" spans="1:20" ht="24" customHeight="1">
      <c r="C12" s="72"/>
      <c r="D12" s="72"/>
      <c r="E12" s="72"/>
      <c r="F12" s="72"/>
      <c r="G12" s="72"/>
      <c r="H12" s="72"/>
    </row>
    <row r="13" spans="1:20" ht="21" customHeight="1">
      <c r="D13" s="73"/>
      <c r="E13" s="73"/>
      <c r="F13" s="73"/>
      <c r="G13" s="73"/>
      <c r="H13" s="74"/>
    </row>
    <row r="15" spans="1:20" ht="24" customHeight="1">
      <c r="C15" s="75"/>
      <c r="D15" s="75"/>
      <c r="E15" s="75"/>
      <c r="F15" s="75"/>
      <c r="G15" s="75"/>
      <c r="H15" s="75"/>
      <c r="J15" s="69"/>
      <c r="K15" s="68"/>
      <c r="L15" s="69"/>
      <c r="N15" s="69"/>
      <c r="O15" s="69"/>
      <c r="P15" s="69"/>
      <c r="R15" s="69"/>
      <c r="S15" s="69"/>
      <c r="T15" s="69"/>
    </row>
    <row r="16" spans="1:20" ht="21" customHeight="1">
      <c r="D16" s="76"/>
      <c r="E16" s="76"/>
      <c r="F16" s="76"/>
      <c r="G16" s="76"/>
      <c r="H16" s="77"/>
      <c r="I16" s="34"/>
      <c r="J16" s="69"/>
      <c r="K16" s="68"/>
      <c r="L16" s="69"/>
      <c r="N16" s="69"/>
      <c r="O16" s="69"/>
      <c r="P16" s="69"/>
      <c r="R16" s="69"/>
      <c r="S16" s="69"/>
      <c r="T16" s="69"/>
    </row>
    <row r="17" spans="3:17" ht="18" customHeight="1">
      <c r="D17" s="78"/>
      <c r="E17" s="78"/>
      <c r="F17" s="78"/>
      <c r="G17" s="78"/>
      <c r="H17" s="77"/>
    </row>
    <row r="18" spans="3:17" ht="14.25" customHeight="1">
      <c r="C18" s="71"/>
      <c r="D18" s="71"/>
      <c r="E18" s="71"/>
      <c r="F18" s="71"/>
      <c r="G18" s="71"/>
      <c r="H18" s="71"/>
    </row>
    <row r="19" spans="3:17" ht="9.75" customHeight="1">
      <c r="G19" s="71"/>
      <c r="H19" s="71"/>
      <c r="J19" s="80"/>
      <c r="K19" s="80"/>
      <c r="L19" s="32"/>
      <c r="M19" s="79"/>
      <c r="N19" s="79"/>
      <c r="Q19" s="13" t="s">
        <v>375</v>
      </c>
    </row>
    <row r="20" spans="3:17" ht="14.25" customHeight="1">
      <c r="G20" s="70"/>
      <c r="H20" s="28"/>
      <c r="M20" s="69"/>
      <c r="Q20" s="69"/>
    </row>
    <row r="21" spans="3:17" ht="14.25" customHeight="1">
      <c r="G21" s="70"/>
    </row>
    <row r="22" spans="3:17">
      <c r="L22" s="13" t="s">
        <v>398</v>
      </c>
      <c r="M22" s="69"/>
      <c r="Q22" s="69"/>
    </row>
    <row r="23" spans="3:17" ht="15">
      <c r="C23" s="71"/>
      <c r="D23" s="71"/>
      <c r="E23" s="71"/>
      <c r="F23" s="71"/>
    </row>
    <row r="24" spans="3:17" ht="20.25">
      <c r="D24" s="70"/>
      <c r="E24" s="70"/>
      <c r="F24" s="70"/>
    </row>
    <row r="25" spans="3:17" ht="20.25">
      <c r="D25" s="70"/>
      <c r="E25" s="70"/>
      <c r="F25" s="70"/>
    </row>
    <row r="28" spans="3:17">
      <c r="I28" s="23"/>
      <c r="J28" s="23"/>
    </row>
  </sheetData>
  <sheetProtection algorithmName="SHA-512" hashValue="vqy04L4daWzlv1aK5r9MaMrRFNFa+EtiBefghjsJNYkg89qd6K7mgmvWRAQrU9d7C6973tAOZFgWkoJLm8kQLA==" saltValue="fcPmy5LiikOMsuwXG6/Tmw==" spinCount="100000" sheet="1" scenarios="1" selectLockedCells="1" selectUnlockedCells="1"/>
  <mergeCells count="1">
    <mergeCell ref="A9:A10"/>
  </mergeCells>
  <conditionalFormatting sqref="G20:G21 D24:F25">
    <cfRule type="notContainsBlanks" dxfId="106" priority="3">
      <formula>LEN(TRIM(D20))&gt;0</formula>
    </cfRule>
  </conditionalFormatting>
  <conditionalFormatting sqref="J19:K19">
    <cfRule type="expression" dxfId="105" priority="1">
      <formula>OR(ISBLANK($D$13))</formula>
    </cfRule>
    <cfRule type="expression" dxfId="104" priority="2">
      <formula>AND("DIREÇÃO")</formula>
    </cfRule>
  </conditionalFormatting>
  <dataValidations count="4">
    <dataValidation type="custom" allowBlank="1" showInputMessage="1" showErrorMessage="1" sqref="H20" xr:uid="{87F21553-1766-45D6-864B-AFF5B7124613}">
      <formula1>#REF!=TRUE</formula1>
    </dataValidation>
    <dataValidation type="custom" allowBlank="1" showInputMessage="1" showErrorMessage="1" sqref="D16:D17 H16:H17" xr:uid="{14D5D9D5-B68E-47EB-A4CF-3405F49FAEB2}">
      <formula1>ISNUMBER(MATCH(D16,INDIRECT(escolha_setor),0))</formula1>
    </dataValidation>
    <dataValidation type="list" allowBlank="1" showInputMessage="1" showErrorMessage="1" promptTitle="Defina aqui o setor" prompt="Clique na seta" sqref="D13 H13" xr:uid="{6931B9CE-4DFA-4F3A-A0EA-DCF8EAC997D1}">
      <formula1>SETOR</formula1>
    </dataValidation>
    <dataValidation type="custom" allowBlank="1" showInputMessage="1" showErrorMessage="1" sqref="G20:G21 D24:F25" xr:uid="{8295515F-2F01-4642-9A73-792F1FDED213}">
      <formula1>"I16=VERDADEIRO"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AC43-2467-4277-A863-986696C123FC}">
  <sheetPr>
    <tabColor theme="3" tint="0.749992370372631"/>
  </sheetPr>
  <dimension ref="A1:F348"/>
  <sheetViews>
    <sheetView showGridLines="0" workbookViewId="0">
      <selection activeCell="D16" sqref="D16:G16"/>
    </sheetView>
  </sheetViews>
  <sheetFormatPr defaultRowHeight="14.25"/>
  <cols>
    <col min="1" max="1" width="9.875" bestFit="1" customWidth="1"/>
    <col min="2" max="2" width="23.125" customWidth="1"/>
    <col min="4" max="4" width="19.875" customWidth="1"/>
  </cols>
  <sheetData>
    <row r="1" spans="1:6" ht="17.25">
      <c r="A1" s="310" t="s">
        <v>341</v>
      </c>
      <c r="B1" s="310"/>
      <c r="C1" s="310"/>
      <c r="D1" s="310"/>
      <c r="E1" s="310"/>
      <c r="F1" s="310"/>
    </row>
    <row r="2" spans="1:6">
      <c r="A2" s="14" t="s">
        <v>311</v>
      </c>
      <c r="B2" s="15" t="s">
        <v>319</v>
      </c>
      <c r="C2" s="16" t="s">
        <v>320</v>
      </c>
      <c r="D2" s="15"/>
      <c r="E2" s="15"/>
      <c r="F2" s="16"/>
    </row>
    <row r="3" spans="1:6">
      <c r="A3" s="17" t="s">
        <v>313</v>
      </c>
      <c r="B3" s="18" t="s">
        <v>315</v>
      </c>
      <c r="C3" s="19" t="s">
        <v>317</v>
      </c>
      <c r="D3" s="18"/>
      <c r="E3" s="18"/>
      <c r="F3" s="19"/>
    </row>
    <row r="4" spans="1:6">
      <c r="A4" s="20" t="s">
        <v>314</v>
      </c>
      <c r="B4" s="21" t="s">
        <v>316</v>
      </c>
      <c r="C4" s="22" t="s">
        <v>318</v>
      </c>
      <c r="D4" s="21"/>
      <c r="E4" s="21"/>
      <c r="F4" s="22"/>
    </row>
    <row r="5" spans="1:6" ht="15" thickBot="1">
      <c r="A5" s="18"/>
      <c r="B5" s="18"/>
      <c r="C5" s="18"/>
      <c r="D5" s="18"/>
      <c r="E5" s="18"/>
      <c r="F5" s="18"/>
    </row>
    <row r="6" spans="1:6" ht="15" thickTop="1">
      <c r="A6" s="311" t="s">
        <v>370</v>
      </c>
      <c r="B6" s="312"/>
      <c r="C6" s="311" t="s">
        <v>369</v>
      </c>
      <c r="D6" s="312"/>
      <c r="E6" s="313"/>
      <c r="F6" s="313"/>
    </row>
    <row r="7" spans="1:6" ht="14.25" customHeight="1">
      <c r="A7" s="318" t="s">
        <v>436</v>
      </c>
      <c r="B7" s="319"/>
      <c r="C7" s="314" t="s">
        <v>399</v>
      </c>
      <c r="D7" s="315"/>
      <c r="E7" s="322"/>
      <c r="F7" s="322"/>
    </row>
    <row r="8" spans="1:6" ht="33.75" customHeight="1">
      <c r="A8" s="318"/>
      <c r="B8" s="319"/>
      <c r="C8" s="314"/>
      <c r="D8" s="315"/>
      <c r="E8" s="322"/>
      <c r="F8" s="322"/>
    </row>
    <row r="9" spans="1:6" ht="24" customHeight="1" thickBot="1">
      <c r="A9" s="320"/>
      <c r="B9" s="321"/>
      <c r="C9" s="316"/>
      <c r="D9" s="317"/>
      <c r="E9" s="322"/>
      <c r="F9" s="322"/>
    </row>
    <row r="10" spans="1:6" ht="15" thickTop="1">
      <c r="A10" s="43"/>
      <c r="B10" s="25"/>
      <c r="C10" s="25"/>
    </row>
    <row r="11" spans="1:6">
      <c r="A11" s="43"/>
      <c r="B11" s="25"/>
      <c r="C11" s="25"/>
    </row>
    <row r="12" spans="1:6">
      <c r="A12" s="43"/>
      <c r="B12" s="25"/>
      <c r="C12" s="25"/>
    </row>
    <row r="13" spans="1:6">
      <c r="A13" s="43"/>
      <c r="B13" s="25"/>
      <c r="C13" s="25"/>
    </row>
    <row r="14" spans="1:6">
      <c r="A14" s="43"/>
      <c r="B14" s="25"/>
      <c r="C14" s="25"/>
    </row>
    <row r="15" spans="1:6">
      <c r="A15" s="43"/>
      <c r="B15" s="25"/>
      <c r="C15" s="25"/>
    </row>
    <row r="16" spans="1:6">
      <c r="A16" s="43"/>
      <c r="B16" s="25"/>
      <c r="C16" s="25"/>
    </row>
    <row r="17" spans="1:3">
      <c r="A17" s="43"/>
      <c r="B17" s="25"/>
      <c r="C17" s="25"/>
    </row>
    <row r="18" spans="1:3">
      <c r="A18" s="43"/>
      <c r="B18" s="25"/>
      <c r="C18" s="25"/>
    </row>
    <row r="19" spans="1:3">
      <c r="A19" s="43"/>
      <c r="B19" s="25"/>
      <c r="C19" s="25"/>
    </row>
    <row r="20" spans="1:3">
      <c r="A20" s="43"/>
      <c r="B20" s="25"/>
      <c r="C20" s="25"/>
    </row>
    <row r="21" spans="1:3">
      <c r="A21" s="43"/>
      <c r="B21" s="25"/>
      <c r="C21" s="25"/>
    </row>
    <row r="22" spans="1:3">
      <c r="A22" s="43"/>
      <c r="B22" s="25"/>
      <c r="C22" s="25"/>
    </row>
    <row r="23" spans="1:3">
      <c r="A23" s="43"/>
      <c r="B23" s="25"/>
      <c r="C23" s="25"/>
    </row>
    <row r="24" spans="1:3">
      <c r="A24" s="43"/>
      <c r="B24" s="25"/>
      <c r="C24" s="25"/>
    </row>
    <row r="25" spans="1:3">
      <c r="A25" s="43"/>
      <c r="B25" s="25"/>
      <c r="C25" s="25"/>
    </row>
    <row r="26" spans="1:3">
      <c r="A26" s="43"/>
      <c r="B26" s="25"/>
      <c r="C26" s="25"/>
    </row>
    <row r="27" spans="1:3">
      <c r="A27" s="43"/>
      <c r="B27" s="25"/>
      <c r="C27" s="25"/>
    </row>
    <row r="28" spans="1:3">
      <c r="A28" s="43"/>
      <c r="B28" s="25"/>
      <c r="C28" s="25"/>
    </row>
    <row r="29" spans="1:3">
      <c r="A29" s="43"/>
      <c r="B29" s="25"/>
      <c r="C29" s="25"/>
    </row>
    <row r="30" spans="1:3">
      <c r="A30" s="43"/>
      <c r="B30" s="25"/>
      <c r="C30" s="25"/>
    </row>
    <row r="31" spans="1:3">
      <c r="A31" s="43"/>
      <c r="B31" s="25"/>
      <c r="C31" s="25"/>
    </row>
    <row r="32" spans="1:3">
      <c r="A32" s="43"/>
      <c r="B32" s="25"/>
      <c r="C32" s="25"/>
    </row>
    <row r="33" spans="1:3">
      <c r="A33" s="43"/>
      <c r="B33" s="25"/>
      <c r="C33" s="25"/>
    </row>
    <row r="34" spans="1:3">
      <c r="A34" s="43"/>
      <c r="B34" s="25"/>
      <c r="C34" s="25"/>
    </row>
    <row r="35" spans="1:3">
      <c r="A35" s="43"/>
      <c r="B35" s="25"/>
      <c r="C35" s="25"/>
    </row>
    <row r="36" spans="1:3">
      <c r="A36" s="43"/>
      <c r="B36" s="25"/>
      <c r="C36" s="25"/>
    </row>
    <row r="37" spans="1:3">
      <c r="A37" s="43"/>
      <c r="B37" s="25"/>
      <c r="C37" s="25"/>
    </row>
    <row r="38" spans="1:3">
      <c r="A38" s="43"/>
      <c r="B38" s="25"/>
      <c r="C38" s="25"/>
    </row>
    <row r="39" spans="1:3">
      <c r="A39" s="43"/>
      <c r="B39" s="25"/>
      <c r="C39" s="25"/>
    </row>
    <row r="40" spans="1:3">
      <c r="A40" s="43"/>
      <c r="B40" s="25"/>
      <c r="C40" s="25"/>
    </row>
    <row r="41" spans="1:3">
      <c r="A41" s="43"/>
      <c r="B41" s="25"/>
      <c r="C41" s="25"/>
    </row>
    <row r="42" spans="1:3">
      <c r="A42" s="43"/>
      <c r="B42" s="25"/>
      <c r="C42" s="25"/>
    </row>
    <row r="43" spans="1:3">
      <c r="A43" s="43"/>
      <c r="B43" s="25"/>
      <c r="C43" s="25"/>
    </row>
    <row r="44" spans="1:3">
      <c r="A44" s="43"/>
      <c r="B44" s="25"/>
      <c r="C44" s="25"/>
    </row>
    <row r="45" spans="1:3">
      <c r="A45" s="43"/>
      <c r="B45" s="25"/>
      <c r="C45" s="25"/>
    </row>
    <row r="46" spans="1:3">
      <c r="A46" s="43"/>
      <c r="B46" s="25"/>
      <c r="C46" s="25"/>
    </row>
    <row r="47" spans="1:3">
      <c r="A47" s="43"/>
      <c r="B47" s="25"/>
      <c r="C47" s="25"/>
    </row>
    <row r="48" spans="1:3">
      <c r="A48" s="43"/>
      <c r="B48" s="25"/>
      <c r="C48" s="25"/>
    </row>
    <row r="49" spans="1:3">
      <c r="A49" s="43"/>
      <c r="B49" s="25"/>
      <c r="C49" s="25"/>
    </row>
    <row r="50" spans="1:3">
      <c r="A50" s="43"/>
      <c r="B50" s="25"/>
      <c r="C50" s="25"/>
    </row>
    <row r="51" spans="1:3">
      <c r="A51" s="43"/>
      <c r="B51" s="25"/>
      <c r="C51" s="25"/>
    </row>
    <row r="52" spans="1:3">
      <c r="A52" s="43"/>
      <c r="B52" s="25"/>
      <c r="C52" s="25"/>
    </row>
    <row r="53" spans="1:3">
      <c r="A53" s="43"/>
      <c r="B53" s="25"/>
      <c r="C53" s="25"/>
    </row>
    <row r="54" spans="1:3">
      <c r="A54" s="43"/>
      <c r="B54" s="25"/>
      <c r="C54" s="25"/>
    </row>
    <row r="55" spans="1:3">
      <c r="A55" s="43"/>
      <c r="B55" s="25"/>
      <c r="C55" s="25"/>
    </row>
    <row r="56" spans="1:3">
      <c r="A56" s="43"/>
      <c r="B56" s="25"/>
      <c r="C56" s="25"/>
    </row>
    <row r="57" spans="1:3">
      <c r="A57" s="43"/>
      <c r="B57" s="25"/>
      <c r="C57" s="25"/>
    </row>
    <row r="58" spans="1:3">
      <c r="A58" s="43"/>
      <c r="B58" s="25"/>
      <c r="C58" s="25"/>
    </row>
    <row r="59" spans="1:3">
      <c r="A59" s="43"/>
      <c r="B59" s="25"/>
      <c r="C59" s="25"/>
    </row>
    <row r="60" spans="1:3">
      <c r="A60" s="43"/>
      <c r="B60" s="25"/>
      <c r="C60" s="25"/>
    </row>
    <row r="61" spans="1:3">
      <c r="A61" s="43"/>
      <c r="B61" s="25"/>
      <c r="C61" s="25"/>
    </row>
    <row r="62" spans="1:3">
      <c r="A62" s="43"/>
      <c r="B62" s="25"/>
      <c r="C62" s="25"/>
    </row>
    <row r="63" spans="1:3">
      <c r="A63" s="43"/>
      <c r="B63" s="25"/>
      <c r="C63" s="25"/>
    </row>
    <row r="64" spans="1:3">
      <c r="A64" s="43"/>
      <c r="B64" s="25"/>
      <c r="C64" s="25"/>
    </row>
    <row r="65" spans="1:3">
      <c r="A65" s="43"/>
      <c r="B65" s="25"/>
      <c r="C65" s="25"/>
    </row>
    <row r="66" spans="1:3">
      <c r="A66" s="43"/>
      <c r="B66" s="25"/>
      <c r="C66" s="25"/>
    </row>
    <row r="67" spans="1:3">
      <c r="A67" s="43"/>
      <c r="B67" s="25"/>
      <c r="C67" s="25"/>
    </row>
    <row r="68" spans="1:3">
      <c r="A68" s="43"/>
      <c r="B68" s="25"/>
      <c r="C68" s="25"/>
    </row>
    <row r="69" spans="1:3">
      <c r="A69" s="43"/>
      <c r="B69" s="25"/>
      <c r="C69" s="25"/>
    </row>
    <row r="70" spans="1:3">
      <c r="A70" s="43"/>
      <c r="B70" s="25"/>
      <c r="C70" s="25"/>
    </row>
    <row r="71" spans="1:3">
      <c r="A71" s="43"/>
      <c r="B71" s="25"/>
      <c r="C71" s="25"/>
    </row>
    <row r="72" spans="1:3">
      <c r="A72" s="43"/>
      <c r="B72" s="25"/>
      <c r="C72" s="25"/>
    </row>
    <row r="73" spans="1:3">
      <c r="A73" s="43"/>
      <c r="B73" s="25"/>
      <c r="C73" s="25"/>
    </row>
    <row r="74" spans="1:3">
      <c r="A74" s="43"/>
      <c r="B74" s="25"/>
      <c r="C74" s="25"/>
    </row>
    <row r="75" spans="1:3">
      <c r="A75" s="43"/>
      <c r="B75" s="25"/>
      <c r="C75" s="25"/>
    </row>
    <row r="76" spans="1:3">
      <c r="A76" s="43"/>
      <c r="B76" s="25"/>
      <c r="C76" s="25"/>
    </row>
    <row r="77" spans="1:3">
      <c r="A77" s="43"/>
      <c r="B77" s="25"/>
      <c r="C77" s="25"/>
    </row>
    <row r="78" spans="1:3">
      <c r="A78" s="43"/>
      <c r="B78" s="25"/>
      <c r="C78" s="25"/>
    </row>
    <row r="79" spans="1:3">
      <c r="A79" s="43"/>
      <c r="B79" s="25"/>
      <c r="C79" s="25"/>
    </row>
    <row r="80" spans="1:3">
      <c r="A80" s="43"/>
      <c r="B80" s="25"/>
      <c r="C80" s="25"/>
    </row>
    <row r="81" spans="1:3">
      <c r="A81" s="43"/>
      <c r="B81" s="25"/>
      <c r="C81" s="25"/>
    </row>
    <row r="82" spans="1:3">
      <c r="A82" s="43"/>
      <c r="B82" s="25"/>
      <c r="C82" s="25"/>
    </row>
    <row r="83" spans="1:3">
      <c r="A83" s="43"/>
      <c r="B83" s="25"/>
      <c r="C83" s="25"/>
    </row>
    <row r="84" spans="1:3">
      <c r="A84" s="43"/>
      <c r="B84" s="25"/>
      <c r="C84" s="25"/>
    </row>
    <row r="85" spans="1:3">
      <c r="A85" s="43"/>
      <c r="B85" s="25"/>
      <c r="C85" s="25"/>
    </row>
    <row r="86" spans="1:3">
      <c r="A86" s="43"/>
      <c r="B86" s="25"/>
      <c r="C86" s="25"/>
    </row>
    <row r="87" spans="1:3">
      <c r="A87" s="43"/>
      <c r="B87" s="25"/>
      <c r="C87" s="25"/>
    </row>
    <row r="88" spans="1:3">
      <c r="A88" s="43"/>
      <c r="B88" s="25"/>
      <c r="C88" s="25"/>
    </row>
    <row r="89" spans="1:3">
      <c r="A89" s="43"/>
      <c r="B89" s="25"/>
      <c r="C89" s="25"/>
    </row>
    <row r="90" spans="1:3">
      <c r="A90" s="43"/>
      <c r="B90" s="25"/>
      <c r="C90" s="25"/>
    </row>
    <row r="91" spans="1:3">
      <c r="A91" s="43"/>
      <c r="B91" s="25"/>
      <c r="C91" s="25"/>
    </row>
    <row r="92" spans="1:3">
      <c r="A92" s="43"/>
      <c r="B92" s="25"/>
      <c r="C92" s="25"/>
    </row>
    <row r="93" spans="1:3">
      <c r="A93" s="43"/>
      <c r="B93" s="25"/>
      <c r="C93" s="25"/>
    </row>
    <row r="94" spans="1:3">
      <c r="A94" s="43"/>
      <c r="B94" s="25"/>
      <c r="C94" s="25"/>
    </row>
    <row r="95" spans="1:3">
      <c r="A95" s="43"/>
      <c r="B95" s="25"/>
      <c r="C95" s="25"/>
    </row>
    <row r="96" spans="1:3">
      <c r="A96" s="43"/>
      <c r="B96" s="25"/>
      <c r="C96" s="25"/>
    </row>
    <row r="97" spans="1:3">
      <c r="A97" s="43"/>
      <c r="B97" s="25"/>
      <c r="C97" s="25"/>
    </row>
    <row r="98" spans="1:3">
      <c r="A98" s="43"/>
      <c r="B98" s="25"/>
      <c r="C98" s="25"/>
    </row>
    <row r="99" spans="1:3">
      <c r="A99" s="43"/>
      <c r="B99" s="25"/>
      <c r="C99" s="25"/>
    </row>
    <row r="100" spans="1:3">
      <c r="A100" s="43"/>
      <c r="B100" s="25"/>
      <c r="C100" s="25"/>
    </row>
    <row r="101" spans="1:3">
      <c r="A101" s="43"/>
      <c r="B101" s="25"/>
      <c r="C101" s="25"/>
    </row>
    <row r="102" spans="1:3">
      <c r="A102" s="43"/>
      <c r="B102" s="25"/>
      <c r="C102" s="25"/>
    </row>
    <row r="103" spans="1:3">
      <c r="A103" s="43"/>
      <c r="B103" s="25"/>
      <c r="C103" s="25"/>
    </row>
    <row r="104" spans="1:3">
      <c r="A104" s="43"/>
      <c r="B104" s="25"/>
      <c r="C104" s="25"/>
    </row>
    <row r="105" spans="1:3">
      <c r="A105" s="43"/>
      <c r="B105" s="25"/>
      <c r="C105" s="25"/>
    </row>
    <row r="106" spans="1:3">
      <c r="A106" s="43"/>
      <c r="B106" s="25"/>
      <c r="C106" s="25"/>
    </row>
    <row r="107" spans="1:3">
      <c r="A107" s="43"/>
      <c r="B107" s="25"/>
      <c r="C107" s="25"/>
    </row>
    <row r="108" spans="1:3">
      <c r="A108" s="43"/>
      <c r="B108" s="25"/>
      <c r="C108" s="25"/>
    </row>
    <row r="109" spans="1:3">
      <c r="A109" s="43"/>
      <c r="B109" s="25"/>
      <c r="C109" s="25"/>
    </row>
    <row r="110" spans="1:3">
      <c r="A110" s="43"/>
      <c r="B110" s="25"/>
      <c r="C110" s="25"/>
    </row>
    <row r="111" spans="1:3">
      <c r="A111" s="43"/>
      <c r="B111" s="25"/>
      <c r="C111" s="25"/>
    </row>
    <row r="112" spans="1:3">
      <c r="A112" s="43"/>
      <c r="B112" s="25"/>
      <c r="C112" s="25"/>
    </row>
    <row r="113" spans="1:3">
      <c r="A113" s="43"/>
      <c r="B113" s="25"/>
      <c r="C113" s="25"/>
    </row>
    <row r="114" spans="1:3">
      <c r="A114" s="43"/>
      <c r="B114" s="25"/>
      <c r="C114" s="25"/>
    </row>
    <row r="115" spans="1:3">
      <c r="A115" s="43"/>
      <c r="B115" s="25"/>
      <c r="C115" s="25"/>
    </row>
    <row r="116" spans="1:3">
      <c r="A116" s="43"/>
      <c r="B116" s="25"/>
      <c r="C116" s="25"/>
    </row>
    <row r="117" spans="1:3">
      <c r="A117" s="43"/>
      <c r="B117" s="25"/>
      <c r="C117" s="25"/>
    </row>
    <row r="118" spans="1:3">
      <c r="A118" s="43"/>
      <c r="B118" s="25"/>
      <c r="C118" s="25"/>
    </row>
    <row r="119" spans="1:3">
      <c r="A119" s="43"/>
      <c r="B119" s="25"/>
      <c r="C119" s="25"/>
    </row>
    <row r="120" spans="1:3">
      <c r="A120" s="43"/>
      <c r="B120" s="25"/>
      <c r="C120" s="25"/>
    </row>
    <row r="121" spans="1:3">
      <c r="A121" s="43"/>
      <c r="B121" s="25"/>
      <c r="C121" s="25"/>
    </row>
    <row r="122" spans="1:3">
      <c r="A122" s="43"/>
      <c r="B122" s="25"/>
      <c r="C122" s="25"/>
    </row>
    <row r="123" spans="1:3">
      <c r="A123" s="43"/>
      <c r="B123" s="25"/>
      <c r="C123" s="25"/>
    </row>
    <row r="124" spans="1:3">
      <c r="A124" s="43"/>
      <c r="B124" s="25"/>
      <c r="C124" s="25"/>
    </row>
    <row r="125" spans="1:3">
      <c r="A125" s="43"/>
      <c r="B125" s="25"/>
      <c r="C125" s="25"/>
    </row>
    <row r="126" spans="1:3">
      <c r="A126" s="43"/>
      <c r="B126" s="25"/>
      <c r="C126" s="25"/>
    </row>
    <row r="127" spans="1:3">
      <c r="A127" s="43"/>
      <c r="B127" s="25"/>
      <c r="C127" s="25"/>
    </row>
    <row r="128" spans="1:3">
      <c r="A128" s="43"/>
      <c r="B128" s="25"/>
      <c r="C128" s="25"/>
    </row>
    <row r="129" spans="1:3">
      <c r="A129" s="43"/>
      <c r="B129" s="25"/>
      <c r="C129" s="25"/>
    </row>
    <row r="130" spans="1:3">
      <c r="A130" s="43"/>
      <c r="B130" s="25"/>
      <c r="C130" s="25"/>
    </row>
    <row r="131" spans="1:3">
      <c r="A131" s="43"/>
      <c r="B131" s="25"/>
      <c r="C131" s="25"/>
    </row>
    <row r="132" spans="1:3">
      <c r="A132" s="43"/>
      <c r="B132" s="25"/>
      <c r="C132" s="25"/>
    </row>
    <row r="133" spans="1:3">
      <c r="A133" s="43"/>
      <c r="B133" s="25"/>
      <c r="C133" s="25"/>
    </row>
    <row r="134" spans="1:3">
      <c r="A134" s="43"/>
      <c r="B134" s="25"/>
      <c r="C134" s="25"/>
    </row>
    <row r="135" spans="1:3">
      <c r="A135" s="43"/>
      <c r="B135" s="25"/>
      <c r="C135" s="25"/>
    </row>
    <row r="136" spans="1:3">
      <c r="A136" s="43"/>
      <c r="B136" s="25"/>
      <c r="C136" s="25"/>
    </row>
    <row r="137" spans="1:3">
      <c r="A137" s="43"/>
      <c r="B137" s="25"/>
      <c r="C137" s="25"/>
    </row>
    <row r="138" spans="1:3">
      <c r="A138" s="43"/>
      <c r="B138" s="25"/>
      <c r="C138" s="25"/>
    </row>
    <row r="139" spans="1:3">
      <c r="A139" s="43"/>
      <c r="B139" s="25"/>
      <c r="C139" s="25"/>
    </row>
    <row r="140" spans="1:3">
      <c r="A140" s="43"/>
      <c r="B140" s="25"/>
      <c r="C140" s="25"/>
    </row>
    <row r="141" spans="1:3">
      <c r="A141" s="43"/>
      <c r="B141" s="25"/>
      <c r="C141" s="25"/>
    </row>
    <row r="142" spans="1:3">
      <c r="A142" s="43"/>
      <c r="B142" s="25"/>
      <c r="C142" s="25"/>
    </row>
    <row r="143" spans="1:3">
      <c r="A143" s="43"/>
      <c r="B143" s="25"/>
      <c r="C143" s="25"/>
    </row>
    <row r="144" spans="1:3">
      <c r="A144" s="43"/>
      <c r="B144" s="25"/>
      <c r="C144" s="25"/>
    </row>
    <row r="145" spans="1:3">
      <c r="A145" s="43"/>
      <c r="B145" s="25"/>
      <c r="C145" s="25"/>
    </row>
    <row r="146" spans="1:3">
      <c r="A146" s="43"/>
      <c r="B146" s="25"/>
      <c r="C146" s="25"/>
    </row>
    <row r="147" spans="1:3">
      <c r="A147" s="43"/>
      <c r="B147" s="25"/>
      <c r="C147" s="25"/>
    </row>
    <row r="148" spans="1:3">
      <c r="A148" s="43"/>
      <c r="B148" s="25"/>
      <c r="C148" s="25"/>
    </row>
    <row r="149" spans="1:3">
      <c r="A149" s="43"/>
      <c r="B149" s="25"/>
      <c r="C149" s="25"/>
    </row>
    <row r="150" spans="1:3">
      <c r="A150" s="43"/>
      <c r="B150" s="25"/>
      <c r="C150" s="25"/>
    </row>
    <row r="151" spans="1:3">
      <c r="A151" s="43"/>
      <c r="B151" s="25"/>
      <c r="C151" s="25"/>
    </row>
    <row r="152" spans="1:3">
      <c r="A152" s="43"/>
      <c r="B152" s="25"/>
      <c r="C152" s="25"/>
    </row>
    <row r="153" spans="1:3">
      <c r="A153" s="43"/>
      <c r="B153" s="25"/>
      <c r="C153" s="25"/>
    </row>
    <row r="154" spans="1:3">
      <c r="A154" s="43"/>
      <c r="B154" s="25"/>
      <c r="C154" s="25"/>
    </row>
    <row r="155" spans="1:3">
      <c r="A155" s="43"/>
      <c r="B155" s="25"/>
      <c r="C155" s="25"/>
    </row>
    <row r="156" spans="1:3">
      <c r="A156" s="43"/>
      <c r="B156" s="25"/>
      <c r="C156" s="25"/>
    </row>
    <row r="157" spans="1:3">
      <c r="A157" s="43"/>
      <c r="B157" s="25"/>
      <c r="C157" s="25"/>
    </row>
    <row r="158" spans="1:3">
      <c r="A158" s="43"/>
      <c r="B158" s="25"/>
      <c r="C158" s="25"/>
    </row>
    <row r="159" spans="1:3">
      <c r="A159" s="43"/>
      <c r="B159" s="25"/>
      <c r="C159" s="25"/>
    </row>
    <row r="160" spans="1:3">
      <c r="A160" s="43"/>
      <c r="B160" s="25"/>
      <c r="C160" s="25"/>
    </row>
    <row r="161" spans="1:3">
      <c r="A161" s="43"/>
      <c r="B161" s="25"/>
      <c r="C161" s="25"/>
    </row>
    <row r="162" spans="1:3">
      <c r="A162" s="43"/>
      <c r="B162" s="25"/>
      <c r="C162" s="25"/>
    </row>
    <row r="163" spans="1:3">
      <c r="A163" s="43"/>
      <c r="B163" s="25"/>
      <c r="C163" s="25"/>
    </row>
    <row r="164" spans="1:3">
      <c r="A164" s="43"/>
      <c r="B164" s="25"/>
      <c r="C164" s="25"/>
    </row>
    <row r="165" spans="1:3">
      <c r="A165" s="43"/>
      <c r="B165" s="25"/>
      <c r="C165" s="25"/>
    </row>
    <row r="166" spans="1:3">
      <c r="A166" s="43"/>
      <c r="B166" s="25"/>
      <c r="C166" s="25"/>
    </row>
    <row r="167" spans="1:3">
      <c r="A167" s="43"/>
      <c r="B167" s="25"/>
      <c r="C167" s="25"/>
    </row>
    <row r="168" spans="1:3">
      <c r="A168" s="43"/>
      <c r="B168" s="25"/>
      <c r="C168" s="25"/>
    </row>
    <row r="169" spans="1:3">
      <c r="A169" s="43"/>
      <c r="B169" s="25"/>
      <c r="C169" s="25"/>
    </row>
    <row r="170" spans="1:3">
      <c r="A170" s="43"/>
      <c r="B170" s="25"/>
      <c r="C170" s="25"/>
    </row>
    <row r="171" spans="1:3">
      <c r="A171" s="43"/>
      <c r="B171" s="25"/>
      <c r="C171" s="25"/>
    </row>
    <row r="172" spans="1:3">
      <c r="A172" s="43"/>
      <c r="B172" s="25"/>
      <c r="C172" s="25"/>
    </row>
    <row r="173" spans="1:3">
      <c r="A173" s="43"/>
      <c r="B173" s="25"/>
      <c r="C173" s="25"/>
    </row>
    <row r="174" spans="1:3">
      <c r="A174" s="43"/>
      <c r="B174" s="25"/>
      <c r="C174" s="25"/>
    </row>
    <row r="175" spans="1:3">
      <c r="A175" s="43"/>
      <c r="B175" s="25"/>
      <c r="C175" s="25"/>
    </row>
    <row r="176" spans="1:3">
      <c r="A176" s="43"/>
      <c r="B176" s="25"/>
      <c r="C176" s="25"/>
    </row>
    <row r="177" spans="1:3">
      <c r="A177" s="43"/>
      <c r="B177" s="25"/>
      <c r="C177" s="25"/>
    </row>
    <row r="178" spans="1:3">
      <c r="A178" s="43"/>
      <c r="B178" s="25"/>
      <c r="C178" s="25"/>
    </row>
    <row r="179" spans="1:3">
      <c r="A179" s="43"/>
      <c r="B179" s="25"/>
      <c r="C179" s="25"/>
    </row>
    <row r="180" spans="1:3">
      <c r="A180" s="43"/>
      <c r="B180" s="25"/>
      <c r="C180" s="25"/>
    </row>
    <row r="181" spans="1:3">
      <c r="A181" s="43"/>
      <c r="B181" s="25"/>
      <c r="C181" s="25"/>
    </row>
    <row r="182" spans="1:3">
      <c r="A182" s="43"/>
      <c r="B182" s="25"/>
      <c r="C182" s="25"/>
    </row>
    <row r="183" spans="1:3">
      <c r="A183" s="43"/>
      <c r="B183" s="25"/>
      <c r="C183" s="25"/>
    </row>
    <row r="184" spans="1:3">
      <c r="A184" s="43"/>
      <c r="B184" s="25"/>
      <c r="C184" s="25"/>
    </row>
    <row r="185" spans="1:3">
      <c r="A185" s="43"/>
      <c r="B185" s="25"/>
      <c r="C185" s="25"/>
    </row>
    <row r="186" spans="1:3">
      <c r="A186" s="43"/>
      <c r="B186" s="25"/>
      <c r="C186" s="25"/>
    </row>
    <row r="187" spans="1:3">
      <c r="A187" s="43"/>
      <c r="B187" s="25"/>
      <c r="C187" s="25"/>
    </row>
    <row r="188" spans="1:3">
      <c r="A188" s="43"/>
      <c r="B188" s="25"/>
      <c r="C188" s="25"/>
    </row>
    <row r="189" spans="1:3">
      <c r="A189" s="43"/>
      <c r="B189" s="25"/>
      <c r="C189" s="25"/>
    </row>
    <row r="190" spans="1:3">
      <c r="A190" s="43"/>
      <c r="B190" s="25"/>
      <c r="C190" s="25"/>
    </row>
    <row r="191" spans="1:3">
      <c r="A191" s="43"/>
      <c r="B191" s="25"/>
      <c r="C191" s="25"/>
    </row>
    <row r="192" spans="1:3">
      <c r="A192" s="43"/>
      <c r="B192" s="25"/>
      <c r="C192" s="25"/>
    </row>
    <row r="193" spans="1:3">
      <c r="A193" s="43"/>
      <c r="B193" s="25"/>
      <c r="C193" s="25"/>
    </row>
    <row r="194" spans="1:3">
      <c r="A194" s="43"/>
      <c r="B194" s="25"/>
      <c r="C194" s="25"/>
    </row>
    <row r="195" spans="1:3">
      <c r="A195" s="43"/>
      <c r="B195" s="25"/>
      <c r="C195" s="25"/>
    </row>
    <row r="196" spans="1:3">
      <c r="A196" s="43"/>
      <c r="B196" s="25"/>
      <c r="C196" s="25"/>
    </row>
    <row r="197" spans="1:3">
      <c r="A197" s="43"/>
      <c r="B197" s="25"/>
      <c r="C197" s="25"/>
    </row>
    <row r="198" spans="1:3">
      <c r="A198" s="43"/>
      <c r="B198" s="25"/>
      <c r="C198" s="25"/>
    </row>
    <row r="199" spans="1:3">
      <c r="A199" s="43"/>
      <c r="B199" s="25"/>
      <c r="C199" s="25"/>
    </row>
    <row r="200" spans="1:3">
      <c r="A200" s="43"/>
      <c r="B200" s="25"/>
      <c r="C200" s="25"/>
    </row>
    <row r="201" spans="1:3">
      <c r="A201" s="43"/>
      <c r="B201" s="25"/>
      <c r="C201" s="25"/>
    </row>
    <row r="202" spans="1:3">
      <c r="A202" s="43"/>
      <c r="B202" s="25"/>
      <c r="C202" s="25"/>
    </row>
    <row r="203" spans="1:3">
      <c r="A203" s="43"/>
      <c r="B203" s="25"/>
      <c r="C203" s="25"/>
    </row>
    <row r="204" spans="1:3">
      <c r="A204" s="43"/>
      <c r="B204" s="25"/>
      <c r="C204" s="25"/>
    </row>
    <row r="205" spans="1:3">
      <c r="A205" s="43"/>
      <c r="B205" s="25"/>
      <c r="C205" s="25"/>
    </row>
    <row r="206" spans="1:3">
      <c r="A206" s="43"/>
      <c r="B206" s="25"/>
      <c r="C206" s="25"/>
    </row>
    <row r="207" spans="1:3">
      <c r="A207" s="43"/>
      <c r="B207" s="25"/>
      <c r="C207" s="25"/>
    </row>
    <row r="208" spans="1:3">
      <c r="A208" s="43"/>
      <c r="B208" s="25"/>
      <c r="C208" s="25"/>
    </row>
    <row r="209" spans="1:3">
      <c r="A209" s="43"/>
      <c r="B209" s="25"/>
      <c r="C209" s="25"/>
    </row>
    <row r="210" spans="1:3">
      <c r="A210" s="43"/>
      <c r="B210" s="25"/>
      <c r="C210" s="25"/>
    </row>
    <row r="211" spans="1:3">
      <c r="A211" s="43"/>
      <c r="B211" s="25"/>
      <c r="C211" s="25"/>
    </row>
    <row r="212" spans="1:3">
      <c r="A212" s="43"/>
      <c r="B212" s="25"/>
      <c r="C212" s="25"/>
    </row>
    <row r="213" spans="1:3">
      <c r="A213" s="43"/>
      <c r="B213" s="25"/>
      <c r="C213" s="25"/>
    </row>
    <row r="214" spans="1:3">
      <c r="A214" s="43"/>
      <c r="B214" s="25"/>
      <c r="C214" s="25"/>
    </row>
    <row r="215" spans="1:3">
      <c r="A215" s="43"/>
      <c r="B215" s="25"/>
      <c r="C215" s="25"/>
    </row>
    <row r="216" spans="1:3">
      <c r="A216" s="43"/>
      <c r="B216" s="25"/>
      <c r="C216" s="25"/>
    </row>
    <row r="217" spans="1:3">
      <c r="A217" s="43"/>
      <c r="B217" s="25"/>
      <c r="C217" s="25"/>
    </row>
    <row r="218" spans="1:3">
      <c r="A218" s="43"/>
      <c r="B218" s="25"/>
      <c r="C218" s="25"/>
    </row>
    <row r="219" spans="1:3">
      <c r="A219" s="43"/>
      <c r="B219" s="25"/>
      <c r="C219" s="25"/>
    </row>
    <row r="220" spans="1:3">
      <c r="A220" s="43"/>
      <c r="B220" s="25"/>
      <c r="C220" s="25"/>
    </row>
    <row r="221" spans="1:3">
      <c r="A221" s="43"/>
      <c r="B221" s="25"/>
      <c r="C221" s="25"/>
    </row>
    <row r="222" spans="1:3">
      <c r="A222" s="43"/>
      <c r="B222" s="25"/>
      <c r="C222" s="25"/>
    </row>
    <row r="223" spans="1:3">
      <c r="A223" s="43"/>
      <c r="B223" s="25"/>
      <c r="C223" s="25"/>
    </row>
    <row r="224" spans="1:3">
      <c r="A224" s="43"/>
      <c r="B224" s="25"/>
      <c r="C224" s="25"/>
    </row>
    <row r="225" spans="1:3">
      <c r="A225" s="43"/>
      <c r="B225" s="25"/>
      <c r="C225" s="25"/>
    </row>
    <row r="226" spans="1:3">
      <c r="A226" s="43"/>
      <c r="B226" s="25"/>
      <c r="C226" s="25"/>
    </row>
    <row r="227" spans="1:3">
      <c r="A227" s="43"/>
      <c r="B227" s="25"/>
      <c r="C227" s="25"/>
    </row>
    <row r="228" spans="1:3">
      <c r="A228" s="43"/>
      <c r="B228" s="25"/>
      <c r="C228" s="25"/>
    </row>
    <row r="229" spans="1:3">
      <c r="A229" s="43"/>
      <c r="B229" s="25"/>
      <c r="C229" s="25"/>
    </row>
    <row r="230" spans="1:3">
      <c r="A230" s="43"/>
      <c r="B230" s="25"/>
      <c r="C230" s="25"/>
    </row>
    <row r="231" spans="1:3">
      <c r="A231" s="43"/>
      <c r="B231" s="25"/>
      <c r="C231" s="25"/>
    </row>
    <row r="232" spans="1:3">
      <c r="A232" s="43"/>
      <c r="B232" s="25"/>
      <c r="C232" s="25"/>
    </row>
    <row r="233" spans="1:3">
      <c r="A233" s="43"/>
      <c r="B233" s="25"/>
      <c r="C233" s="25"/>
    </row>
    <row r="234" spans="1:3">
      <c r="A234" s="43"/>
      <c r="B234" s="25"/>
      <c r="C234" s="25"/>
    </row>
    <row r="235" spans="1:3">
      <c r="A235" s="43"/>
      <c r="B235" s="25"/>
      <c r="C235" s="25"/>
    </row>
    <row r="236" spans="1:3">
      <c r="A236" s="43"/>
      <c r="B236" s="25"/>
      <c r="C236" s="25"/>
    </row>
    <row r="237" spans="1:3">
      <c r="A237" s="43"/>
      <c r="B237" s="25"/>
      <c r="C237" s="25"/>
    </row>
    <row r="238" spans="1:3">
      <c r="A238" s="43"/>
      <c r="B238" s="25"/>
      <c r="C238" s="25"/>
    </row>
    <row r="239" spans="1:3">
      <c r="A239" s="43"/>
      <c r="B239" s="25"/>
      <c r="C239" s="25"/>
    </row>
    <row r="240" spans="1:3">
      <c r="A240" s="43"/>
      <c r="B240" s="25"/>
      <c r="C240" s="25"/>
    </row>
    <row r="241" spans="1:3">
      <c r="A241" s="43"/>
      <c r="B241" s="25"/>
      <c r="C241" s="25"/>
    </row>
    <row r="242" spans="1:3">
      <c r="A242" s="43"/>
      <c r="B242" s="25"/>
      <c r="C242" s="25"/>
    </row>
    <row r="243" spans="1:3">
      <c r="A243" s="43"/>
      <c r="B243" s="25"/>
      <c r="C243" s="25"/>
    </row>
    <row r="244" spans="1:3">
      <c r="A244" s="43"/>
      <c r="B244" s="25"/>
      <c r="C244" s="25"/>
    </row>
    <row r="245" spans="1:3">
      <c r="A245" s="43"/>
      <c r="B245" s="25"/>
      <c r="C245" s="25"/>
    </row>
    <row r="246" spans="1:3">
      <c r="A246" s="43"/>
      <c r="B246" s="25"/>
      <c r="C246" s="25"/>
    </row>
    <row r="247" spans="1:3">
      <c r="A247" s="43"/>
      <c r="B247" s="25"/>
      <c r="C247" s="25"/>
    </row>
    <row r="248" spans="1:3">
      <c r="A248" s="43"/>
      <c r="B248" s="25"/>
      <c r="C248" s="25"/>
    </row>
    <row r="249" spans="1:3">
      <c r="A249" s="43"/>
      <c r="B249" s="25"/>
      <c r="C249" s="25"/>
    </row>
    <row r="250" spans="1:3">
      <c r="A250" s="43"/>
      <c r="B250" s="25"/>
      <c r="C250" s="25"/>
    </row>
    <row r="251" spans="1:3">
      <c r="A251" s="43"/>
      <c r="B251" s="25"/>
      <c r="C251" s="25"/>
    </row>
    <row r="252" spans="1:3">
      <c r="A252" s="43"/>
      <c r="B252" s="25"/>
      <c r="C252" s="25"/>
    </row>
    <row r="253" spans="1:3">
      <c r="A253" s="43"/>
      <c r="B253" s="25"/>
      <c r="C253" s="25"/>
    </row>
    <row r="254" spans="1:3">
      <c r="A254" s="43"/>
      <c r="B254" s="25"/>
      <c r="C254" s="25"/>
    </row>
    <row r="255" spans="1:3">
      <c r="A255" s="43"/>
      <c r="B255" s="25"/>
      <c r="C255" s="25"/>
    </row>
    <row r="256" spans="1:3">
      <c r="A256" s="43"/>
      <c r="B256" s="25"/>
      <c r="C256" s="25"/>
    </row>
    <row r="257" spans="1:3">
      <c r="A257" s="43"/>
      <c r="B257" s="25"/>
      <c r="C257" s="25"/>
    </row>
    <row r="258" spans="1:3">
      <c r="A258" s="43"/>
      <c r="B258" s="25"/>
      <c r="C258" s="25"/>
    </row>
    <row r="259" spans="1:3">
      <c r="A259" s="43"/>
      <c r="B259" s="25"/>
      <c r="C259" s="25"/>
    </row>
    <row r="260" spans="1:3">
      <c r="A260" s="43"/>
      <c r="B260" s="25"/>
      <c r="C260" s="25"/>
    </row>
    <row r="261" spans="1:3">
      <c r="A261" s="43"/>
      <c r="B261" s="25"/>
      <c r="C261" s="25"/>
    </row>
    <row r="262" spans="1:3">
      <c r="A262" s="43"/>
      <c r="B262" s="25"/>
      <c r="C262" s="25"/>
    </row>
    <row r="263" spans="1:3">
      <c r="A263" s="43"/>
      <c r="B263" s="25"/>
      <c r="C263" s="25"/>
    </row>
    <row r="264" spans="1:3">
      <c r="A264" s="43"/>
      <c r="B264" s="25"/>
      <c r="C264" s="25"/>
    </row>
    <row r="265" spans="1:3">
      <c r="A265" s="43"/>
      <c r="B265" s="25"/>
      <c r="C265" s="25"/>
    </row>
    <row r="266" spans="1:3">
      <c r="A266" s="43"/>
      <c r="B266" s="25"/>
      <c r="C266" s="25"/>
    </row>
    <row r="267" spans="1:3">
      <c r="A267" s="43"/>
      <c r="B267" s="25"/>
      <c r="C267" s="25"/>
    </row>
    <row r="268" spans="1:3">
      <c r="A268" s="43"/>
      <c r="B268" s="25"/>
      <c r="C268" s="25"/>
    </row>
    <row r="269" spans="1:3">
      <c r="A269" s="43"/>
      <c r="B269" s="25"/>
      <c r="C269" s="25"/>
    </row>
    <row r="270" spans="1:3">
      <c r="A270" s="43"/>
      <c r="B270" s="25"/>
      <c r="C270" s="25"/>
    </row>
    <row r="271" spans="1:3">
      <c r="A271" s="43"/>
      <c r="B271" s="25"/>
      <c r="C271" s="25"/>
    </row>
    <row r="272" spans="1:3">
      <c r="A272" s="43"/>
      <c r="B272" s="25"/>
      <c r="C272" s="25"/>
    </row>
    <row r="273" spans="1:3">
      <c r="A273" s="43"/>
      <c r="B273" s="25"/>
      <c r="C273" s="25"/>
    </row>
    <row r="274" spans="1:3">
      <c r="A274" s="43"/>
      <c r="B274" s="25"/>
      <c r="C274" s="25"/>
    </row>
    <row r="275" spans="1:3">
      <c r="A275" s="43"/>
      <c r="B275" s="25"/>
      <c r="C275" s="25"/>
    </row>
    <row r="276" spans="1:3">
      <c r="A276" s="43"/>
      <c r="B276" s="25"/>
      <c r="C276" s="25"/>
    </row>
    <row r="277" spans="1:3">
      <c r="A277" s="43"/>
      <c r="B277" s="25"/>
      <c r="C277" s="25"/>
    </row>
    <row r="278" spans="1:3">
      <c r="A278" s="43"/>
      <c r="B278" s="25"/>
      <c r="C278" s="25"/>
    </row>
    <row r="279" spans="1:3">
      <c r="A279" s="43"/>
      <c r="B279" s="25"/>
      <c r="C279" s="25"/>
    </row>
    <row r="280" spans="1:3">
      <c r="A280" s="43"/>
      <c r="B280" s="25"/>
      <c r="C280" s="25"/>
    </row>
    <row r="281" spans="1:3">
      <c r="A281" s="43"/>
      <c r="B281" s="25"/>
      <c r="C281" s="25"/>
    </row>
    <row r="282" spans="1:3">
      <c r="A282" s="43"/>
      <c r="B282" s="25"/>
      <c r="C282" s="25"/>
    </row>
    <row r="283" spans="1:3">
      <c r="A283" s="43"/>
      <c r="B283" s="25"/>
      <c r="C283" s="25"/>
    </row>
    <row r="284" spans="1:3">
      <c r="A284" s="43"/>
      <c r="B284" s="25"/>
      <c r="C284" s="25"/>
    </row>
    <row r="285" spans="1:3">
      <c r="A285" s="43"/>
      <c r="B285" s="25"/>
      <c r="C285" s="25"/>
    </row>
    <row r="286" spans="1:3">
      <c r="A286" s="43"/>
      <c r="B286" s="25"/>
      <c r="C286" s="25"/>
    </row>
    <row r="287" spans="1:3">
      <c r="A287" s="43"/>
      <c r="B287" s="25"/>
      <c r="C287" s="25"/>
    </row>
    <row r="288" spans="1:3">
      <c r="A288" s="43"/>
      <c r="B288" s="25"/>
      <c r="C288" s="25"/>
    </row>
    <row r="289" spans="1:3">
      <c r="A289" s="43"/>
      <c r="B289" s="25"/>
      <c r="C289" s="25"/>
    </row>
    <row r="290" spans="1:3">
      <c r="A290" s="43"/>
      <c r="B290" s="25"/>
      <c r="C290" s="25"/>
    </row>
    <row r="291" spans="1:3">
      <c r="A291" s="43"/>
      <c r="B291" s="25"/>
      <c r="C291" s="25"/>
    </row>
    <row r="292" spans="1:3">
      <c r="A292" s="43"/>
      <c r="B292" s="25"/>
      <c r="C292" s="25"/>
    </row>
    <row r="293" spans="1:3">
      <c r="A293" s="43"/>
      <c r="B293" s="25"/>
      <c r="C293" s="25"/>
    </row>
    <row r="294" spans="1:3">
      <c r="A294" s="43"/>
      <c r="B294" s="25"/>
      <c r="C294" s="25"/>
    </row>
    <row r="295" spans="1:3">
      <c r="A295" s="43"/>
      <c r="B295" s="25"/>
      <c r="C295" s="25"/>
    </row>
    <row r="296" spans="1:3">
      <c r="A296" s="43"/>
      <c r="B296" s="25"/>
      <c r="C296" s="25"/>
    </row>
    <row r="297" spans="1:3">
      <c r="A297" s="43"/>
      <c r="B297" s="25"/>
      <c r="C297" s="25"/>
    </row>
    <row r="298" spans="1:3">
      <c r="A298" s="43"/>
      <c r="B298" s="25"/>
      <c r="C298" s="25"/>
    </row>
    <row r="299" spans="1:3">
      <c r="A299" s="43"/>
      <c r="B299" s="25"/>
      <c r="C299" s="25"/>
    </row>
    <row r="300" spans="1:3">
      <c r="A300" s="43"/>
      <c r="B300" s="25"/>
      <c r="C300" s="25"/>
    </row>
    <row r="301" spans="1:3">
      <c r="A301" s="43"/>
      <c r="B301" s="25"/>
      <c r="C301" s="25"/>
    </row>
    <row r="302" spans="1:3">
      <c r="A302" s="43"/>
      <c r="B302" s="25"/>
      <c r="C302" s="25"/>
    </row>
    <row r="303" spans="1:3">
      <c r="A303" s="43"/>
      <c r="B303" s="25"/>
      <c r="C303" s="25"/>
    </row>
    <row r="304" spans="1:3">
      <c r="A304" s="43"/>
    </row>
    <row r="305" spans="1:1">
      <c r="A305" s="43"/>
    </row>
    <row r="306" spans="1:1">
      <c r="A306" s="43"/>
    </row>
    <row r="307" spans="1:1">
      <c r="A307" s="43"/>
    </row>
    <row r="308" spans="1:1">
      <c r="A308" s="43"/>
    </row>
    <row r="309" spans="1:1">
      <c r="A309" s="43"/>
    </row>
    <row r="310" spans="1:1">
      <c r="A310" s="43"/>
    </row>
    <row r="311" spans="1:1">
      <c r="A311" s="43"/>
    </row>
    <row r="312" spans="1:1">
      <c r="A312" s="43"/>
    </row>
    <row r="313" spans="1:1">
      <c r="A313" s="43"/>
    </row>
    <row r="314" spans="1:1">
      <c r="A314" s="43"/>
    </row>
    <row r="315" spans="1:1">
      <c r="A315" s="43"/>
    </row>
    <row r="316" spans="1:1">
      <c r="A316" s="43"/>
    </row>
    <row r="317" spans="1:1">
      <c r="A317" s="43"/>
    </row>
    <row r="318" spans="1:1">
      <c r="A318" s="43"/>
    </row>
    <row r="319" spans="1:1">
      <c r="A319" s="43"/>
    </row>
    <row r="320" spans="1:1">
      <c r="A320" s="43"/>
    </row>
    <row r="321" spans="1:1">
      <c r="A321" s="43"/>
    </row>
    <row r="322" spans="1:1">
      <c r="A322" s="43"/>
    </row>
    <row r="323" spans="1:1">
      <c r="A323" s="43"/>
    </row>
    <row r="324" spans="1:1">
      <c r="A324" s="43"/>
    </row>
    <row r="325" spans="1:1">
      <c r="A325" s="43"/>
    </row>
    <row r="326" spans="1:1">
      <c r="A326" s="43"/>
    </row>
    <row r="327" spans="1:1">
      <c r="A327" s="43"/>
    </row>
    <row r="328" spans="1:1">
      <c r="A328" s="43"/>
    </row>
    <row r="329" spans="1:1">
      <c r="A329" s="43"/>
    </row>
    <row r="330" spans="1:1">
      <c r="A330" s="43"/>
    </row>
    <row r="331" spans="1:1">
      <c r="A331" s="43"/>
    </row>
    <row r="332" spans="1:1">
      <c r="A332" s="43"/>
    </row>
    <row r="333" spans="1:1">
      <c r="A333" s="43"/>
    </row>
    <row r="334" spans="1:1">
      <c r="A334" s="43"/>
    </row>
    <row r="335" spans="1:1">
      <c r="A335" s="43"/>
    </row>
    <row r="336" spans="1:1">
      <c r="A336" s="43"/>
    </row>
    <row r="337" spans="1:1">
      <c r="A337" s="43"/>
    </row>
    <row r="338" spans="1:1">
      <c r="A338" s="43"/>
    </row>
    <row r="339" spans="1:1">
      <c r="A339" s="43"/>
    </row>
    <row r="340" spans="1:1">
      <c r="A340" s="43"/>
    </row>
    <row r="341" spans="1:1">
      <c r="A341" s="43"/>
    </row>
    <row r="342" spans="1:1">
      <c r="A342" s="43"/>
    </row>
    <row r="343" spans="1:1">
      <c r="A343" s="43"/>
    </row>
    <row r="344" spans="1:1">
      <c r="A344" s="43"/>
    </row>
    <row r="345" spans="1:1">
      <c r="A345" s="43"/>
    </row>
    <row r="346" spans="1:1">
      <c r="A346" s="43"/>
    </row>
    <row r="347" spans="1:1">
      <c r="A347" s="43"/>
    </row>
    <row r="348" spans="1:1">
      <c r="A348" s="43"/>
    </row>
  </sheetData>
  <sheetProtection algorithmName="SHA-512" hashValue="7I3lVV+wpoCNgCGHMVEngXGut2TjeEuXGXrmbaKRKcoA/egWFb7Qk6bHlzLPWfVUr8zWMuGxnQjZVXfF+uTdHA==" saltValue="uFayeW3zqI8fuzDPrZKF8g==" spinCount="100000" sheet="1" scenarios="1" selectLockedCells="1"/>
  <mergeCells count="7">
    <mergeCell ref="A1:F1"/>
    <mergeCell ref="A6:B6"/>
    <mergeCell ref="C6:D6"/>
    <mergeCell ref="E6:F6"/>
    <mergeCell ref="C7:D9"/>
    <mergeCell ref="A7:B9"/>
    <mergeCell ref="E7:F9"/>
  </mergeCells>
  <conditionalFormatting sqref="A10:A348">
    <cfRule type="timePeriod" dxfId="103" priority="1" timePeriod="lastMonth">
      <formula>AND(MONTH(A10)=MONTH(EDATE(TODAY(),0-1)),YEAR(A10)=YEAR(EDATE(TODAY(),0-1)))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18</vt:i4>
      </vt:variant>
    </vt:vector>
  </HeadingPairs>
  <TitlesOfParts>
    <vt:vector size="26" baseType="lpstr">
      <vt:lpstr>A̳ssessórios</vt:lpstr>
      <vt:lpstr>B̳ases</vt:lpstr>
      <vt:lpstr>C̳álculos</vt:lpstr>
      <vt:lpstr>D̳ash_Home</vt:lpstr>
      <vt:lpstr>D̳ash_Diretor</vt:lpstr>
      <vt:lpstr>D̳ash_Diretor2</vt:lpstr>
      <vt:lpstr>D̳ash_Vendas</vt:lpstr>
      <vt:lpstr>EXTRA</vt:lpstr>
      <vt:lpstr>ANALISE_DE_DADOS</vt:lpstr>
      <vt:lpstr>Cálculo_Dash_Diretor</vt:lpstr>
      <vt:lpstr>Calculo_Dash_Diretor2</vt:lpstr>
      <vt:lpstr>Calculo_Dash_Vendas</vt:lpstr>
      <vt:lpstr>D̳ash_Diretor!CAMPO_CODIGO</vt:lpstr>
      <vt:lpstr>D̳ash_Diretor2!CAMPO_CODIGO</vt:lpstr>
      <vt:lpstr>D̳ash_Vendas!CAMPO_CODIGO</vt:lpstr>
      <vt:lpstr>CAMPO_CODIGO</vt:lpstr>
      <vt:lpstr>DIREÇÃO</vt:lpstr>
      <vt:lpstr>EQUIPE_DE_VENDAS</vt:lpstr>
      <vt:lpstr>D̳ash_Diretor!escolha_setor</vt:lpstr>
      <vt:lpstr>D̳ash_Diretor2!escolha_setor</vt:lpstr>
      <vt:lpstr>D̳ash_Vendas!escolha_setor</vt:lpstr>
      <vt:lpstr>escolha_setor</vt:lpstr>
      <vt:lpstr>Intervalo_Login</vt:lpstr>
      <vt:lpstr>SETOR</vt:lpstr>
      <vt:lpstr>tbl_quantidade_assinaturas</vt:lpstr>
      <vt:lpstr>TICKET_MÉDIO_ASSINATURAS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valleDado</cp:lastModifiedBy>
  <dcterms:created xsi:type="dcterms:W3CDTF">2024-12-19T13:13:10Z</dcterms:created>
  <dcterms:modified xsi:type="dcterms:W3CDTF">2025-06-27T23:41:38Z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