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<sst xmlns="http://schemas.openxmlformats.org/spreadsheetml/2006/main" count="13457" uniqueCount="5713">
  <si>
    <t>Unnamed: 0</t>
  </si>
  <si>
    <t>Emoji_ID</t>
  </si>
  <si>
    <t>Emoji</t>
  </si>
  <si>
    <t>Unicode_Name</t>
  </si>
  <si>
    <t>Ru_Name</t>
  </si>
  <si>
    <t>Class</t>
  </si>
  <si>
    <t>Total_Occurrence</t>
  </si>
  <si>
    <t>Negativity_Occurrence_N(Negative)</t>
  </si>
  <si>
    <t>Neutrality_Occurrence_N(Neutral)</t>
  </si>
  <si>
    <t>Positivity_Occurrence_N(Positive)</t>
  </si>
  <si>
    <t>Negativite_Probability_P(Negative)</t>
  </si>
  <si>
    <t>Neutral_Probability_P(Neutral)</t>
  </si>
  <si>
    <t>Positive_Probability_P(Positive)</t>
  </si>
  <si>
    <t>Sentiment_Score_S</t>
  </si>
  <si>
    <t>label</t>
  </si>
  <si>
    <t>1</t>
  </si>
  <si>
    <t>b'\xf0\x9f\x98\x82'</t>
  </si>
  <si>
    <t>😂</t>
  </si>
  <si>
    <t xml:space="preserve"> Face With Tears Of Joy </t>
  </si>
  <si>
    <t>Facial Expression</t>
  </si>
  <si>
    <t>25908</t>
  </si>
  <si>
    <t>8106</t>
  </si>
  <si>
    <t>2638</t>
  </si>
  <si>
    <t>15164</t>
  </si>
  <si>
    <t>0.3128763316350162</t>
  </si>
  <si>
    <t>0.1018218310946426</t>
  </si>
  <si>
    <t>0.5853018372703412</t>
  </si>
  <si>
    <t>0.272425505635325</t>
  </si>
  <si>
    <t>2</t>
  </si>
  <si>
    <t>b'\xf0\x9f\x92\x94'</t>
  </si>
  <si>
    <t>💔</t>
  </si>
  <si>
    <t xml:space="preserve"> Broken Heart </t>
  </si>
  <si>
    <t>Heart</t>
  </si>
  <si>
    <t>18564</t>
  </si>
  <si>
    <t>17781</t>
  </si>
  <si>
    <t>342</t>
  </si>
  <si>
    <t>441</t>
  </si>
  <si>
    <t>0.9578215901745314</t>
  </si>
  <si>
    <t>0.01842275371687136</t>
  </si>
  <si>
    <t>0.023755656108597284</t>
  </si>
  <si>
    <t>-0.934065934065934</t>
  </si>
  <si>
    <t>3</t>
  </si>
  <si>
    <t>b'\xe2\x9d\xa4'</t>
  </si>
  <si>
    <t>❤</t>
  </si>
  <si>
    <t xml:space="preserve"> Red Heart </t>
  </si>
  <si>
    <t>15876</t>
  </si>
  <si>
    <t>2701</t>
  </si>
  <si>
    <t>1573</t>
  </si>
  <si>
    <t>11602</t>
  </si>
  <si>
    <t>0.1701310153691106</t>
  </si>
  <si>
    <t>0.0990803728898967</t>
  </si>
  <si>
    <t>0.7307886117409927</t>
  </si>
  <si>
    <t>0.5606575963718822</t>
  </si>
  <si>
    <t>4</t>
  </si>
  <si>
    <t>b'\xf0\x9f\x98\xad'</t>
  </si>
  <si>
    <t>😭</t>
  </si>
  <si>
    <t xml:space="preserve"> Loudly Crying Face </t>
  </si>
  <si>
    <t>12318</t>
  </si>
  <si>
    <t>9525</t>
  </si>
  <si>
    <t>1617</t>
  </si>
  <si>
    <t>1176</t>
  </si>
  <si>
    <t>0.7732586458840721</t>
  </si>
  <si>
    <t>0.13127131027764247</t>
  </si>
  <si>
    <t>0.09547004383828543</t>
  </si>
  <si>
    <t>-0.6777886020457867</t>
  </si>
  <si>
    <t>5</t>
  </si>
  <si>
    <t>b'\xf0\x9f\x98\x8d'</t>
  </si>
  <si>
    <t>😍</t>
  </si>
  <si>
    <t xml:space="preserve"> Smiling Face With Heart-Eyes </t>
  </si>
  <si>
    <t>6815</t>
  </si>
  <si>
    <t>198</t>
  </si>
  <si>
    <t>493</t>
  </si>
  <si>
    <t>6124</t>
  </si>
  <si>
    <t>0.02905355832721937</t>
  </si>
  <si>
    <t>0.07234042553191489</t>
  </si>
  <si>
    <t>0.8986060161408658</t>
  </si>
  <si>
    <t>0.8695524578136464</t>
  </si>
  <si>
    <t>6</t>
  </si>
  <si>
    <t>b'\xf0\x9f\x8c\xb9'</t>
  </si>
  <si>
    <t>🌹</t>
  </si>
  <si>
    <t xml:space="preserve"> Rose </t>
  </si>
  <si>
    <t>Nature</t>
  </si>
  <si>
    <t>6173</t>
  </si>
  <si>
    <t>390</t>
  </si>
  <si>
    <t>662</t>
  </si>
  <si>
    <t>5121</t>
  </si>
  <si>
    <t>0.06317835736270858</t>
  </si>
  <si>
    <t>0.10724121172849506</t>
  </si>
  <si>
    <t>0.8295804309087964</t>
  </si>
  <si>
    <t>0.7664020735460878</t>
  </si>
  <si>
    <t>7</t>
  </si>
  <si>
    <t>b'\xf0\x9f\x99\x82'</t>
  </si>
  <si>
    <t>🙂</t>
  </si>
  <si>
    <t xml:space="preserve"> Slightly Smiling Face </t>
  </si>
  <si>
    <t>5717</t>
  </si>
  <si>
    <t>1862</t>
  </si>
  <si>
    <t>697</t>
  </si>
  <si>
    <t>3158</t>
  </si>
  <si>
    <t>0.3256952947350009</t>
  </si>
  <si>
    <t>0.1219170893825433</t>
  </si>
  <si>
    <t>0.5523876158824559</t>
  </si>
  <si>
    <t>0.22669232114745505</t>
  </si>
  <si>
    <t>8</t>
  </si>
  <si>
    <t>b'\xf0\x9f\x92\x95'</t>
  </si>
  <si>
    <t>💕</t>
  </si>
  <si>
    <t xml:space="preserve"> Two Hearts </t>
  </si>
  <si>
    <t>5573</t>
  </si>
  <si>
    <t>1066</t>
  </si>
  <si>
    <t>722</t>
  </si>
  <si>
    <t>3785</t>
  </si>
  <si>
    <t>0.19127938273820205</t>
  </si>
  <si>
    <t>0.12955320294275974</t>
  </si>
  <si>
    <t>0.6791674143190383</t>
  </si>
  <si>
    <t>0.4878880315808362</t>
  </si>
  <si>
    <t>9</t>
  </si>
  <si>
    <t>b'\xf0\x9f\x98\x85'</t>
  </si>
  <si>
    <t>😅</t>
  </si>
  <si>
    <t xml:space="preserve"> Grinning Face With Sweat </t>
  </si>
  <si>
    <t>5499</t>
  </si>
  <si>
    <t>754</t>
  </si>
  <si>
    <t>1057</t>
  </si>
  <si>
    <t>3688</t>
  </si>
  <si>
    <t>0.13711583924349882</t>
  </si>
  <si>
    <t>0.1922167666848518</t>
  </si>
  <si>
    <t>0.6706673940716494</t>
  </si>
  <si>
    <t>0.5335515548281506</t>
  </si>
  <si>
    <t>10</t>
  </si>
  <si>
    <t>b'\xf0\x9f\x92\x99'</t>
  </si>
  <si>
    <t>💙</t>
  </si>
  <si>
    <t xml:space="preserve"> Blue Heart </t>
  </si>
  <si>
    <t>5444</t>
  </si>
  <si>
    <t>871</t>
  </si>
  <si>
    <t>348</t>
  </si>
  <si>
    <t>4225</t>
  </si>
  <si>
    <t>0.1599926524614254</t>
  </si>
  <si>
    <t>0.0639235855988244</t>
  </si>
  <si>
    <t>0.7760837619397501</t>
  </si>
  <si>
    <t>0.6160911094783248</t>
  </si>
  <si>
    <t>11</t>
  </si>
  <si>
    <t>b'\xf0\x9f\x98\x94'</t>
  </si>
  <si>
    <t>😔</t>
  </si>
  <si>
    <t xml:space="preserve"> Pensive Face </t>
  </si>
  <si>
    <t>5325</t>
  </si>
  <si>
    <t>3042</t>
  </si>
  <si>
    <t>911</t>
  </si>
  <si>
    <t>1372</t>
  </si>
  <si>
    <t>0.5712676056338029</t>
  </si>
  <si>
    <t>0.17107981220657276</t>
  </si>
  <si>
    <t>0.2576525821596244</t>
  </si>
  <si>
    <t>-0.3136150234741785</t>
  </si>
  <si>
    <t>12</t>
  </si>
  <si>
    <t>b'\xf0\x9f\x98\x81'</t>
  </si>
  <si>
    <t>😁</t>
  </si>
  <si>
    <t xml:space="preserve"> Beaming Face With Smiling Eyes </t>
  </si>
  <si>
    <t>4964</t>
  </si>
  <si>
    <t>623</t>
  </si>
  <si>
    <t>1040</t>
  </si>
  <si>
    <t>3301</t>
  </si>
  <si>
    <t>0.12550362610797744</t>
  </si>
  <si>
    <t>0.20950846091861405</t>
  </si>
  <si>
    <t>0.6649879129734085</t>
  </si>
  <si>
    <t>0.539484286865431</t>
  </si>
  <si>
    <t>13</t>
  </si>
  <si>
    <t>b'\xf0\x9f\x92\x9a'</t>
  </si>
  <si>
    <t>💚</t>
  </si>
  <si>
    <t xml:space="preserve"> Green Heart </t>
  </si>
  <si>
    <t>4537</t>
  </si>
  <si>
    <t>560</t>
  </si>
  <si>
    <t>380</t>
  </si>
  <si>
    <t>3597</t>
  </si>
  <si>
    <t>0.12342957901697155</t>
  </si>
  <si>
    <t>0.08375578576151642</t>
  </si>
  <si>
    <t>0.792814635221512</t>
  </si>
  <si>
    <t>0.6693850562045404</t>
  </si>
  <si>
    <t>14</t>
  </si>
  <si>
    <t>b'\xf0\x9f\x91\x8c'</t>
  </si>
  <si>
    <t>👌</t>
  </si>
  <si>
    <t xml:space="preserve"> Ok Hand </t>
  </si>
  <si>
    <t>Body Language</t>
  </si>
  <si>
    <t>3671</t>
  </si>
  <si>
    <t>577</t>
  </si>
  <si>
    <t>987</t>
  </si>
  <si>
    <t>2107</t>
  </si>
  <si>
    <t>0.15717788068646146</t>
  </si>
  <si>
    <t>0.2688640697357668</t>
  </si>
  <si>
    <t>0.5739580495777717</t>
  </si>
  <si>
    <t>0.4167801688913103</t>
  </si>
  <si>
    <t>15</t>
  </si>
  <si>
    <t>b'\xf0\x9f\x91\x8d'</t>
  </si>
  <si>
    <t>👍</t>
  </si>
  <si>
    <t xml:space="preserve"> Thumbs Up </t>
  </si>
  <si>
    <t>3666</t>
  </si>
  <si>
    <t>1179</t>
  </si>
  <si>
    <t>941</t>
  </si>
  <si>
    <t>1546</t>
  </si>
  <si>
    <t>0.32160392798690673</t>
  </si>
  <si>
    <t>0.25668303327877795</t>
  </si>
  <si>
    <t>0.4217130387343153</t>
  </si>
  <si>
    <t>0.10010911074740858</t>
  </si>
  <si>
    <t>16</t>
  </si>
  <si>
    <t>b'\xf0\x9f\x92\x9b'</t>
  </si>
  <si>
    <t>💛</t>
  </si>
  <si>
    <t xml:space="preserve"> Yellow Heart </t>
  </si>
  <si>
    <t>3485</t>
  </si>
  <si>
    <t>1085</t>
  </si>
  <si>
    <t>474</t>
  </si>
  <si>
    <t>1926</t>
  </si>
  <si>
    <t>0.3113342898134864</t>
  </si>
  <si>
    <t>0.13601147776183645</t>
  </si>
  <si>
    <t>0.5526542324246771</t>
  </si>
  <si>
    <t>0.2413199426111908</t>
  </si>
  <si>
    <t>17</t>
  </si>
  <si>
    <t>b'\xf0\x9f\x98\x92'</t>
  </si>
  <si>
    <t>😒</t>
  </si>
  <si>
    <t xml:space="preserve"> Unamused Face </t>
  </si>
  <si>
    <t>3288</t>
  </si>
  <si>
    <t>2657</t>
  </si>
  <si>
    <t>236</t>
  </si>
  <si>
    <t>395</t>
  </si>
  <si>
    <t>0.8080900243309003</t>
  </si>
  <si>
    <t>0.07177615571776155</t>
  </si>
  <si>
    <t>0.1201338199513382</t>
  </si>
  <si>
    <t>-0.6879562043795621</t>
  </si>
  <si>
    <t>18</t>
  </si>
  <si>
    <t>b'\xf0\x9f\x98\xa2'</t>
  </si>
  <si>
    <t>😢</t>
  </si>
  <si>
    <t xml:space="preserve"> Crying Face </t>
  </si>
  <si>
    <t>3111</t>
  </si>
  <si>
    <t>2555</t>
  </si>
  <si>
    <t>259</t>
  </si>
  <si>
    <t>297</t>
  </si>
  <si>
    <t>0.821279331404693</t>
  </si>
  <si>
    <t>0.08325297332047574</t>
  </si>
  <si>
    <t>0.09546769527483123</t>
  </si>
  <si>
    <t>-0.7258116361298618</t>
  </si>
  <si>
    <t>19</t>
  </si>
  <si>
    <t>b'\xf0\x9f\x92\xaa'</t>
  </si>
  <si>
    <t>💪</t>
  </si>
  <si>
    <t xml:space="preserve"> Flexed Biceps </t>
  </si>
  <si>
    <t>2732</t>
  </si>
  <si>
    <t>743</t>
  </si>
  <si>
    <t>591</t>
  </si>
  <si>
    <t>1398</t>
  </si>
  <si>
    <t>0.2719619326500732</t>
  </si>
  <si>
    <t>0.21632503660322108</t>
  </si>
  <si>
    <t>0.5117130307467057</t>
  </si>
  <si>
    <t>0.2397510980966325</t>
  </si>
  <si>
    <t>20</t>
  </si>
  <si>
    <t>b'\xf0\x9f\x8c\xb8'</t>
  </si>
  <si>
    <t>🌸</t>
  </si>
  <si>
    <t xml:space="preserve"> Cherry Blossom </t>
  </si>
  <si>
    <t>2615</t>
  </si>
  <si>
    <t>173</t>
  </si>
  <si>
    <t>313</t>
  </si>
  <si>
    <t>2129</t>
  </si>
  <si>
    <t>0.06615678776290633</t>
  </si>
  <si>
    <t>0.1196940726577438</t>
  </si>
  <si>
    <t>0.8141491395793499</t>
  </si>
  <si>
    <t>0.7479923518164435</t>
  </si>
  <si>
    <t>21</t>
  </si>
  <si>
    <t>b'\xf0\x9f\x98\xa9'</t>
  </si>
  <si>
    <t>😩</t>
  </si>
  <si>
    <t xml:space="preserve"> Weary Face </t>
  </si>
  <si>
    <t>2260</t>
  </si>
  <si>
    <t>1552</t>
  </si>
  <si>
    <t>457</t>
  </si>
  <si>
    <t>251</t>
  </si>
  <si>
    <t>0.6867256637168142</t>
  </si>
  <si>
    <t>0.20221238938053096</t>
  </si>
  <si>
    <t>0.11106194690265486</t>
  </si>
  <si>
    <t>-0.5756637168141594</t>
  </si>
  <si>
    <t>22</t>
  </si>
  <si>
    <t>b'\xf0\x9f\x92\x9c'</t>
  </si>
  <si>
    <t>💜</t>
  </si>
  <si>
    <t xml:space="preserve"> Purple Heart </t>
  </si>
  <si>
    <t>2236</t>
  </si>
  <si>
    <t>426</t>
  </si>
  <si>
    <t>268</t>
  </si>
  <si>
    <t>1542</t>
  </si>
  <si>
    <t>0.19051878354203933</t>
  </si>
  <si>
    <t>0.11985688729874774</t>
  </si>
  <si>
    <t>0.6896243291592129</t>
  </si>
  <si>
    <t>0.4991055456171736</t>
  </si>
  <si>
    <t>23</t>
  </si>
  <si>
    <t>b'\xf0\x9f\x98\x8a'</t>
  </si>
  <si>
    <t>😊</t>
  </si>
  <si>
    <t xml:space="preserve"> Smiling Face With Smiling Eyes </t>
  </si>
  <si>
    <t>2177</t>
  </si>
  <si>
    <t>171</t>
  </si>
  <si>
    <t>185</t>
  </si>
  <si>
    <t>1821</t>
  </si>
  <si>
    <t>0.07854846118511713</t>
  </si>
  <si>
    <t>0.08497932935231971</t>
  </si>
  <si>
    <t>0.8364722094625632</t>
  </si>
  <si>
    <t>0.7579237482774459</t>
  </si>
  <si>
    <t>24</t>
  </si>
  <si>
    <t>b'\xe2\x99\xa5'</t>
  </si>
  <si>
    <t>♥</t>
  </si>
  <si>
    <t xml:space="preserve"> Heart Suit </t>
  </si>
  <si>
    <t>2167</t>
  </si>
  <si>
    <t>454</t>
  </si>
  <si>
    <t>242</t>
  </si>
  <si>
    <t>1471</t>
  </si>
  <si>
    <t>0.20950622981079836</t>
  </si>
  <si>
    <t>0.1116751269035533</t>
  </si>
  <si>
    <t>0.6788186432856483</t>
  </si>
  <si>
    <t>0.46931241347485</t>
  </si>
  <si>
    <t>25</t>
  </si>
  <si>
    <t>b'\xf0\x9f\x98\x98'</t>
  </si>
  <si>
    <t>😘</t>
  </si>
  <si>
    <t xml:space="preserve"> Face Blowing A Kiss </t>
  </si>
  <si>
    <t>2085</t>
  </si>
  <si>
    <t>184</t>
  </si>
  <si>
    <t>367</t>
  </si>
  <si>
    <t>1534</t>
  </si>
  <si>
    <t>0.08824940047961631</t>
  </si>
  <si>
    <t>0.17601918465227814</t>
  </si>
  <si>
    <t>0.7357314148681056</t>
  </si>
  <si>
    <t>0.6474820143884893</t>
  </si>
  <si>
    <t>26</t>
  </si>
  <si>
    <t>b'\xf0\x9f\xa4\x94'</t>
  </si>
  <si>
    <t>🤔</t>
  </si>
  <si>
    <t xml:space="preserve"> Thinking Face </t>
  </si>
  <si>
    <t>1388</t>
  </si>
  <si>
    <t>406</t>
  </si>
  <si>
    <t>291</t>
  </si>
  <si>
    <t>0.6657074340527578</t>
  </si>
  <si>
    <t>0.1947242206235012</t>
  </si>
  <si>
    <t>0.13956834532374102</t>
  </si>
  <si>
    <t>-0.5261390887290167</t>
  </si>
  <si>
    <t>27</t>
  </si>
  <si>
    <t>b'\xe2\x9c\x8b'</t>
  </si>
  <si>
    <t>✋</t>
  </si>
  <si>
    <t xml:space="preserve"> Raised Hand </t>
  </si>
  <si>
    <t>2077</t>
  </si>
  <si>
    <t>561</t>
  </si>
  <si>
    <t>203</t>
  </si>
  <si>
    <t>1313</t>
  </si>
  <si>
    <t>0.2701011073663938</t>
  </si>
  <si>
    <t>0.09773712084737604</t>
  </si>
  <si>
    <t>0.6321617717862301</t>
  </si>
  <si>
    <t>0.3620606644198363</t>
  </si>
  <si>
    <t>28</t>
  </si>
  <si>
    <t>b'\xf0\x9f\xa4\xa3'</t>
  </si>
  <si>
    <t>🤣</t>
  </si>
  <si>
    <t xml:space="preserve"> Rolling On The Floor Laughing </t>
  </si>
  <si>
    <t>1917</t>
  </si>
  <si>
    <t>771</t>
  </si>
  <si>
    <t>431</t>
  </si>
  <si>
    <t>715</t>
  </si>
  <si>
    <t>0.4021909233176839</t>
  </si>
  <si>
    <t>0.224830464267084</t>
  </si>
  <si>
    <t>0.3729786124152321</t>
  </si>
  <si>
    <t>-0.029212310902451744</t>
  </si>
  <si>
    <t>29</t>
  </si>
  <si>
    <t>b'\xe2\x9c\xa8'</t>
  </si>
  <si>
    <t>✨</t>
  </si>
  <si>
    <t xml:space="preserve"> Sparkles </t>
  </si>
  <si>
    <t>Object</t>
  </si>
  <si>
    <t>1888</t>
  </si>
  <si>
    <t>275</t>
  </si>
  <si>
    <t>305</t>
  </si>
  <si>
    <t>1308</t>
  </si>
  <si>
    <t>0.14565677966101695</t>
  </si>
  <si>
    <t>0.16154661016949154</t>
  </si>
  <si>
    <t>0.6927966101694916</t>
  </si>
  <si>
    <t>0.5471398305084746</t>
  </si>
  <si>
    <t>30</t>
  </si>
  <si>
    <t>b'\xf0\x9f\x98\xa1'</t>
  </si>
  <si>
    <t>😡</t>
  </si>
  <si>
    <t xml:space="preserve"> Pouting Face </t>
  </si>
  <si>
    <t>1808</t>
  </si>
  <si>
    <t>1621</t>
  </si>
  <si>
    <t>139</t>
  </si>
  <si>
    <t>48</t>
  </si>
  <si>
    <t>0.896570796460177</t>
  </si>
  <si>
    <t>0.07688053097345132</t>
  </si>
  <si>
    <t>0.02654867256637168</t>
  </si>
  <si>
    <t>-0.8700221238938053</t>
  </si>
  <si>
    <t>31</t>
  </si>
  <si>
    <t>b'\xf0\x9f\x98\x89'</t>
  </si>
  <si>
    <t>😉</t>
  </si>
  <si>
    <t xml:space="preserve"> Winking Face </t>
  </si>
  <si>
    <t>1751</t>
  </si>
  <si>
    <t>1026</t>
  </si>
  <si>
    <t>280</t>
  </si>
  <si>
    <t>445</t>
  </si>
  <si>
    <t>0.5859508852084523</t>
  </si>
  <si>
    <t>0.1599086236436322</t>
  </si>
  <si>
    <t>0.2541404911479155</t>
  </si>
  <si>
    <t>-0.3318103940605368</t>
  </si>
  <si>
    <t>32</t>
  </si>
  <si>
    <t>b'\xf0\x9f\x98\x91'</t>
  </si>
  <si>
    <t>😑</t>
  </si>
  <si>
    <t xml:space="preserve"> Expressionless Face </t>
  </si>
  <si>
    <t>1729</t>
  </si>
  <si>
    <t>1325</t>
  </si>
  <si>
    <t>201</t>
  </si>
  <si>
    <t>0.7663389242336611</t>
  </si>
  <si>
    <t>0.11625216888374786</t>
  </si>
  <si>
    <t>0.11740890688259108</t>
  </si>
  <si>
    <t>-0.6489300173510699</t>
  </si>
  <si>
    <t>33</t>
  </si>
  <si>
    <t>b'\xf0\x9f\x98\x8e'</t>
  </si>
  <si>
    <t>😎</t>
  </si>
  <si>
    <t xml:space="preserve"> Smiling Face With Sunglasses </t>
  </si>
  <si>
    <t>1678</t>
  </si>
  <si>
    <t>196</t>
  </si>
  <si>
    <t>284</t>
  </si>
  <si>
    <t>1198</t>
  </si>
  <si>
    <t>0.11680572109654352</t>
  </si>
  <si>
    <t>0.16924910607866508</t>
  </si>
  <si>
    <t>0.7139451728247914</t>
  </si>
  <si>
    <t>0.5971394517282479</t>
  </si>
  <si>
    <t>34</t>
  </si>
  <si>
    <t>b'\xf0\x9f\x98\x8f'</t>
  </si>
  <si>
    <t>😏</t>
  </si>
  <si>
    <t xml:space="preserve"> Smirking Face </t>
  </si>
  <si>
    <t>1601</t>
  </si>
  <si>
    <t>665</t>
  </si>
  <si>
    <t>374</t>
  </si>
  <si>
    <t>562</t>
  </si>
  <si>
    <t>0.415365396627108</t>
  </si>
  <si>
    <t>0.2336039975015615</t>
  </si>
  <si>
    <t>0.3510306058713304</t>
  </si>
  <si>
    <t>-0.06433479075577764</t>
  </si>
  <si>
    <t>35</t>
  </si>
  <si>
    <t>b'\xf0\x9f\x98\x80'</t>
  </si>
  <si>
    <t>😀</t>
  </si>
  <si>
    <t xml:space="preserve"> Grinning Face </t>
  </si>
  <si>
    <t>1592</t>
  </si>
  <si>
    <t>965</t>
  </si>
  <si>
    <t>213</t>
  </si>
  <si>
    <t>414</t>
  </si>
  <si>
    <t>0.6061557788944724</t>
  </si>
  <si>
    <t>0.13379396984924624</t>
  </si>
  <si>
    <t>0.2600502512562814</t>
  </si>
  <si>
    <t>-0.34610552763819097</t>
  </si>
  <si>
    <t>36</t>
  </si>
  <si>
    <t>b'\xf0\x9f\x99\x8f'</t>
  </si>
  <si>
    <t>🙏</t>
  </si>
  <si>
    <t xml:space="preserve"> Folded Hands </t>
  </si>
  <si>
    <t>302</t>
  </si>
  <si>
    <t>129</t>
  </si>
  <si>
    <t>1161</t>
  </si>
  <si>
    <t>0.18969849246231155</t>
  </si>
  <si>
    <t>0.08103015075376885</t>
  </si>
  <si>
    <t>0.7292713567839196</t>
  </si>
  <si>
    <t>0.5395728643216081</t>
  </si>
  <si>
    <t>37</t>
  </si>
  <si>
    <t>b'\xf0\x9f\x8c\xb7'</t>
  </si>
  <si>
    <t>🌷</t>
  </si>
  <si>
    <t xml:space="preserve"> Tulip </t>
  </si>
  <si>
    <t>1530</t>
  </si>
  <si>
    <t>95</t>
  </si>
  <si>
    <t>176</t>
  </si>
  <si>
    <t>1259</t>
  </si>
  <si>
    <t>0.062091503267973865</t>
  </si>
  <si>
    <t>0.11503267973856207</t>
  </si>
  <si>
    <t>0.8228758169934641</t>
  </si>
  <si>
    <t>0.7607843137254902</t>
  </si>
  <si>
    <t>38</t>
  </si>
  <si>
    <t>b'\xf0\x9f\x91\x87'</t>
  </si>
  <si>
    <t>👇</t>
  </si>
  <si>
    <t xml:space="preserve"> Backhand Index Pointing Down </t>
  </si>
  <si>
    <t>1528</t>
  </si>
  <si>
    <t>523</t>
  </si>
  <si>
    <t>535</t>
  </si>
  <si>
    <t>470</t>
  </si>
  <si>
    <t>0.34227748691099474</t>
  </si>
  <si>
    <t>0.35013089005235604</t>
  </si>
  <si>
    <t>0.3075916230366492</t>
  </si>
  <si>
    <t>-0.034685863874345524</t>
  </si>
  <si>
    <t>39</t>
  </si>
  <si>
    <t>b'\xe2\x98\xba'</t>
  </si>
  <si>
    <t>☺</t>
  </si>
  <si>
    <t xml:space="preserve"> Smiling Face </t>
  </si>
  <si>
    <t>1495</t>
  </si>
  <si>
    <t>141</t>
  </si>
  <si>
    <t>183</t>
  </si>
  <si>
    <t>1171</t>
  </si>
  <si>
    <t>0.094314381270903</t>
  </si>
  <si>
    <t>0.12240802675585286</t>
  </si>
  <si>
    <t>0.7832775919732441</t>
  </si>
  <si>
    <t>0.6889632107023411</t>
  </si>
  <si>
    <t>40</t>
  </si>
  <si>
    <t>b'\xf0\x9f\x98\x90'</t>
  </si>
  <si>
    <t>😐</t>
  </si>
  <si>
    <t xml:space="preserve"> Neutral Face </t>
  </si>
  <si>
    <t>1484</t>
  </si>
  <si>
    <t>855</t>
  </si>
  <si>
    <t>536</t>
  </si>
  <si>
    <t>93</t>
  </si>
  <si>
    <t>0.5761455525606469</t>
  </si>
  <si>
    <t>0.3611859838274933</t>
  </si>
  <si>
    <t>0.06266846361185982</t>
  </si>
  <si>
    <t>-0.5134770889487871</t>
  </si>
  <si>
    <t>41</t>
  </si>
  <si>
    <t>b'\xf0\x9f\x91\x8f'</t>
  </si>
  <si>
    <t>👏</t>
  </si>
  <si>
    <t xml:space="preserve"> Clapping Hands </t>
  </si>
  <si>
    <t>1377</t>
  </si>
  <si>
    <t>174</t>
  </si>
  <si>
    <t>227</t>
  </si>
  <si>
    <t>976</t>
  </si>
  <si>
    <t>0.12636165577342048</t>
  </si>
  <si>
    <t>0.16485112563543936</t>
  </si>
  <si>
    <t>0.7087872185911401</t>
  </si>
  <si>
    <t>0.5824255628177196</t>
  </si>
  <si>
    <t>42</t>
  </si>
  <si>
    <t>b'\xf0\x9f\x92\x98'</t>
  </si>
  <si>
    <t>💘</t>
  </si>
  <si>
    <t xml:space="preserve"> Heart With Arrow </t>
  </si>
  <si>
    <t>1363</t>
  </si>
  <si>
    <t>87</t>
  </si>
  <si>
    <t>802</t>
  </si>
  <si>
    <t>0.3477622890682319</t>
  </si>
  <si>
    <t>0.06382978723404255</t>
  </si>
  <si>
    <t>0.5884079236977257</t>
  </si>
  <si>
    <t>0.2406456346294938</t>
  </si>
  <si>
    <t>43</t>
  </si>
  <si>
    <t>b'\xf0\x9f\x92\x96'</t>
  </si>
  <si>
    <t>💖</t>
  </si>
  <si>
    <t xml:space="preserve"> Sparkling Heart </t>
  </si>
  <si>
    <t>1291</t>
  </si>
  <si>
    <t>65</t>
  </si>
  <si>
    <t>47</t>
  </si>
  <si>
    <t>0.050348567002323784</t>
  </si>
  <si>
    <t>0.03640588690937258</t>
  </si>
  <si>
    <t>0.9132455460883036</t>
  </si>
  <si>
    <t>0.8628969790859798</t>
  </si>
  <si>
    <t>44</t>
  </si>
  <si>
    <t>b'\xf0\x9f\x94\xa5'</t>
  </si>
  <si>
    <t>🔥</t>
  </si>
  <si>
    <t xml:space="preserve"> Fire </t>
  </si>
  <si>
    <t>1281</t>
  </si>
  <si>
    <t>347</t>
  </si>
  <si>
    <t>407</t>
  </si>
  <si>
    <t>527</t>
  </si>
  <si>
    <t>0.27088212334113976</t>
  </si>
  <si>
    <t>0.3177205308352849</t>
  </si>
  <si>
    <t>0.41139734582357534</t>
  </si>
  <si>
    <t>0.1405152224824356</t>
  </si>
  <si>
    <t>45</t>
  </si>
  <si>
    <t>b'\xf0\x9f\x8c\x9a'</t>
  </si>
  <si>
    <t>🌚</t>
  </si>
  <si>
    <t xml:space="preserve"> New Moon Face </t>
  </si>
  <si>
    <t>1261</t>
  </si>
  <si>
    <t>471</t>
  </si>
  <si>
    <t>211</t>
  </si>
  <si>
    <t>579</t>
  </si>
  <si>
    <t>0.37351308485329104</t>
  </si>
  <si>
    <t>0.16732751784298175</t>
  </si>
  <si>
    <t>0.4591593973037272</t>
  </si>
  <si>
    <t>0.08564631245043614</t>
  </si>
  <si>
    <t>46</t>
  </si>
  <si>
    <t>b'\xf0\x9f\x87\xb8\xf0\x9f\x87\xa6'</t>
  </si>
  <si>
    <t>🇸🇦</t>
  </si>
  <si>
    <t xml:space="preserve"> Saudi Arabia </t>
  </si>
  <si>
    <t>Flag</t>
  </si>
  <si>
    <t>1225</t>
  </si>
  <si>
    <t>116</t>
  </si>
  <si>
    <t>970</t>
  </si>
  <si>
    <t>0.11346938775510206</t>
  </si>
  <si>
    <t>0.0946938775510204</t>
  </si>
  <si>
    <t>0.7918367346938775</t>
  </si>
  <si>
    <t>0.6783673469387754</t>
  </si>
  <si>
    <t>b'\xf0\x9f\x8c\xba'</t>
  </si>
  <si>
    <t>🌺</t>
  </si>
  <si>
    <t xml:space="preserve"> Hibiscus </t>
  </si>
  <si>
    <t>1214</t>
  </si>
  <si>
    <t>103</t>
  </si>
  <si>
    <t>182</t>
  </si>
  <si>
    <t>929</t>
  </si>
  <si>
    <t>0.08484349258649095</t>
  </si>
  <si>
    <t>0.14991762767710048</t>
  </si>
  <si>
    <t>0.7652388797364086</t>
  </si>
  <si>
    <t>0.6803953871499177</t>
  </si>
  <si>
    <t>b'\xf0\x9f\x8d\x83'</t>
  </si>
  <si>
    <t>🍃</t>
  </si>
  <si>
    <t xml:space="preserve"> Leaf Fluttering In Wind </t>
  </si>
  <si>
    <t>123</t>
  </si>
  <si>
    <t>329</t>
  </si>
  <si>
    <t>727</t>
  </si>
  <si>
    <t>0.10432569974554708</t>
  </si>
  <si>
    <t>0.27905004240882103</t>
  </si>
  <si>
    <t>0.6166242578456319</t>
  </si>
  <si>
    <t>0.5122985581000848</t>
  </si>
  <si>
    <t>49</t>
  </si>
  <si>
    <t>b'\xf0\x9f\x98\x8b'</t>
  </si>
  <si>
    <t>😋</t>
  </si>
  <si>
    <t xml:space="preserve"> Face Savoring Food </t>
  </si>
  <si>
    <t>1121</t>
  </si>
  <si>
    <t>702</t>
  </si>
  <si>
    <t>207</t>
  </si>
  <si>
    <t>212</t>
  </si>
  <si>
    <t>0.6262265834076717</t>
  </si>
  <si>
    <t>0.18465655664585195</t>
  </si>
  <si>
    <t>0.1891168599464764</t>
  </si>
  <si>
    <t>-0.4371097234611953</t>
  </si>
  <si>
    <t>50</t>
  </si>
  <si>
    <t>b'\xf0\x9f\x98\x9e'</t>
  </si>
  <si>
    <t>😞</t>
  </si>
  <si>
    <t xml:space="preserve"> Disappointed Face </t>
  </si>
  <si>
    <t>1099</t>
  </si>
  <si>
    <t>989</t>
  </si>
  <si>
    <t>56</t>
  </si>
  <si>
    <t>54</t>
  </si>
  <si>
    <t>0.8999090081892629</t>
  </si>
  <si>
    <t>0.050955414012738856</t>
  </si>
  <si>
    <t>0.04913557779799818</t>
  </si>
  <si>
    <t>-0.8507734303912649</t>
  </si>
  <si>
    <t>51</t>
  </si>
  <si>
    <t>b'\xf0\x9f\x98\xa4'</t>
  </si>
  <si>
    <t>😤</t>
  </si>
  <si>
    <t xml:space="preserve"> Face With Steam From Nose </t>
  </si>
  <si>
    <t>1059</t>
  </si>
  <si>
    <t>519</t>
  </si>
  <si>
    <t>166</t>
  </si>
  <si>
    <t>0.4900849858356941</t>
  </si>
  <si>
    <t>0.35316336166194523</t>
  </si>
  <si>
    <t>0.15675165250236073</t>
  </si>
  <si>
    <t>-0.3333333333333333</t>
  </si>
  <si>
    <t>52</t>
  </si>
  <si>
    <t>b'\xf0\x9f\x96\xa4'</t>
  </si>
  <si>
    <t>🖤</t>
  </si>
  <si>
    <t xml:space="preserve"> Black Heart </t>
  </si>
  <si>
    <t>568</t>
  </si>
  <si>
    <t>142</t>
  </si>
  <si>
    <t>0.5373699148533586</t>
  </si>
  <si>
    <t>0.13434247871333965</t>
  </si>
  <si>
    <t>0.3282876064333018</t>
  </si>
  <si>
    <t>-0.2090823084200568</t>
  </si>
  <si>
    <t>53</t>
  </si>
  <si>
    <t>b'\xf0\x9f\x94\xb4'</t>
  </si>
  <si>
    <t>🔴</t>
  </si>
  <si>
    <t xml:space="preserve"> Red Circle </t>
  </si>
  <si>
    <t>Symbol</t>
  </si>
  <si>
    <t>1042</t>
  </si>
  <si>
    <t>432</t>
  </si>
  <si>
    <t>484</t>
  </si>
  <si>
    <t>126</t>
  </si>
  <si>
    <t>0.4145873320537428</t>
  </si>
  <si>
    <t>0.4644913627639156</t>
  </si>
  <si>
    <t>0.12092130518234165</t>
  </si>
  <si>
    <t>-0.2936660268714012</t>
  </si>
  <si>
    <t>b'\xf0\x9f\x92\x97'</t>
  </si>
  <si>
    <t>💗</t>
  </si>
  <si>
    <t xml:space="preserve"> Growing Heart </t>
  </si>
  <si>
    <t>1036</t>
  </si>
  <si>
    <t>298</t>
  </si>
  <si>
    <t>128</t>
  </si>
  <si>
    <t>610</t>
  </si>
  <si>
    <t>0.2876447876447876</t>
  </si>
  <si>
    <t>0.12355212355212356</t>
  </si>
  <si>
    <t>0.5888030888030888</t>
  </si>
  <si>
    <t>0.3011583011583012</t>
  </si>
  <si>
    <t>55</t>
  </si>
  <si>
    <t>b'\xf0\x9f\x98\x8c'</t>
  </si>
  <si>
    <t>😌</t>
  </si>
  <si>
    <t xml:space="preserve"> Relieved Face </t>
  </si>
  <si>
    <t>149</t>
  </si>
  <si>
    <t>106</t>
  </si>
  <si>
    <t>0.145224171539961</t>
  </si>
  <si>
    <t>0.1033138401559454</t>
  </si>
  <si>
    <t>0.7514619883040936</t>
  </si>
  <si>
    <t>0.6062378167641326</t>
  </si>
  <si>
    <t>b'\xf0\x9f\x9a\xb6'</t>
  </si>
  <si>
    <t>🚶</t>
  </si>
  <si>
    <t xml:space="preserve"> Person Walking </t>
  </si>
  <si>
    <t>1017</t>
  </si>
  <si>
    <t>609</t>
  </si>
  <si>
    <t>161</t>
  </si>
  <si>
    <t>247</t>
  </si>
  <si>
    <t>0.5988200589970502</t>
  </si>
  <si>
    <t>0.1583087512291052</t>
  </si>
  <si>
    <t>0.24287118977384464</t>
  </si>
  <si>
    <t>-0.3559488692232055</t>
  </si>
  <si>
    <t>57</t>
  </si>
  <si>
    <t>b'\xf0\x9f\x92\x90'</t>
  </si>
  <si>
    <t>💐</t>
  </si>
  <si>
    <t xml:space="preserve"> Bouquet </t>
  </si>
  <si>
    <t>997</t>
  </si>
  <si>
    <t>832</t>
  </si>
  <si>
    <t>0.023069207622868602</t>
  </si>
  <si>
    <t>0.1424272818455366</t>
  </si>
  <si>
    <t>0.8345035105315948</t>
  </si>
  <si>
    <t>0.8114343029087262</t>
  </si>
  <si>
    <t>58</t>
  </si>
  <si>
    <t>b'\xf0\x9f\x92\x9e'</t>
  </si>
  <si>
    <t>💞</t>
  </si>
  <si>
    <t xml:space="preserve"> Revolving Hearts </t>
  </si>
  <si>
    <t>974</t>
  </si>
  <si>
    <t>240</t>
  </si>
  <si>
    <t>85</t>
  </si>
  <si>
    <t>649</t>
  </si>
  <si>
    <t>0.2464065708418891</t>
  </si>
  <si>
    <t>0.08726899383983573</t>
  </si>
  <si>
    <t>0.6663244353182751</t>
  </si>
  <si>
    <t>0.419917864476386</t>
  </si>
  <si>
    <t>59</t>
  </si>
  <si>
    <t>b'\xf0\x9f\x98\xb4'</t>
  </si>
  <si>
    <t>😴</t>
  </si>
  <si>
    <t xml:space="preserve"> Sleeping Face </t>
  </si>
  <si>
    <t>910</t>
  </si>
  <si>
    <t>629</t>
  </si>
  <si>
    <t>146</t>
  </si>
  <si>
    <t>135</t>
  </si>
  <si>
    <t>0.6912087912087912</t>
  </si>
  <si>
    <t>0.16043956043956045</t>
  </si>
  <si>
    <t>0.14835164835164835</t>
  </si>
  <si>
    <t>-0.5428571428571428</t>
  </si>
  <si>
    <t>60</t>
  </si>
  <si>
    <t>b'\xf0\x9f\xa5\x80'</t>
  </si>
  <si>
    <t>🥀</t>
  </si>
  <si>
    <t xml:space="preserve"> Wilted Flower </t>
  </si>
  <si>
    <t>874</t>
  </si>
  <si>
    <t>92</t>
  </si>
  <si>
    <t>435</t>
  </si>
  <si>
    <t>0.3968072976054732</t>
  </si>
  <si>
    <t>0.10604332953249716</t>
  </si>
  <si>
    <t>0.4971493728620297</t>
  </si>
  <si>
    <t>0.10034207525655643</t>
  </si>
  <si>
    <t>61</t>
  </si>
  <si>
    <t>b'\xf0\x9f\x98\xac'</t>
  </si>
  <si>
    <t>😬</t>
  </si>
  <si>
    <t xml:space="preserve"> Grimacing Face </t>
  </si>
  <si>
    <t>842</t>
  </si>
  <si>
    <t>78</t>
  </si>
  <si>
    <t>0.8473372781065088</t>
  </si>
  <si>
    <t>0.09349112426035502</t>
  </si>
  <si>
    <t>0.059171597633136085</t>
  </si>
  <si>
    <t>-0.7881656804733728</t>
  </si>
  <si>
    <t>62</t>
  </si>
  <si>
    <t>b'\xe2\x9c\x8c'</t>
  </si>
  <si>
    <t>✌</t>
  </si>
  <si>
    <t xml:space="preserve"> Victory Hand </t>
  </si>
  <si>
    <t>816</t>
  </si>
  <si>
    <t>164</t>
  </si>
  <si>
    <t>114</t>
  </si>
  <si>
    <t>538</t>
  </si>
  <si>
    <t>0.20146520146520147</t>
  </si>
  <si>
    <t>0.14041514041514042</t>
  </si>
  <si>
    <t>0.6581196581196581</t>
  </si>
  <si>
    <t>0.4566544566544566</t>
  </si>
  <si>
    <t>63</t>
  </si>
  <si>
    <t>b'\xf0\x9f\x98\xb3'</t>
  </si>
  <si>
    <t>😳</t>
  </si>
  <si>
    <t xml:space="preserve"> Flushed Face </t>
  </si>
  <si>
    <t>813</t>
  </si>
  <si>
    <t>600</t>
  </si>
  <si>
    <t>120</t>
  </si>
  <si>
    <t>0.7365196078431373</t>
  </si>
  <si>
    <t>0.1482843137254902</t>
  </si>
  <si>
    <t>0.11519607843137256</t>
  </si>
  <si>
    <t>-0.6213235294117647</t>
  </si>
  <si>
    <t>64</t>
  </si>
  <si>
    <t>b'\xf0\x9f\x98\x95'</t>
  </si>
  <si>
    <t>😕</t>
  </si>
  <si>
    <t xml:space="preserve"> Confused Face </t>
  </si>
  <si>
    <t>805</t>
  </si>
  <si>
    <t>719</t>
  </si>
  <si>
    <t>0.8910891089108911</t>
  </si>
  <si>
    <t>0.0655940594059406</t>
  </si>
  <si>
    <t>0.04331683168316832</t>
  </si>
  <si>
    <t>-0.8477722772277227</t>
  </si>
  <si>
    <t>b'\xf0\x9f\x99\x88'</t>
  </si>
  <si>
    <t>🙈</t>
  </si>
  <si>
    <t xml:space="preserve"> See-No-Evil Monkey </t>
  </si>
  <si>
    <t>770</t>
  </si>
  <si>
    <t>427</t>
  </si>
  <si>
    <t>156</t>
  </si>
  <si>
    <t>187</t>
  </si>
  <si>
    <t>0.5536869340232861</t>
  </si>
  <si>
    <t>0.20310478654592495</t>
  </si>
  <si>
    <t>0.24320827943078915</t>
  </si>
  <si>
    <t>-0.3104786545924968</t>
  </si>
  <si>
    <t>66</t>
  </si>
  <si>
    <t>b'\xf0\x9f\x8c\xbf'</t>
  </si>
  <si>
    <t>🌿</t>
  </si>
  <si>
    <t xml:space="preserve"> Herb </t>
  </si>
  <si>
    <t>70</t>
  </si>
  <si>
    <t>508</t>
  </si>
  <si>
    <t>0.09726027397260274</t>
  </si>
  <si>
    <t>0.2054794520547945</t>
  </si>
  <si>
    <t>0.6972602739726027</t>
  </si>
  <si>
    <t>0.6</t>
  </si>
  <si>
    <t>67</t>
  </si>
  <si>
    <t>b'\xf0\x9f\xa4\xb7'</t>
  </si>
  <si>
    <t>🤷</t>
  </si>
  <si>
    <t xml:space="preserve"> Person Shrugging </t>
  </si>
  <si>
    <t>712</t>
  </si>
  <si>
    <t>255</t>
  </si>
  <si>
    <t>193</t>
  </si>
  <si>
    <t>264</t>
  </si>
  <si>
    <t>0.35804195804195804</t>
  </si>
  <si>
    <t>0.2713286713286713</t>
  </si>
  <si>
    <t>0.3706293706293706</t>
  </si>
  <si>
    <t>0.012587412587412585</t>
  </si>
  <si>
    <t>68</t>
  </si>
  <si>
    <t>b'\xf0\x9f\x99\x81'</t>
  </si>
  <si>
    <t>🙁</t>
  </si>
  <si>
    <t xml:space="preserve"> Slightly Frowning Face </t>
  </si>
  <si>
    <t>707</t>
  </si>
  <si>
    <t>613</t>
  </si>
  <si>
    <t>0.8647887323943662</t>
  </si>
  <si>
    <t>0.07042253521126761</t>
  </si>
  <si>
    <t>0.0647887323943662</t>
  </si>
  <si>
    <t>-0.7999999999999999</t>
  </si>
  <si>
    <t>69</t>
  </si>
  <si>
    <t>b'\xf0\x9f\x98\xa5'</t>
  </si>
  <si>
    <t>😥</t>
  </si>
  <si>
    <t xml:space="preserve"> Sad But Relieved Face </t>
  </si>
  <si>
    <t>705</t>
  </si>
  <si>
    <t>590</t>
  </si>
  <si>
    <t>83</t>
  </si>
  <si>
    <t>0.8347457627118644</t>
  </si>
  <si>
    <t>0.11864406779661014</t>
  </si>
  <si>
    <t>0.046610169491525424</t>
  </si>
  <si>
    <t>-0.7881355932203391</t>
  </si>
  <si>
    <t>b'\xf0\x9f\x92\x93'</t>
  </si>
  <si>
    <t>💓</t>
  </si>
  <si>
    <t xml:space="preserve"> Beating Heart </t>
  </si>
  <si>
    <t>674</t>
  </si>
  <si>
    <t>575</t>
  </si>
  <si>
    <t>0.0930576070901034</t>
  </si>
  <si>
    <t>0.05612998522895125</t>
  </si>
  <si>
    <t>0.8508124076809453</t>
  </si>
  <si>
    <t>0.7577548005908421</t>
  </si>
  <si>
    <t>71</t>
  </si>
  <si>
    <t>b'\xf0\x9f\x87\xa6'</t>
  </si>
  <si>
    <t>🇦</t>
  </si>
  <si>
    <t xml:space="preserve"> Regional Indicator Symbol Letter A </t>
  </si>
  <si>
    <t>175</t>
  </si>
  <si>
    <t>437</t>
  </si>
  <si>
    <t>0.07669172932330827</t>
  </si>
  <si>
    <t>0.2646616541353383</t>
  </si>
  <si>
    <t>0.6586466165413534</t>
  </si>
  <si>
    <t>0.5819548872180451</t>
  </si>
  <si>
    <t>72</t>
  </si>
  <si>
    <t>b'\xf0\x9f\x8c\xbc'</t>
  </si>
  <si>
    <t>🌼</t>
  </si>
  <si>
    <t xml:space="preserve"> Blossom </t>
  </si>
  <si>
    <t>660</t>
  </si>
  <si>
    <t>86</t>
  </si>
  <si>
    <t>550</t>
  </si>
  <si>
    <t>0.03770739064856712</t>
  </si>
  <si>
    <t>0.13122171945701358</t>
  </si>
  <si>
    <t>0.8310708898944194</t>
  </si>
  <si>
    <t>0.7933634992458523</t>
  </si>
  <si>
    <t>73</t>
  </si>
  <si>
    <t>b'\xf0\x9f\x92\x83'</t>
  </si>
  <si>
    <t>💃</t>
  </si>
  <si>
    <t xml:space="preserve"> Woman Dancing </t>
  </si>
  <si>
    <t>659</t>
  </si>
  <si>
    <t>88</t>
  </si>
  <si>
    <t>0.21148036253776434</t>
  </si>
  <si>
    <t>0.13444108761329304</t>
  </si>
  <si>
    <t>0.6540785498489426</t>
  </si>
  <si>
    <t>0.4425981873111783</t>
  </si>
  <si>
    <t>74</t>
  </si>
  <si>
    <t>b'\xf0\x9f\xa4\xa6'</t>
  </si>
  <si>
    <t>🤦</t>
  </si>
  <si>
    <t xml:space="preserve"> Person Facepalming </t>
  </si>
  <si>
    <t>655</t>
  </si>
  <si>
    <t>399</t>
  </si>
  <si>
    <t>101</t>
  </si>
  <si>
    <t>155</t>
  </si>
  <si>
    <t>0.6079027355623101</t>
  </si>
  <si>
    <t>0.15501519756838905</t>
  </si>
  <si>
    <t>0.2370820668693009</t>
  </si>
  <si>
    <t>-0.3708206686930091</t>
  </si>
  <si>
    <t>75</t>
  </si>
  <si>
    <t>b'\xf0\x9f\x98\x9c'</t>
  </si>
  <si>
    <t>😜</t>
  </si>
  <si>
    <t xml:space="preserve"> Winking Face With Tongue </t>
  </si>
  <si>
    <t>651</t>
  </si>
  <si>
    <t>356</t>
  </si>
  <si>
    <t>179</t>
  </si>
  <si>
    <t>0.5458715596330275</t>
  </si>
  <si>
    <t>0.17889908256880735</t>
  </si>
  <si>
    <t>0.27522935779816515</t>
  </si>
  <si>
    <t>-0.2706422018348623</t>
  </si>
  <si>
    <t>76</t>
  </si>
  <si>
    <t>b'\xf0\x9f\x8c\x9f'</t>
  </si>
  <si>
    <t>🌟</t>
  </si>
  <si>
    <t xml:space="preserve"> Glowing Star </t>
  </si>
  <si>
    <t>607</t>
  </si>
  <si>
    <t>483</t>
  </si>
  <si>
    <t>0.06557377049180327</t>
  </si>
  <si>
    <t>0.14098360655737704</t>
  </si>
  <si>
    <t>0.7934426229508197</t>
  </si>
  <si>
    <t>0.7278688524590164</t>
  </si>
  <si>
    <t>77</t>
  </si>
  <si>
    <t>b'\xf0\x9f\x95\x8a'</t>
  </si>
  <si>
    <t>🕊</t>
  </si>
  <si>
    <t xml:space="preserve"> Dove </t>
  </si>
  <si>
    <t>601</t>
  </si>
  <si>
    <t>436</t>
  </si>
  <si>
    <t>0.15894039735099338</t>
  </si>
  <si>
    <t>0.1175496688741722</t>
  </si>
  <si>
    <t>0.7235099337748344</t>
  </si>
  <si>
    <t>0.564569536423841</t>
  </si>
  <si>
    <t>b'\xf0\x9f\x87\xb8'</t>
  </si>
  <si>
    <t>🇸</t>
  </si>
  <si>
    <t xml:space="preserve"> Regional Indicator Symbol Letter S </t>
  </si>
  <si>
    <t>157</t>
  </si>
  <si>
    <t>376</t>
  </si>
  <si>
    <t>0.08075601374570447</t>
  </si>
  <si>
    <t>0.2714776632302405</t>
  </si>
  <si>
    <t>0.647766323024055</t>
  </si>
  <si>
    <t>0.5670103092783505</t>
  </si>
  <si>
    <t>79</t>
  </si>
  <si>
    <t>b'\xe2\x9c\x85'</t>
  </si>
  <si>
    <t>✅</t>
  </si>
  <si>
    <t xml:space="preserve"> White Heavy Check Mark </t>
  </si>
  <si>
    <t>574</t>
  </si>
  <si>
    <t>360</t>
  </si>
  <si>
    <t>143</t>
  </si>
  <si>
    <t>0.12478336221837087</t>
  </si>
  <si>
    <t>0.6256499133448874</t>
  </si>
  <si>
    <t>0.24956672443674174</t>
  </si>
  <si>
    <t>80</t>
  </si>
  <si>
    <t>b'\xf0\x9f\x98\xaa'</t>
  </si>
  <si>
    <t>😪</t>
  </si>
  <si>
    <t xml:space="preserve"> Sleepy Face </t>
  </si>
  <si>
    <t>569</t>
  </si>
  <si>
    <t>533</t>
  </si>
  <si>
    <t>0.9335664335664337</t>
  </si>
  <si>
    <t>0.024475524475524483</t>
  </si>
  <si>
    <t>0.04195804195804196</t>
  </si>
  <si>
    <t>-0.8916083916083916</t>
  </si>
  <si>
    <t>81</t>
  </si>
  <si>
    <t>b'\xe2\x9a\xbd'</t>
  </si>
  <si>
    <t>⚽</t>
  </si>
  <si>
    <t xml:space="preserve"> Soccer Ball </t>
  </si>
  <si>
    <t>391</t>
  </si>
  <si>
    <t>0.05309734513274336</t>
  </si>
  <si>
    <t>0.6938053097345133</t>
  </si>
  <si>
    <t>0.2530973451327433</t>
  </si>
  <si>
    <t>0.2</t>
  </si>
  <si>
    <t>82</t>
  </si>
  <si>
    <t>b'\xf0\x9f\x98\xa3'</t>
  </si>
  <si>
    <t>😣</t>
  </si>
  <si>
    <t xml:space="preserve"> Persevering Face </t>
  </si>
  <si>
    <t>475</t>
  </si>
  <si>
    <t>0.8454706927175843</t>
  </si>
  <si>
    <t>0.07992895204262877</t>
  </si>
  <si>
    <t>0.07460035523978685</t>
  </si>
  <si>
    <t>-0.7708703374777975</t>
  </si>
  <si>
    <t>b'\xf0\x9f\x8e\xb6'</t>
  </si>
  <si>
    <t>🎶</t>
  </si>
  <si>
    <t xml:space="preserve"> Musical Notes </t>
  </si>
  <si>
    <t>549</t>
  </si>
  <si>
    <t>90</t>
  </si>
  <si>
    <t>358</t>
  </si>
  <si>
    <t>0.18478260869565216</t>
  </si>
  <si>
    <t>0.16485507246376813</t>
  </si>
  <si>
    <t>0.6503623188405797</t>
  </si>
  <si>
    <t>0.4655797101449276</t>
  </si>
  <si>
    <t>84</t>
  </si>
  <si>
    <t>b'\xf0\x9f\x8f\x83'</t>
  </si>
  <si>
    <t>🏃</t>
  </si>
  <si>
    <t xml:space="preserve"> Person Running </t>
  </si>
  <si>
    <t>200</t>
  </si>
  <si>
    <t>150</t>
  </si>
  <si>
    <t>199</t>
  </si>
  <si>
    <t>0.3641304347826087</t>
  </si>
  <si>
    <t>0.27355072463768115</t>
  </si>
  <si>
    <t>0.3623188405797101</t>
  </si>
  <si>
    <t>-0.0018115942028985586</t>
  </si>
  <si>
    <t>b'\xe2\x98\xb9'</t>
  </si>
  <si>
    <t>☹</t>
  </si>
  <si>
    <t xml:space="preserve"> Frowning Face </t>
  </si>
  <si>
    <t>540</t>
  </si>
  <si>
    <t>0.8434622467771639</t>
  </si>
  <si>
    <t>0.06445672191528545</t>
  </si>
  <si>
    <t>0.09208103130755063</t>
  </si>
  <si>
    <t>-0.7513812154696132</t>
  </si>
  <si>
    <t>b'\xf0\x9f\x98\x9a'</t>
  </si>
  <si>
    <t>😚</t>
  </si>
  <si>
    <t xml:space="preserve"> Kissing Face With Closed Eyes </t>
  </si>
  <si>
    <t>131</t>
  </si>
  <si>
    <t>194</t>
  </si>
  <si>
    <t>208</t>
  </si>
  <si>
    <t>0.2462686567164179</t>
  </si>
  <si>
    <t>0.36380597014925375</t>
  </si>
  <si>
    <t>0.3899253731343284</t>
  </si>
  <si>
    <t>0.14365671641791045</t>
  </si>
  <si>
    <t>b'\xf0\x9f\x99\x84'</t>
  </si>
  <si>
    <t>🙄</t>
  </si>
  <si>
    <t xml:space="preserve"> Face With Rolling Eyes </t>
  </si>
  <si>
    <t>531</t>
  </si>
  <si>
    <t>245</t>
  </si>
  <si>
    <t>0.4606741573033708</t>
  </si>
  <si>
    <t>0.16104868913857678</t>
  </si>
  <si>
    <t>0.3782771535580524</t>
  </si>
  <si>
    <t>-0.08239700374531839</t>
  </si>
  <si>
    <t>b'\xf0\x9f\x91\x8e'</t>
  </si>
  <si>
    <t>👎</t>
  </si>
  <si>
    <t xml:space="preserve"> Thumbs Down </t>
  </si>
  <si>
    <t>0.7737642585551331</t>
  </si>
  <si>
    <t>0.13498098859315588</t>
  </si>
  <si>
    <t>0.09125475285171104</t>
  </si>
  <si>
    <t>-0.6825095057034221</t>
  </si>
  <si>
    <t>89</t>
  </si>
  <si>
    <t>b'\xf0\x9f\x98\x84'</t>
  </si>
  <si>
    <t>😄</t>
  </si>
  <si>
    <t xml:space="preserve"> Grinning Face With Smiling Eyes </t>
  </si>
  <si>
    <t>345</t>
  </si>
  <si>
    <t>0.1540041067761807</t>
  </si>
  <si>
    <t>0.13552361396303902</t>
  </si>
  <si>
    <t>0.7104722792607803</t>
  </si>
  <si>
    <t>0.5564681724845996</t>
  </si>
  <si>
    <t>b'\xf0\x9f\x91\x88'</t>
  </si>
  <si>
    <t>👈</t>
  </si>
  <si>
    <t xml:space="preserve"> Backhand Index Pointing Left </t>
  </si>
  <si>
    <t>466</t>
  </si>
  <si>
    <t>132</t>
  </si>
  <si>
    <t>234</t>
  </si>
  <si>
    <t>100</t>
  </si>
  <si>
    <t>0.2835820895522388</t>
  </si>
  <si>
    <t>0.5010660980810234</t>
  </si>
  <si>
    <t>0.21535181236673773</t>
  </si>
  <si>
    <t>-0.06823027718550106</t>
  </si>
  <si>
    <t>91</t>
  </si>
  <si>
    <t>b'\xf0\x9f\x93\x8c'</t>
  </si>
  <si>
    <t>📌</t>
  </si>
  <si>
    <t xml:space="preserve"> Pushpin </t>
  </si>
  <si>
    <t>464</t>
  </si>
  <si>
    <t>309</t>
  </si>
  <si>
    <t>0.2012847965738758</t>
  </si>
  <si>
    <t>0.6638115631691649</t>
  </si>
  <si>
    <t>0.1349036402569593</t>
  </si>
  <si>
    <t>-0.06638115631691649</t>
  </si>
  <si>
    <t>b'\xf0\x9f\x98\xb1'</t>
  </si>
  <si>
    <t>😱</t>
  </si>
  <si>
    <t xml:space="preserve"> Face Screaming In Fear </t>
  </si>
  <si>
    <t>461</t>
  </si>
  <si>
    <t>99</t>
  </si>
  <si>
    <t>0.6767241379310345</t>
  </si>
  <si>
    <t>0.21551724137931036</t>
  </si>
  <si>
    <t>0.10775862068965517</t>
  </si>
  <si>
    <t>-0.5689655172413793</t>
  </si>
  <si>
    <t>b'\xf0\x9f\xa4\x97'</t>
  </si>
  <si>
    <t>🤗</t>
  </si>
  <si>
    <t xml:space="preserve"> Hugging Face </t>
  </si>
  <si>
    <t>459</t>
  </si>
  <si>
    <t>318</t>
  </si>
  <si>
    <t>0.22510822510822512</t>
  </si>
  <si>
    <t>0.08441558441558443</t>
  </si>
  <si>
    <t>0.6904761904761905</t>
  </si>
  <si>
    <t>0.4653679653679653</t>
  </si>
  <si>
    <t>94</t>
  </si>
  <si>
    <t>b'\xf0\x9f\x91\x91'</t>
  </si>
  <si>
    <t>👑</t>
  </si>
  <si>
    <t xml:space="preserve"> Crown </t>
  </si>
  <si>
    <t>433</t>
  </si>
  <si>
    <t>351</t>
  </si>
  <si>
    <t>0.08256880733944955</t>
  </si>
  <si>
    <t>0.11009174311926606</t>
  </si>
  <si>
    <t>0.8073394495412844</t>
  </si>
  <si>
    <t>0.724770642201835</t>
  </si>
  <si>
    <t>b'\xf0\x9f\xa4\x90'</t>
  </si>
  <si>
    <t>🤐</t>
  </si>
  <si>
    <t xml:space="preserve"> Zipper-Mouth Face </t>
  </si>
  <si>
    <t>422</t>
  </si>
  <si>
    <t>0.7011764705882353</t>
  </si>
  <si>
    <t>0.2376470588235294</t>
  </si>
  <si>
    <t>0.0611764705882353</t>
  </si>
  <si>
    <t>-0.64</t>
  </si>
  <si>
    <t>96</t>
  </si>
  <si>
    <t>b'\xf0\x9f\x98\xb9'</t>
  </si>
  <si>
    <t>😹</t>
  </si>
  <si>
    <t xml:space="preserve"> Cat Face With Tears Of Joy </t>
  </si>
  <si>
    <t>416</t>
  </si>
  <si>
    <t>151</t>
  </si>
  <si>
    <t>0.3627684964200477</t>
  </si>
  <si>
    <t>0.13842482100238662</t>
  </si>
  <si>
    <t>0.4988066825775656</t>
  </si>
  <si>
    <t>0.1360381861575179</t>
  </si>
  <si>
    <t>97</t>
  </si>
  <si>
    <t>b'\xf0\x9f\x91\x8a'</t>
  </si>
  <si>
    <t>👊</t>
  </si>
  <si>
    <t xml:space="preserve"> Oncoming Fist </t>
  </si>
  <si>
    <t>415</t>
  </si>
  <si>
    <t>133</t>
  </si>
  <si>
    <t>0.4784688995215311</t>
  </si>
  <si>
    <t>0.20095693779904306</t>
  </si>
  <si>
    <t>0.32057416267942584</t>
  </si>
  <si>
    <t>-0.15789473684210525</t>
  </si>
  <si>
    <t>98</t>
  </si>
  <si>
    <t>b'\xf0\x9f\x98\xa0'</t>
  </si>
  <si>
    <t>😠</t>
  </si>
  <si>
    <t xml:space="preserve"> Angry Face </t>
  </si>
  <si>
    <t>413</t>
  </si>
  <si>
    <t>366</t>
  </si>
  <si>
    <t>0.8822115384615384</t>
  </si>
  <si>
    <t>0.0889423076923077</t>
  </si>
  <si>
    <t>0.02884615384615385</t>
  </si>
  <si>
    <t>-0.8533653846153846</t>
  </si>
  <si>
    <t>b'\xf0\x9f\x98\x93'</t>
  </si>
  <si>
    <t>😓</t>
  </si>
  <si>
    <t xml:space="preserve"> Downcast Face With Sweat </t>
  </si>
  <si>
    <t>411</t>
  </si>
  <si>
    <t>326</t>
  </si>
  <si>
    <t>0.7898550724637681</t>
  </si>
  <si>
    <t>0.0966183574879227</t>
  </si>
  <si>
    <t>0.11352657004830917</t>
  </si>
  <si>
    <t>-0.6763285024154588</t>
  </si>
  <si>
    <t>b'\xf0\x9f\x98\xb7'</t>
  </si>
  <si>
    <t>😷</t>
  </si>
  <si>
    <t xml:space="preserve"> Face With Medical Mask </t>
  </si>
  <si>
    <t>408</t>
  </si>
  <si>
    <t>0.7274939172749392</t>
  </si>
  <si>
    <t>0.2043795620437956</t>
  </si>
  <si>
    <t>0.0681265206812652</t>
  </si>
  <si>
    <t>-0.6593673965936739</t>
  </si>
  <si>
    <t>b'\xf0\x9f\x8c\xbb'</t>
  </si>
  <si>
    <t>🌻</t>
  </si>
  <si>
    <t xml:space="preserve"> Sunflower </t>
  </si>
  <si>
    <t>105</t>
  </si>
  <si>
    <t>278</t>
  </si>
  <si>
    <t>0.06097560975609756</t>
  </si>
  <si>
    <t>0.2585365853658537</t>
  </si>
  <si>
    <t>0.6804878048780488</t>
  </si>
  <si>
    <t>0.6195121951219513</t>
  </si>
  <si>
    <t>102</t>
  </si>
  <si>
    <t>b'\xf0\x9f\x92\xab'</t>
  </si>
  <si>
    <t>💫</t>
  </si>
  <si>
    <t xml:space="preserve"> Dizzy </t>
  </si>
  <si>
    <t>403</t>
  </si>
  <si>
    <t>112</t>
  </si>
  <si>
    <t>195</t>
  </si>
  <si>
    <t>0.2389162561576355</t>
  </si>
  <si>
    <t>0.2783251231527093</t>
  </si>
  <si>
    <t>0.4827586206896552</t>
  </si>
  <si>
    <t>0.2438423645320197</t>
  </si>
  <si>
    <t>b'\xe2\x9c\x94'</t>
  </si>
  <si>
    <t>✔</t>
  </si>
  <si>
    <t xml:space="preserve"> Heavy Check Mark </t>
  </si>
  <si>
    <t>400</t>
  </si>
  <si>
    <t>111</t>
  </si>
  <si>
    <t>0.196029776674938</t>
  </si>
  <si>
    <t>0.5260545905707196</t>
  </si>
  <si>
    <t>0.27791563275434245</t>
  </si>
  <si>
    <t>0.08188585607940449</t>
  </si>
  <si>
    <t>104</t>
  </si>
  <si>
    <t>b'\xf0\x9f\x98\x83'</t>
  </si>
  <si>
    <t>😃</t>
  </si>
  <si>
    <t xml:space="preserve"> Grinning Face With Big Eyes </t>
  </si>
  <si>
    <t>314</t>
  </si>
  <si>
    <t>0.12935323383084574</t>
  </si>
  <si>
    <t>0.08706467661691543</t>
  </si>
  <si>
    <t>0.7835820895522388</t>
  </si>
  <si>
    <t>0.6542288557213931</t>
  </si>
  <si>
    <t>b'\xf0\x9f\x92\xa5'</t>
  </si>
  <si>
    <t>💥</t>
  </si>
  <si>
    <t xml:space="preserve"> Collision </t>
  </si>
  <si>
    <t>394</t>
  </si>
  <si>
    <t>0.4080604534005038</t>
  </si>
  <si>
    <t>0.3929471032745592</t>
  </si>
  <si>
    <t>0.19899244332493704</t>
  </si>
  <si>
    <t>-0.20906801007556675</t>
  </si>
  <si>
    <t>b'\xf0\x9f\x98\xb0'</t>
  </si>
  <si>
    <t>😰</t>
  </si>
  <si>
    <t xml:space="preserve"> Anxious Face With Sweat </t>
  </si>
  <si>
    <t>387</t>
  </si>
  <si>
    <t>0.6794871794871795</t>
  </si>
  <si>
    <t>0.22564102564102564</t>
  </si>
  <si>
    <t>0.09487179487179488</t>
  </si>
  <si>
    <t>-0.5846153846153846</t>
  </si>
  <si>
    <t>107</t>
  </si>
  <si>
    <t>b'\xf0\x9f\x98\xb6'</t>
  </si>
  <si>
    <t>😶</t>
  </si>
  <si>
    <t xml:space="preserve"> Face Without Mouth </t>
  </si>
  <si>
    <t>384</t>
  </si>
  <si>
    <t>248</t>
  </si>
  <si>
    <t>0.6434108527131783</t>
  </si>
  <si>
    <t>0.18087855297157626</t>
  </si>
  <si>
    <t>0.17571059431524547</t>
  </si>
  <si>
    <t>-0.4677002583979328</t>
  </si>
  <si>
    <t>108</t>
  </si>
  <si>
    <t>b'\xf0\x9f\x98\xab'</t>
  </si>
  <si>
    <t>😫</t>
  </si>
  <si>
    <t xml:space="preserve"> Tired Face </t>
  </si>
  <si>
    <t>379</t>
  </si>
  <si>
    <t>0.6204188481675392</t>
  </si>
  <si>
    <t>0.07853403141361258</t>
  </si>
  <si>
    <t>0.3010471204188482</t>
  </si>
  <si>
    <t>-0.31937172774869105</t>
  </si>
  <si>
    <t>109</t>
  </si>
  <si>
    <t>b'\xf0\x9f\xa4\xa2'</t>
  </si>
  <si>
    <t>🤢</t>
  </si>
  <si>
    <t xml:space="preserve"> Nauseated Face </t>
  </si>
  <si>
    <t>333</t>
  </si>
  <si>
    <t>0.8812664907651715</t>
  </si>
  <si>
    <t>0.0474934036939314</t>
  </si>
  <si>
    <t>0.0712401055408971</t>
  </si>
  <si>
    <t>-0.8100263852242744</t>
  </si>
  <si>
    <t>110</t>
  </si>
  <si>
    <t>b'\xf0\x9f\x87\xaa\xf0\x9f\x87\xac'</t>
  </si>
  <si>
    <t>🇪🇬</t>
  </si>
  <si>
    <t xml:space="preserve"> Egypt </t>
  </si>
  <si>
    <t>372</t>
  </si>
  <si>
    <t>250</t>
  </si>
  <si>
    <t>0.048</t>
  </si>
  <si>
    <t>0.2826666666666667</t>
  </si>
  <si>
    <t>0.6693333333333333</t>
  </si>
  <si>
    <t>0.6213333333333333</t>
  </si>
  <si>
    <t>b'\xf0\x9f\x8f\x86'</t>
  </si>
  <si>
    <t>🏆</t>
  </si>
  <si>
    <t xml:space="preserve"> Trophy </t>
  </si>
  <si>
    <t>369</t>
  </si>
  <si>
    <t>0.03225806451612903</t>
  </si>
  <si>
    <t>0.6532258064516129</t>
  </si>
  <si>
    <t>0.3145161290322581</t>
  </si>
  <si>
    <t>0.28225806451612895</t>
  </si>
  <si>
    <t>b'\xf0\x9f\x99\x83'</t>
  </si>
  <si>
    <t>🙃</t>
  </si>
  <si>
    <t xml:space="preserve"> Upside-Down Face </t>
  </si>
  <si>
    <t>368</t>
  </si>
  <si>
    <t>343</t>
  </si>
  <si>
    <t>0.9272237196765498</t>
  </si>
  <si>
    <t>0.0431266846361186</t>
  </si>
  <si>
    <t>0.029649595687331536</t>
  </si>
  <si>
    <t>-0.8975741239892183</t>
  </si>
  <si>
    <t>113</t>
  </si>
  <si>
    <t>b'\xf0\x9f\x99\x8a'</t>
  </si>
  <si>
    <t>🙊</t>
  </si>
  <si>
    <t xml:space="preserve"> Speak-No-Evil Monkey </t>
  </si>
  <si>
    <t>219</t>
  </si>
  <si>
    <t>0.6285714285714286</t>
  </si>
  <si>
    <t>0.22</t>
  </si>
  <si>
    <t>0.15142857142857144</t>
  </si>
  <si>
    <t>-0.4771428571428571</t>
  </si>
  <si>
    <t>b'\xf0\x9f\x8d\x82'</t>
  </si>
  <si>
    <t>🍂</t>
  </si>
  <si>
    <t xml:space="preserve"> Fallen Leaf </t>
  </si>
  <si>
    <t>344</t>
  </si>
  <si>
    <t>167</t>
  </si>
  <si>
    <t>0.1930835734870317</t>
  </si>
  <si>
    <t>0.3227665706051873</t>
  </si>
  <si>
    <t>0.484149855907781</t>
  </si>
  <si>
    <t>0.2910662824207493</t>
  </si>
  <si>
    <t>115</t>
  </si>
  <si>
    <t>b'\xf0\x9f\x8e\xbc'</t>
  </si>
  <si>
    <t>🎼</t>
  </si>
  <si>
    <t xml:space="preserve"> Musical Score </t>
  </si>
  <si>
    <t>241</t>
  </si>
  <si>
    <t>0.15773809523809526</t>
  </si>
  <si>
    <t>0.12202380952380952</t>
  </si>
  <si>
    <t>0.7202380952380952</t>
  </si>
  <si>
    <t>0.5625</t>
  </si>
  <si>
    <t>b'\xf0\x9f\x98\x97'</t>
  </si>
  <si>
    <t>😗</t>
  </si>
  <si>
    <t xml:space="preserve"> Kissing Face </t>
  </si>
  <si>
    <t>325</t>
  </si>
  <si>
    <t>122</t>
  </si>
  <si>
    <t>0.375</t>
  </si>
  <si>
    <t>0.19207317073170727</t>
  </si>
  <si>
    <t>0.4329268292682927</t>
  </si>
  <si>
    <t>0.05792682926829267</t>
  </si>
  <si>
    <t>117</t>
  </si>
  <si>
    <t>b'\xf0\x9f\x98\x86'</t>
  </si>
  <si>
    <t>😆</t>
  </si>
  <si>
    <t xml:space="preserve"> Grinning Squinting Face </t>
  </si>
  <si>
    <t>311</t>
  </si>
  <si>
    <t>169</t>
  </si>
  <si>
    <t>0.5414012738853503</t>
  </si>
  <si>
    <t>0.1910828025477707</t>
  </si>
  <si>
    <t>0.267515923566879</t>
  </si>
  <si>
    <t>-0.2738853503184713</t>
  </si>
  <si>
    <t>118</t>
  </si>
  <si>
    <t>b'\xf0\x9f\x87\xb2\xf0\x9f\x87\xa6'</t>
  </si>
  <si>
    <t>🇲🇦</t>
  </si>
  <si>
    <t xml:space="preserve"> Morocco </t>
  </si>
  <si>
    <t>303</t>
  </si>
  <si>
    <t>0.013071895424836602</t>
  </si>
  <si>
    <t>0.2875816993464052</t>
  </si>
  <si>
    <t>0.6993464052287581</t>
  </si>
  <si>
    <t>0.6862745098039216</t>
  </si>
  <si>
    <t>119</t>
  </si>
  <si>
    <t>b'\xe2\x9d\x8c'</t>
  </si>
  <si>
    <t>❌</t>
  </si>
  <si>
    <t xml:space="preserve"> Cross Mark </t>
  </si>
  <si>
    <t>300</t>
  </si>
  <si>
    <t>197</t>
  </si>
  <si>
    <t>0.23432343234323436</t>
  </si>
  <si>
    <t>0.6534653465346535</t>
  </si>
  <si>
    <t>0.1122112211221122</t>
  </si>
  <si>
    <t>-0.12211221122112212</t>
  </si>
  <si>
    <t>b'\xf0\x9f\x99\x8c'</t>
  </si>
  <si>
    <t>🙌</t>
  </si>
  <si>
    <t xml:space="preserve"> Raising Hands </t>
  </si>
  <si>
    <t>296</t>
  </si>
  <si>
    <t>0.1806020066889632</t>
  </si>
  <si>
    <t>0.10367892976588627</t>
  </si>
  <si>
    <t>0.7157190635451505</t>
  </si>
  <si>
    <t>0.5351170568561873</t>
  </si>
  <si>
    <t>121</t>
  </si>
  <si>
    <t>b'\xf0\x9f\x93\x8d'</t>
  </si>
  <si>
    <t>📍</t>
  </si>
  <si>
    <t xml:space="preserve"> Round Pushpin </t>
  </si>
  <si>
    <t>295</t>
  </si>
  <si>
    <t>186</t>
  </si>
  <si>
    <t>0.1912751677852349</t>
  </si>
  <si>
    <t>0.62751677852349</t>
  </si>
  <si>
    <t>0.1812080536912752</t>
  </si>
  <si>
    <t>-0.010067114093959743</t>
  </si>
  <si>
    <t>b'\xf0\x9f\x98\x87'</t>
  </si>
  <si>
    <t>😇</t>
  </si>
  <si>
    <t xml:space="preserve"> Smiling Face With Halo </t>
  </si>
  <si>
    <t>0.10738255033557048</t>
  </si>
  <si>
    <t>0.09731543624161074</t>
  </si>
  <si>
    <t>0.7953020134228188</t>
  </si>
  <si>
    <t>0.6879194630872484</t>
  </si>
  <si>
    <t>b'\xf0\x9f\x92\x8b'</t>
  </si>
  <si>
    <t>💋</t>
  </si>
  <si>
    <t xml:space="preserve"> Kiss Mark </t>
  </si>
  <si>
    <t>289</t>
  </si>
  <si>
    <t>170</t>
  </si>
  <si>
    <t>0.2705479452054795</t>
  </si>
  <si>
    <t>0.14383561643835616</t>
  </si>
  <si>
    <t>0.5856164383561644</t>
  </si>
  <si>
    <t>0.3150684931506849</t>
  </si>
  <si>
    <t>124</t>
  </si>
  <si>
    <t>b'\xf0\x9f\x8e\x89'</t>
  </si>
  <si>
    <t>🎉</t>
  </si>
  <si>
    <t xml:space="preserve"> Party Popper </t>
  </si>
  <si>
    <t>286</t>
  </si>
  <si>
    <t>0.03806228373702422</t>
  </si>
  <si>
    <t>0.20069204152249132</t>
  </si>
  <si>
    <t>0.7612456747404844</t>
  </si>
  <si>
    <t>0.7231833910034602</t>
  </si>
  <si>
    <t>125</t>
  </si>
  <si>
    <t>b'\xf0\x9f\x8d\x81'</t>
  </si>
  <si>
    <t>🍁</t>
  </si>
  <si>
    <t xml:space="preserve"> Maple Leaf </t>
  </si>
  <si>
    <t>277</t>
  </si>
  <si>
    <t>147</t>
  </si>
  <si>
    <t>0.12142857142857146</t>
  </si>
  <si>
    <t>0.35</t>
  </si>
  <si>
    <t>0.5285714285714286</t>
  </si>
  <si>
    <t>0.4071428571428571</t>
  </si>
  <si>
    <t>b'\xf0\x9f\x98\x99'</t>
  </si>
  <si>
    <t>😙</t>
  </si>
  <si>
    <t xml:space="preserve"> Kissing Face With Smiling Eyes </t>
  </si>
  <si>
    <t>204</t>
  </si>
  <si>
    <t>0.1392857142857143</t>
  </si>
  <si>
    <t>0.12857142857142856</t>
  </si>
  <si>
    <t>0.7321428571428571</t>
  </si>
  <si>
    <t>0.5928571428571427</t>
  </si>
  <si>
    <t>127</t>
  </si>
  <si>
    <t>b'\xf0\x9f\x8e\x80'</t>
  </si>
  <si>
    <t>🎀</t>
  </si>
  <si>
    <t xml:space="preserve"> Ribbon </t>
  </si>
  <si>
    <t>0.11510791366906475</t>
  </si>
  <si>
    <t>0.2482014388489209</t>
  </si>
  <si>
    <t>0.6366906474820144</t>
  </si>
  <si>
    <t>0.5215827338129497</t>
  </si>
  <si>
    <t>b'\xf0\x9f\x92\x8c'</t>
  </si>
  <si>
    <t>💌</t>
  </si>
  <si>
    <t xml:space="preserve"> Love Letter </t>
  </si>
  <si>
    <t>216</t>
  </si>
  <si>
    <t>0.0599250936329588</t>
  </si>
  <si>
    <t>0.12734082397003746</t>
  </si>
  <si>
    <t>0.8127340823970037</t>
  </si>
  <si>
    <t>0.7528089887640449</t>
  </si>
  <si>
    <t>b'\xf0\x9f\x98\xbb'</t>
  </si>
  <si>
    <t>😻</t>
  </si>
  <si>
    <t xml:space="preserve"> Smiling Cat Face With Heart-Eyes </t>
  </si>
  <si>
    <t>262</t>
  </si>
  <si>
    <t>190</t>
  </si>
  <si>
    <t>0.07547169811320754</t>
  </si>
  <si>
    <t>0.2037735849056604</t>
  </si>
  <si>
    <t>0.720754716981132</t>
  </si>
  <si>
    <t>0.6452830188679245</t>
  </si>
  <si>
    <t>130</t>
  </si>
  <si>
    <t>b'\xf0\x9f\x94\xaa'</t>
  </si>
  <si>
    <t>🔪</t>
  </si>
  <si>
    <t xml:space="preserve"> Kitchen Knife </t>
  </si>
  <si>
    <t>0.490566037735849</t>
  </si>
  <si>
    <t>0.2792452830188679</t>
  </si>
  <si>
    <t>0.23018867924528305</t>
  </si>
  <si>
    <t>-0.26037735849056604</t>
  </si>
  <si>
    <t>b'\xf0\x9f\x94\x95'</t>
  </si>
  <si>
    <t>🔕</t>
  </si>
  <si>
    <t xml:space="preserve"> Bell With Slash </t>
  </si>
  <si>
    <t>253</t>
  </si>
  <si>
    <t>154</t>
  </si>
  <si>
    <t>0.60546875</t>
  </si>
  <si>
    <t>0.234375</t>
  </si>
  <si>
    <t>0.16015625</t>
  </si>
  <si>
    <t>-0.4453125</t>
  </si>
  <si>
    <t>b'\xf0\x9f\x92\xad'</t>
  </si>
  <si>
    <t>💭</t>
  </si>
  <si>
    <t xml:space="preserve"> Thought Balloon </t>
  </si>
  <si>
    <t>0.2677165354330709</t>
  </si>
  <si>
    <t>0.2519685039370079</t>
  </si>
  <si>
    <t>0.4803149606299213</t>
  </si>
  <si>
    <t>0.21259842519685035</t>
  </si>
  <si>
    <t>b'\xe2\x9c\x8d'</t>
  </si>
  <si>
    <t>✍</t>
  </si>
  <si>
    <t xml:space="preserve"> Writing Hand </t>
  </si>
  <si>
    <t>249</t>
  </si>
  <si>
    <t>0.2301587301587301</t>
  </si>
  <si>
    <t>0.2936507936507937</t>
  </si>
  <si>
    <t>0.4761904761904762</t>
  </si>
  <si>
    <t>0.246031746031746</t>
  </si>
  <si>
    <t>134</t>
  </si>
  <si>
    <t>b'\xf0\x9f\x98\x96'</t>
  </si>
  <si>
    <t>😖</t>
  </si>
  <si>
    <t xml:space="preserve"> Confounded Face </t>
  </si>
  <si>
    <t>244</t>
  </si>
  <si>
    <t>218</t>
  </si>
  <si>
    <t>0.8866396761133604</t>
  </si>
  <si>
    <t>0.08097165991902834</t>
  </si>
  <si>
    <t>0.032388663967611336</t>
  </si>
  <si>
    <t>-0.8542510121457491</t>
  </si>
  <si>
    <t>b'\xf0\x9f\x92\xa6'</t>
  </si>
  <si>
    <t>💦</t>
  </si>
  <si>
    <t xml:space="preserve"> Sweat Droplets </t>
  </si>
  <si>
    <t>0.2798353909465021</t>
  </si>
  <si>
    <t>0.4403292181069959</t>
  </si>
  <si>
    <t>0.0</t>
  </si>
  <si>
    <t>136</t>
  </si>
  <si>
    <t>b'\xe2\x9b\x94'</t>
  </si>
  <si>
    <t>⛔</t>
  </si>
  <si>
    <t xml:space="preserve"> No Entry </t>
  </si>
  <si>
    <t>238</t>
  </si>
  <si>
    <t>0.3070539419087137</t>
  </si>
  <si>
    <t>0.6556016597510373</t>
  </si>
  <si>
    <t>0.03734439834024896</t>
  </si>
  <si>
    <t>-0.2697095435684648</t>
  </si>
  <si>
    <t>137</t>
  </si>
  <si>
    <t>b'\xe2\x98\x80'</t>
  </si>
  <si>
    <t>☀</t>
  </si>
  <si>
    <t xml:space="preserve"> Sun </t>
  </si>
  <si>
    <t>231</t>
  </si>
  <si>
    <t>0.038461538461538464</t>
  </si>
  <si>
    <t>0.10256410256410256</t>
  </si>
  <si>
    <t>0.8589743589743589</t>
  </si>
  <si>
    <t>0.8205128205128205</t>
  </si>
  <si>
    <t>138</t>
  </si>
  <si>
    <t>b'\xf0\x9f\x8c\xb4'</t>
  </si>
  <si>
    <t>🌴</t>
  </si>
  <si>
    <t xml:space="preserve"> Palm Tree </t>
  </si>
  <si>
    <t>0.08547008547008547</t>
  </si>
  <si>
    <t>0.2478632478632479</t>
  </si>
  <si>
    <t>0.6666666666666666</t>
  </si>
  <si>
    <t>0.5811965811965811</t>
  </si>
  <si>
    <t>b'\xf0\x9f\x8c\xb1'</t>
  </si>
  <si>
    <t>🌱</t>
  </si>
  <si>
    <t xml:space="preserve"> Seedling </t>
  </si>
  <si>
    <t>230</t>
  </si>
  <si>
    <t>0.04721030042918455</t>
  </si>
  <si>
    <t>0.2017167381974249</t>
  </si>
  <si>
    <t>0.7510729613733905</t>
  </si>
  <si>
    <t>0.703862660944206</t>
  </si>
  <si>
    <t>140</t>
  </si>
  <si>
    <t>b'\xf0\x9f\x91\x90'</t>
  </si>
  <si>
    <t>👐</t>
  </si>
  <si>
    <t xml:space="preserve"> Open Hands </t>
  </si>
  <si>
    <t>222</t>
  </si>
  <si>
    <t>148</t>
  </si>
  <si>
    <t>0.13777777777777778</t>
  </si>
  <si>
    <t>0.6622222222222223</t>
  </si>
  <si>
    <t>0.5244444444444445</t>
  </si>
  <si>
    <t>b'\xe2\x9d\x84'</t>
  </si>
  <si>
    <t>❄</t>
  </si>
  <si>
    <t xml:space="preserve"> Snowflake </t>
  </si>
  <si>
    <t>0.0945945945945946</t>
  </si>
  <si>
    <t>0.5630630630630631</t>
  </si>
  <si>
    <t>0.34234234234234234</t>
  </si>
  <si>
    <t>0.2477477477477477</t>
  </si>
  <si>
    <t>b'\xf0\x9f\x92\x8e'</t>
  </si>
  <si>
    <t>💎</t>
  </si>
  <si>
    <t xml:space="preserve"> Gem Stone </t>
  </si>
  <si>
    <t>0.1004566210045662</t>
  </si>
  <si>
    <t>0.2146118721461187</t>
  </si>
  <si>
    <t>0.6849315068493149</t>
  </si>
  <si>
    <t>0.5844748858447488</t>
  </si>
  <si>
    <t>b'\xf0\x9f\x98\x9f'</t>
  </si>
  <si>
    <t>😟</t>
  </si>
  <si>
    <t xml:space="preserve"> Worried Face </t>
  </si>
  <si>
    <t>214</t>
  </si>
  <si>
    <t>0.7004608294930875</t>
  </si>
  <si>
    <t>0.2119815668202765</t>
  </si>
  <si>
    <t>0.08755760368663594</t>
  </si>
  <si>
    <t>-0.6129032258064516</t>
  </si>
  <si>
    <t>144</t>
  </si>
  <si>
    <t>b'\xf0\x9f\x91\x8b'</t>
  </si>
  <si>
    <t>👋</t>
  </si>
  <si>
    <t xml:space="preserve"> Waving Hand </t>
  </si>
  <si>
    <t>0.31627906976744186</t>
  </si>
  <si>
    <t>0.16744186046511628</t>
  </si>
  <si>
    <t>0.5162790697674419</t>
  </si>
  <si>
    <t>145</t>
  </si>
  <si>
    <t>b'\xf0\x9f\x8e\x88'</t>
  </si>
  <si>
    <t>🎈</t>
  </si>
  <si>
    <t xml:space="preserve"> Balloon </t>
  </si>
  <si>
    <t>209</t>
  </si>
  <si>
    <t>0.18396226415094336</t>
  </si>
  <si>
    <t>0.15566037735849056</t>
  </si>
  <si>
    <t>0.660377358490566</t>
  </si>
  <si>
    <t>0.4764150943396226</t>
  </si>
  <si>
    <t>b'\xe2\x98\x95'</t>
  </si>
  <si>
    <t>☕</t>
  </si>
  <si>
    <t xml:space="preserve"> Hot Beverage </t>
  </si>
  <si>
    <t>Food</t>
  </si>
  <si>
    <t>0.11904761904761905</t>
  </si>
  <si>
    <t>0.2333333333333333</t>
  </si>
  <si>
    <t>0.6476190476190476</t>
  </si>
  <si>
    <t>b'\xf0\x9f\x8e\x82'</t>
  </si>
  <si>
    <t>🎂</t>
  </si>
  <si>
    <t xml:space="preserve"> Birthday Cake </t>
  </si>
  <si>
    <t>172</t>
  </si>
  <si>
    <t>0.09047619047619047</t>
  </si>
  <si>
    <t>0.08571428571428573</t>
  </si>
  <si>
    <t>0.8238095238095238</t>
  </si>
  <si>
    <t>0.7333333333333333</t>
  </si>
  <si>
    <t>b'\xe2\xad\x90'</t>
  </si>
  <si>
    <t>⭐</t>
  </si>
  <si>
    <t xml:space="preserve"> White Medium Star </t>
  </si>
  <si>
    <t>0.05555555555555555</t>
  </si>
  <si>
    <t>0.6262626262626263</t>
  </si>
  <si>
    <t>0.3181818181818182</t>
  </si>
  <si>
    <t>0.26262626262626265</t>
  </si>
  <si>
    <t>b'\xe2\x9d\x97'</t>
  </si>
  <si>
    <t>❗</t>
  </si>
  <si>
    <t xml:space="preserve"> Exclamation Mark </t>
  </si>
  <si>
    <t>188</t>
  </si>
  <si>
    <t>0.6073298429319371</t>
  </si>
  <si>
    <t>0.24607329842931935</t>
  </si>
  <si>
    <t>0.14659685863874344</t>
  </si>
  <si>
    <t>-0.4607329842931937</t>
  </si>
  <si>
    <t>b'\xf0\x9f\x9a\xab'</t>
  </si>
  <si>
    <t>🚫</t>
  </si>
  <si>
    <t xml:space="preserve"> Prohibited </t>
  </si>
  <si>
    <t>0.5026178010471204</t>
  </si>
  <si>
    <t>0.4031413612565445</t>
  </si>
  <si>
    <t>0.09424083769633508</t>
  </si>
  <si>
    <t>-0.4083769633507853</t>
  </si>
  <si>
    <t>b'\xf0\x9f\xa4\x95'</t>
  </si>
  <si>
    <t>🤕</t>
  </si>
  <si>
    <t xml:space="preserve"> Face With Head-Bandage </t>
  </si>
  <si>
    <t>0.6263736263736264</t>
  </si>
  <si>
    <t>0.1153846153846154</t>
  </si>
  <si>
    <t>0.2582417582417583</t>
  </si>
  <si>
    <t>-0.3681318681318681</t>
  </si>
  <si>
    <t>152</t>
  </si>
  <si>
    <t>b'\xf0\x9f\x87\xb9\xf0\x9f\x87\xb3'</t>
  </si>
  <si>
    <t>🇹🇳</t>
  </si>
  <si>
    <t xml:space="preserve"> Tunisia </t>
  </si>
  <si>
    <t>178</t>
  </si>
  <si>
    <t>0.011049723756906077</t>
  </si>
  <si>
    <t>0.30386740331491713</t>
  </si>
  <si>
    <t>0.6850828729281768</t>
  </si>
  <si>
    <t>0.6740331491712708</t>
  </si>
  <si>
    <t>153</t>
  </si>
  <si>
    <t>b'\xf0\x9f\x8e\xb5'</t>
  </si>
  <si>
    <t>🎵</t>
  </si>
  <si>
    <t xml:space="preserve"> Musical Note </t>
  </si>
  <si>
    <t>0.18857142857142856</t>
  </si>
  <si>
    <t>0.6114285714285714</t>
  </si>
  <si>
    <t>0.4114285714285714</t>
  </si>
  <si>
    <t>b'\xf0\x9f\x93\x9a'</t>
  </si>
  <si>
    <t>📚</t>
  </si>
  <si>
    <t xml:space="preserve"> Books </t>
  </si>
  <si>
    <t>0.14367816091954022</t>
  </si>
  <si>
    <t>0.6609195402298851</t>
  </si>
  <si>
    <t>0.19540229885057472</t>
  </si>
  <si>
    <t>0.0517241379310345</t>
  </si>
  <si>
    <t>b'\xe2\x99\xa8'</t>
  </si>
  <si>
    <t>♨</t>
  </si>
  <si>
    <t xml:space="preserve"> Hot Springs </t>
  </si>
  <si>
    <t>0.01183431952662722</t>
  </si>
  <si>
    <t>0.15384615384615385</t>
  </si>
  <si>
    <t>0.8343195266272192</t>
  </si>
  <si>
    <t>0.8224852071005918</t>
  </si>
  <si>
    <t>b'\xf0\x9f\xa6\x8b'</t>
  </si>
  <si>
    <t>🦋</t>
  </si>
  <si>
    <t xml:space="preserve"> Butterfly </t>
  </si>
  <si>
    <t>0.10650887573964496</t>
  </si>
  <si>
    <t>0.1834319526627219</t>
  </si>
  <si>
    <t>0.7100591715976331</t>
  </si>
  <si>
    <t>0.6035502958579881</t>
  </si>
  <si>
    <t>b'\xf0\x9f\x92\xaf'</t>
  </si>
  <si>
    <t>💯</t>
  </si>
  <si>
    <t xml:space="preserve"> Hundred Points </t>
  </si>
  <si>
    <t>162</t>
  </si>
  <si>
    <t>0.12727272727272726</t>
  </si>
  <si>
    <t>0.4909090909090909</t>
  </si>
  <si>
    <t>0.3818181818181817</t>
  </si>
  <si>
    <t>0.2545454545454546</t>
  </si>
  <si>
    <t>158</t>
  </si>
  <si>
    <t>b'\xf0\x9f\x91\x80'</t>
  </si>
  <si>
    <t>👀</t>
  </si>
  <si>
    <t xml:space="preserve"> Eyes </t>
  </si>
  <si>
    <t>0.3726708074534161</t>
  </si>
  <si>
    <t>0.14285714285714285</t>
  </si>
  <si>
    <t>0.484472049689441</t>
  </si>
  <si>
    <t>0.11180124223602488</t>
  </si>
  <si>
    <t>159</t>
  </si>
  <si>
    <t>b'\xf0\x9f\x98\x9d'</t>
  </si>
  <si>
    <t>😝</t>
  </si>
  <si>
    <t xml:space="preserve"> Squinting Face With Tongue </t>
  </si>
  <si>
    <t>0.6075949367088608</t>
  </si>
  <si>
    <t>0.15822784810126586</t>
  </si>
  <si>
    <t>0.23417721518987344</t>
  </si>
  <si>
    <t>-0.3734177215189873</t>
  </si>
  <si>
    <t>160</t>
  </si>
  <si>
    <t>b'\xf0\x9f\x8c\x9e'</t>
  </si>
  <si>
    <t>🌞</t>
  </si>
  <si>
    <t xml:space="preserve"> Sun With Face </t>
  </si>
  <si>
    <t>0.2278481012658228</t>
  </si>
  <si>
    <t>0.6139240506329114</t>
  </si>
  <si>
    <t>0.3860759493670887</t>
  </si>
  <si>
    <t>b'\xf0\x9f\x8c\xa7'</t>
  </si>
  <si>
    <t>🌧</t>
  </si>
  <si>
    <t xml:space="preserve"> Cloud With Rain </t>
  </si>
  <si>
    <t>0.1518987341772152</t>
  </si>
  <si>
    <t>0.0759493670886076</t>
  </si>
  <si>
    <t>0.7721518987341772</t>
  </si>
  <si>
    <t>0.620253164556962</t>
  </si>
  <si>
    <t>b'\xf0\x9f\x8d\x80'</t>
  </si>
  <si>
    <t>🍀</t>
  </si>
  <si>
    <t xml:space="preserve"> Four Leaf Clover </t>
  </si>
  <si>
    <t>0.4522292993630573</t>
  </si>
  <si>
    <t>0.4968152866242038</t>
  </si>
  <si>
    <t>0.445859872611465</t>
  </si>
  <si>
    <t>163</t>
  </si>
  <si>
    <t>b'\xf0\x9f\x8c\xbe'</t>
  </si>
  <si>
    <t>🌾</t>
  </si>
  <si>
    <t xml:space="preserve"> Sheaf Of Rice </t>
  </si>
  <si>
    <t>0.03205128205128205</t>
  </si>
  <si>
    <t>0.1794871794871795</t>
  </si>
  <si>
    <t>0.7884615384615384</t>
  </si>
  <si>
    <t>0.7564102564102564</t>
  </si>
  <si>
    <t>b'\xe2\x9a\xa1'</t>
  </si>
  <si>
    <t>⚡</t>
  </si>
  <si>
    <t xml:space="preserve"> High Voltage </t>
  </si>
  <si>
    <t>0.1217948717948718</t>
  </si>
  <si>
    <t>0.5576923076923077</t>
  </si>
  <si>
    <t>0.3205128205128205</t>
  </si>
  <si>
    <t>0.19871794871794876</t>
  </si>
  <si>
    <t>165</t>
  </si>
  <si>
    <t>b'\xe2\x98\x9d'</t>
  </si>
  <si>
    <t>☝</t>
  </si>
  <si>
    <t xml:space="preserve"> Index Pointing Up </t>
  </si>
  <si>
    <t>0.3548387096774194</t>
  </si>
  <si>
    <t>0.3161290322580645</t>
  </si>
  <si>
    <t>0.3290322580645161</t>
  </si>
  <si>
    <t>-0.02580645161290324</t>
  </si>
  <si>
    <t>b'\xf0\x9f\x92\x9d'</t>
  </si>
  <si>
    <t>💝</t>
  </si>
  <si>
    <t xml:space="preserve"> Heart With Ribbon </t>
  </si>
  <si>
    <t>0.2207792207792208</t>
  </si>
  <si>
    <t>0.09090909090909093</t>
  </si>
  <si>
    <t>0.6883116883116883</t>
  </si>
  <si>
    <t>0.4675324675324676</t>
  </si>
  <si>
    <t>b'\xe2\x9c\x8f'</t>
  </si>
  <si>
    <t>✏</t>
  </si>
  <si>
    <t xml:space="preserve"> Pencil </t>
  </si>
  <si>
    <t>0.16233766233766234</t>
  </si>
  <si>
    <t>0.48701298701298706</t>
  </si>
  <si>
    <t>0.35064935064935066</t>
  </si>
  <si>
    <t>0.18831168831168832</t>
  </si>
  <si>
    <t>168</t>
  </si>
  <si>
    <t>b'\xf0\x9f\x8c\x88'</t>
  </si>
  <si>
    <t>🌈</t>
  </si>
  <si>
    <t xml:space="preserve"> Rainbow </t>
  </si>
  <si>
    <t>0.23376623376623376</t>
  </si>
  <si>
    <t>0.2662337662337662</t>
  </si>
  <si>
    <t>0.5</t>
  </si>
  <si>
    <t>0.2662337662337663</t>
  </si>
  <si>
    <t>b'\xf0\x9f\x98\xa8'</t>
  </si>
  <si>
    <t>😨</t>
  </si>
  <si>
    <t xml:space="preserve"> Fearful Face </t>
  </si>
  <si>
    <t>0.9215686274509804</t>
  </si>
  <si>
    <t>0.0457516339869281</t>
  </si>
  <si>
    <t>0.032679738562091505</t>
  </si>
  <si>
    <t>-0.8888888888888888</t>
  </si>
  <si>
    <t>b'\xf0\x9f\x90\xb8'</t>
  </si>
  <si>
    <t>🐸</t>
  </si>
  <si>
    <t xml:space="preserve"> Frog Face </t>
  </si>
  <si>
    <t>0.6887417218543046</t>
  </si>
  <si>
    <t>0.08609271523178808</t>
  </si>
  <si>
    <t>0.2251655629139073</t>
  </si>
  <si>
    <t>-0.4635761589403973</t>
  </si>
  <si>
    <t>b'\xf0\x9f\x8e\xbb'</t>
  </si>
  <si>
    <t>🎻</t>
  </si>
  <si>
    <t xml:space="preserve"> Violin </t>
  </si>
  <si>
    <t>0.1342281879194631</t>
  </si>
  <si>
    <t>0.14093959731543626</t>
  </si>
  <si>
    <t>0.7248322147651006</t>
  </si>
  <si>
    <t>0.5906040268456375</t>
  </si>
  <si>
    <t>b'\xf0\x9f\x98\xb2'</t>
  </si>
  <si>
    <t>😲</t>
  </si>
  <si>
    <t xml:space="preserve"> Astonished Face </t>
  </si>
  <si>
    <t>0.7986577181208053</t>
  </si>
  <si>
    <t>0.08724832214765099</t>
  </si>
  <si>
    <t>0.11409395973154365</t>
  </si>
  <si>
    <t>-0.6845637583892616</t>
  </si>
  <si>
    <t>b'\xf0\x9f\x8e\xa5'</t>
  </si>
  <si>
    <t>🎥</t>
  </si>
  <si>
    <t xml:space="preserve"> Movie Camera </t>
  </si>
  <si>
    <t>0.09523809523809523</t>
  </si>
  <si>
    <t>0.6326530612244898</t>
  </si>
  <si>
    <t>0.272108843537415</t>
  </si>
  <si>
    <t>0.17687074829931976</t>
  </si>
  <si>
    <t>b'\xe2\x9d\xa3'</t>
  </si>
  <si>
    <t>❣</t>
  </si>
  <si>
    <t xml:space="preserve"> Heavy Heart Exclamation </t>
  </si>
  <si>
    <t>0.24113475177304966</t>
  </si>
  <si>
    <t>0.2907801418439716</t>
  </si>
  <si>
    <t>0.4680851063829787</t>
  </si>
  <si>
    <t>0.2269503546099291</t>
  </si>
  <si>
    <t>b'\xf0\x9f\x99\x8b'</t>
  </si>
  <si>
    <t>🙋</t>
  </si>
  <si>
    <t xml:space="preserve"> Person Raising Hand </t>
  </si>
  <si>
    <t>0.22962962962962966</t>
  </si>
  <si>
    <t>0.5703703703703704</t>
  </si>
  <si>
    <t>0.3703703703703704</t>
  </si>
  <si>
    <t>b'\xf0\x9f\x91\x89'</t>
  </si>
  <si>
    <t>👉</t>
  </si>
  <si>
    <t xml:space="preserve"> Backhand Index Pointing Right </t>
  </si>
  <si>
    <t>0.3939393939393939</t>
  </si>
  <si>
    <t>0.2878787878787879</t>
  </si>
  <si>
    <t>-0.03030303030303028</t>
  </si>
  <si>
    <t>177</t>
  </si>
  <si>
    <t>b'\xf0\x9f\x92\x9f'</t>
  </si>
  <si>
    <t>💟</t>
  </si>
  <si>
    <t xml:space="preserve"> Heart Decoration </t>
  </si>
  <si>
    <t>0.08396946564885496</t>
  </si>
  <si>
    <t>0.2977099236641221</t>
  </si>
  <si>
    <t>0.6183206106870229</t>
  </si>
  <si>
    <t>0.5343511450381679</t>
  </si>
  <si>
    <t>b'\xf0\x9f\x98\xba'</t>
  </si>
  <si>
    <t>😺</t>
  </si>
  <si>
    <t xml:space="preserve"> Grinning Cat Face </t>
  </si>
  <si>
    <t>0.16923076923076924</t>
  </si>
  <si>
    <t>0.5230769230769231</t>
  </si>
  <si>
    <t>0.3076923076923077</t>
  </si>
  <si>
    <t>0.13846153846153847</t>
  </si>
  <si>
    <t>b'\xf0\x9f\x8e\x81'</t>
  </si>
  <si>
    <t>🎁</t>
  </si>
  <si>
    <t xml:space="preserve"> Wrapped Gift </t>
  </si>
  <si>
    <t>0.2153846153846154</t>
  </si>
  <si>
    <t>0.7461538461538462</t>
  </si>
  <si>
    <t>0.7076923076923077</t>
  </si>
  <si>
    <t>180</t>
  </si>
  <si>
    <t>b'\xf0\x9f\x8d\x95'</t>
  </si>
  <si>
    <t>🍕</t>
  </si>
  <si>
    <t xml:space="preserve"> Pizza </t>
  </si>
  <si>
    <t>0.1953125</t>
  </si>
  <si>
    <t>0.328125</t>
  </si>
  <si>
    <t>0.4765625</t>
  </si>
  <si>
    <t>0.28125</t>
  </si>
  <si>
    <t>181</t>
  </si>
  <si>
    <t>b'\xf0\x9f\x99\x86'</t>
  </si>
  <si>
    <t>🙆</t>
  </si>
  <si>
    <t xml:space="preserve"> Person Gesturing Ok </t>
  </si>
  <si>
    <t>0.3779527559055118</t>
  </si>
  <si>
    <t>0.13385826771653545</t>
  </si>
  <si>
    <t>0.4881889763779528</t>
  </si>
  <si>
    <t>0.11023622047244096</t>
  </si>
  <si>
    <t>b'\xf0\x9f\x94\xb9'</t>
  </si>
  <si>
    <t>🔹</t>
  </si>
  <si>
    <t xml:space="preserve"> Small Blue Diamond </t>
  </si>
  <si>
    <t>0.6428571428571429</t>
  </si>
  <si>
    <t>0.21428571428571427</t>
  </si>
  <si>
    <t>0.07142857142857142</t>
  </si>
  <si>
    <t>b'\xf0\x9f\x8e\x8a'</t>
  </si>
  <si>
    <t>🎊</t>
  </si>
  <si>
    <t xml:space="preserve"> Confetti Ball </t>
  </si>
  <si>
    <t>0.16260162601626016</t>
  </si>
  <si>
    <t>0.13008130081300814</t>
  </si>
  <si>
    <t>0.7073170731707317</t>
  </si>
  <si>
    <t>0.5447154471544715</t>
  </si>
  <si>
    <t>b'\xf0\x9f\x94\xb8'</t>
  </si>
  <si>
    <t>🔸</t>
  </si>
  <si>
    <t xml:space="preserve"> Small Orange Diamond </t>
  </si>
  <si>
    <t>0.10569105691056913</t>
  </si>
  <si>
    <t>0.7154471544715447</t>
  </si>
  <si>
    <t>0.17886178861788618</t>
  </si>
  <si>
    <t>0.07317073170731707</t>
  </si>
  <si>
    <t>b'\xe2\x9c\x88'</t>
  </si>
  <si>
    <t>✈</t>
  </si>
  <si>
    <t xml:space="preserve"> Airplane </t>
  </si>
  <si>
    <t>0.1900826446280992</t>
  </si>
  <si>
    <t>0.4214876033057851</t>
  </si>
  <si>
    <t>0.3884297520661157</t>
  </si>
  <si>
    <t>0.1983471074380165</t>
  </si>
  <si>
    <t>b'\xf0\x9f\x87\xb0\xf0\x9f\x87\xbc'</t>
  </si>
  <si>
    <t>🇰🇼</t>
  </si>
  <si>
    <t xml:space="preserve"> Kuwait </t>
  </si>
  <si>
    <t>0.25</t>
  </si>
  <si>
    <t>0.5166666666666667</t>
  </si>
  <si>
    <t>0.2666666666666667</t>
  </si>
  <si>
    <t>b'\xe2\xad\x95'</t>
  </si>
  <si>
    <t>⭕</t>
  </si>
  <si>
    <t xml:space="preserve"> Heavy Large Circle </t>
  </si>
  <si>
    <t>0.1440677966101695</t>
  </si>
  <si>
    <t>0.6355932203389829</t>
  </si>
  <si>
    <t>0.22033898305084745</t>
  </si>
  <si>
    <t>0.07627118644067796</t>
  </si>
  <si>
    <t>b'\xf0\x9f\x8c\x9d'</t>
  </si>
  <si>
    <t>🌝</t>
  </si>
  <si>
    <t xml:space="preserve"> Full Moon Face </t>
  </si>
  <si>
    <t>0.4491525423728814</t>
  </si>
  <si>
    <t>0.07627118644067797</t>
  </si>
  <si>
    <t>0.4745762711864407</t>
  </si>
  <si>
    <t>0.02542372881355931</t>
  </si>
  <si>
    <t>189</t>
  </si>
  <si>
    <t>b'\xf0\x9f\x87\xa6\xf0\x9f\x87\xaa'</t>
  </si>
  <si>
    <t>🇦🇪</t>
  </si>
  <si>
    <t xml:space="preserve"> United Arab Emirates </t>
  </si>
  <si>
    <t>0.24347826086956526</t>
  </si>
  <si>
    <t>0.23478260869565215</t>
  </si>
  <si>
    <t>0.5217391304347826</t>
  </si>
  <si>
    <t>0.2782608695652173</t>
  </si>
  <si>
    <t>b'\xf0\x9f\xa4\xa7'</t>
  </si>
  <si>
    <t>🤧</t>
  </si>
  <si>
    <t xml:space="preserve"> Sneezing Face </t>
  </si>
  <si>
    <t>0.5652173913043478</t>
  </si>
  <si>
    <t>0.19130434782608696</t>
  </si>
  <si>
    <t>-0.3217391304347825</t>
  </si>
  <si>
    <t>191</t>
  </si>
  <si>
    <t>b'\xf0\x9f\xa4\x9d'</t>
  </si>
  <si>
    <t>🤝</t>
  </si>
  <si>
    <t xml:space="preserve"> Handshake </t>
  </si>
  <si>
    <t>0.28695652173913044</t>
  </si>
  <si>
    <t>0.21739130434782608</t>
  </si>
  <si>
    <t>0.4956521739130435</t>
  </si>
  <si>
    <t>0.20869565217391306</t>
  </si>
  <si>
    <t>192</t>
  </si>
  <si>
    <t>b'\xf0\x9f\x98\xaf'</t>
  </si>
  <si>
    <t>😯</t>
  </si>
  <si>
    <t xml:space="preserve"> Hushed Face </t>
  </si>
  <si>
    <t>0.412280701754386</t>
  </si>
  <si>
    <t>0.2631578947368421</t>
  </si>
  <si>
    <t>0.32456140350877194</t>
  </si>
  <si>
    <t>-0.08771929824561403</t>
  </si>
  <si>
    <t>b'\xf0\x9f\x93\x9d'</t>
  </si>
  <si>
    <t>📝</t>
  </si>
  <si>
    <t xml:space="preserve"> Memo </t>
  </si>
  <si>
    <t>0.21238938053097345</t>
  </si>
  <si>
    <t>0.4336283185840708</t>
  </si>
  <si>
    <t>0.3539823008849557</t>
  </si>
  <si>
    <t>0.1415929203539823</t>
  </si>
  <si>
    <t>b'\xf0\x9f\x92\x80'</t>
  </si>
  <si>
    <t>💀</t>
  </si>
  <si>
    <t xml:space="preserve"> Skull </t>
  </si>
  <si>
    <t>0.75</t>
  </si>
  <si>
    <t>0.10714285714285714</t>
  </si>
  <si>
    <t>-0.6071428571428572</t>
  </si>
  <si>
    <t>b'\xf0\x9f\x91\x86'</t>
  </si>
  <si>
    <t>👆</t>
  </si>
  <si>
    <t xml:space="preserve"> Backhand Index Pointing Up </t>
  </si>
  <si>
    <t>0.3727272727272728</t>
  </si>
  <si>
    <t>0.2545454545454545</t>
  </si>
  <si>
    <t>-0.11818181818181822</t>
  </si>
  <si>
    <t>b'\xf0\x9f\x8c\xb2'</t>
  </si>
  <si>
    <t>🌲</t>
  </si>
  <si>
    <t xml:space="preserve"> Evergreen Tree </t>
  </si>
  <si>
    <t>0.027522935779816515</t>
  </si>
  <si>
    <t>0.5412844036697247</t>
  </si>
  <si>
    <t>0.4311926605504587</t>
  </si>
  <si>
    <t>0.4036697247706422</t>
  </si>
  <si>
    <t>b'\xf0\x9f\x91\xa9'</t>
  </si>
  <si>
    <t>👩</t>
  </si>
  <si>
    <t xml:space="preserve"> Woman </t>
  </si>
  <si>
    <t>0.3027522935779817</t>
  </si>
  <si>
    <t>0.3119266055045872</t>
  </si>
  <si>
    <t>0.3853211009174312</t>
  </si>
  <si>
    <t>b'\xf0\x9f\x87\xaa'</t>
  </si>
  <si>
    <t>🇪</t>
  </si>
  <si>
    <t xml:space="preserve"> Regional Indicator Symbol Letter E </t>
  </si>
  <si>
    <t>0.3619047619047619</t>
  </si>
  <si>
    <t>0.5523809523809524</t>
  </si>
  <si>
    <t>0.4666666666666667</t>
  </si>
  <si>
    <t>b'\xf0\x9f\x92\xa1'</t>
  </si>
  <si>
    <t>💡</t>
  </si>
  <si>
    <t xml:space="preserve"> Light Bulb </t>
  </si>
  <si>
    <t>0.2761904761904762</t>
  </si>
  <si>
    <t>0.4952380952380953</t>
  </si>
  <si>
    <t>0.22857142857142854</t>
  </si>
  <si>
    <t>-0.04761904761904765</t>
  </si>
  <si>
    <t>b'\xf0\x9f\x98\xae'</t>
  </si>
  <si>
    <t>😮</t>
  </si>
  <si>
    <t xml:space="preserve"> Face With Open Mouth </t>
  </si>
  <si>
    <t>0.4077669902912621</t>
  </si>
  <si>
    <t>0.2815533980582524</t>
  </si>
  <si>
    <t>0.3106796116504854</t>
  </si>
  <si>
    <t>-0.09708737864077673</t>
  </si>
  <si>
    <t>b'\xf0\x9f\x87\xb6\xf0\x9f\x87\xa6'</t>
  </si>
  <si>
    <t>🇶🇦</t>
  </si>
  <si>
    <t xml:space="preserve"> Qatar </t>
  </si>
  <si>
    <t>0.4411764705882353</t>
  </si>
  <si>
    <t>0.16666666666666666</t>
  </si>
  <si>
    <t>0.392156862745098</t>
  </si>
  <si>
    <t>-0.04901960784313725</t>
  </si>
  <si>
    <t>202</t>
  </si>
  <si>
    <t>b'\xf0\x9f\x98\x9b'</t>
  </si>
  <si>
    <t>😛</t>
  </si>
  <si>
    <t xml:space="preserve"> Face With Tongue </t>
  </si>
  <si>
    <t>0.7156862745098039</t>
  </si>
  <si>
    <t>0.1176470588235294</t>
  </si>
  <si>
    <t>-0.5490196078431373</t>
  </si>
  <si>
    <t>b'\xf0\x9f\x93\xba'</t>
  </si>
  <si>
    <t>📺</t>
  </si>
  <si>
    <t xml:space="preserve"> Television </t>
  </si>
  <si>
    <t>0.06930693069306931</t>
  </si>
  <si>
    <t>0.8118811881188119</t>
  </si>
  <si>
    <t>0.1188118811881188</t>
  </si>
  <si>
    <t>0.049504950495049486</t>
  </si>
  <si>
    <t>b'\xf0\x9f\x98\xbf'</t>
  </si>
  <si>
    <t>😿</t>
  </si>
  <si>
    <t xml:space="preserve"> Crying Cat Face </t>
  </si>
  <si>
    <t>0.7326732673267327</t>
  </si>
  <si>
    <t>0.1782178217821782</t>
  </si>
  <si>
    <t>0.0891089108910891</t>
  </si>
  <si>
    <t>-0.6435643564356436</t>
  </si>
  <si>
    <t>205</t>
  </si>
  <si>
    <t>b'\xf0\x9f\x87\xae\xf0\x9f\x87\xb9'</t>
  </si>
  <si>
    <t>🇮🇹</t>
  </si>
  <si>
    <t xml:space="preserve"> Italy </t>
  </si>
  <si>
    <t>0.18</t>
  </si>
  <si>
    <t>0.040000000000000015</t>
  </si>
  <si>
    <t>206</t>
  </si>
  <si>
    <t>b'\xf0\x9f\xa4\x9a'</t>
  </si>
  <si>
    <t>🤚</t>
  </si>
  <si>
    <t xml:space="preserve"> Raised Back Of Hand </t>
  </si>
  <si>
    <t>0.31313131313131315</t>
  </si>
  <si>
    <t>0.12121212121212123</t>
  </si>
  <si>
    <t>0.5656565656565656</t>
  </si>
  <si>
    <t>0.2525252525252525</t>
  </si>
  <si>
    <t>b'\xe2\x98\x98'</t>
  </si>
  <si>
    <t>☘</t>
  </si>
  <si>
    <t xml:space="preserve"> Shamrock </t>
  </si>
  <si>
    <t>0.061855670103092786</t>
  </si>
  <si>
    <t>0.4948453608247423</t>
  </si>
  <si>
    <t>0.4432989690721649</t>
  </si>
  <si>
    <t>0.38144329896907214</t>
  </si>
  <si>
    <t>b'\xf0\x9f\x8e\xa4'</t>
  </si>
  <si>
    <t>🎤</t>
  </si>
  <si>
    <t xml:space="preserve"> Microphone </t>
  </si>
  <si>
    <t>0.15625</t>
  </si>
  <si>
    <t>0.625</t>
  </si>
  <si>
    <t>0.21875</t>
  </si>
  <si>
    <t>0.0625</t>
  </si>
  <si>
    <t>b'\xf0\x9f\x94\x94'</t>
  </si>
  <si>
    <t>🔔</t>
  </si>
  <si>
    <t xml:space="preserve"> Bell </t>
  </si>
  <si>
    <t>0.19791666666666666</t>
  </si>
  <si>
    <t>0.5833333333333334</t>
  </si>
  <si>
    <t>0.020833333333333343</t>
  </si>
  <si>
    <t>210</t>
  </si>
  <si>
    <t>b'\xe2\xac\x85'</t>
  </si>
  <si>
    <t>⬅</t>
  </si>
  <si>
    <t xml:space="preserve"> Left Arrow </t>
  </si>
  <si>
    <t>0.14736842105263154</t>
  </si>
  <si>
    <t>0.6526315789473685</t>
  </si>
  <si>
    <t>0.05263157894736845</t>
  </si>
  <si>
    <t>b'\xf0\x9f\xa4\x93'</t>
  </si>
  <si>
    <t>🤓</t>
  </si>
  <si>
    <t xml:space="preserve"> Nerd Face </t>
  </si>
  <si>
    <t>0.3404255319148936</t>
  </si>
  <si>
    <t>0.0851063829787234</t>
  </si>
  <si>
    <t>0.5744680851063829</t>
  </si>
  <si>
    <t>0.23404255319148945</t>
  </si>
  <si>
    <t>b'\xf0\x9f\x90\xa3'</t>
  </si>
  <si>
    <t>🐣</t>
  </si>
  <si>
    <t xml:space="preserve"> Hatching Chick </t>
  </si>
  <si>
    <t>0.09574468085106384</t>
  </si>
  <si>
    <t>0.6914893617021277</t>
  </si>
  <si>
    <t>0.2127659574468085</t>
  </si>
  <si>
    <t>0.11702127659574467</t>
  </si>
  <si>
    <t>b'\xe2\x98\x81'</t>
  </si>
  <si>
    <t>☁</t>
  </si>
  <si>
    <t xml:space="preserve"> Cloud </t>
  </si>
  <si>
    <t>0.16304347826086954</t>
  </si>
  <si>
    <t>0.6521739130434783</t>
  </si>
  <si>
    <t>0.4891304347826087</t>
  </si>
  <si>
    <t>b'\xe2\x9b\x88'</t>
  </si>
  <si>
    <t>⛈</t>
  </si>
  <si>
    <t xml:space="preserve"> Cloud With Lightning And Rain </t>
  </si>
  <si>
    <t>0.32222222222222224</t>
  </si>
  <si>
    <t>0.1</t>
  </si>
  <si>
    <t>0.5777777777777777</t>
  </si>
  <si>
    <t>0.2555555555555555</t>
  </si>
  <si>
    <t>215</t>
  </si>
  <si>
    <t>b'\xe2\x8f\xb0'</t>
  </si>
  <si>
    <t>⏰</t>
  </si>
  <si>
    <t xml:space="preserve"> Alarm Clock </t>
  </si>
  <si>
    <t>0.045454545454545456</t>
  </si>
  <si>
    <t>0.8068181818181818</t>
  </si>
  <si>
    <t>0.14772727272727273</t>
  </si>
  <si>
    <t>0.10227272727272728</t>
  </si>
  <si>
    <t>b'\xf0\x9f\x9a\x80'</t>
  </si>
  <si>
    <t>🚀</t>
  </si>
  <si>
    <t xml:space="preserve"> Rocket </t>
  </si>
  <si>
    <t>0.2325581395348837</t>
  </si>
  <si>
    <t>0.36046511627906974</t>
  </si>
  <si>
    <t>0.4069767441860465</t>
  </si>
  <si>
    <t>0.1744186046511628</t>
  </si>
  <si>
    <t>217</t>
  </si>
  <si>
    <t>b'\xf0\x9f\x92\xa3'</t>
  </si>
  <si>
    <t>💣</t>
  </si>
  <si>
    <t xml:space="preserve"> Bomb </t>
  </si>
  <si>
    <t>0.5930232558139535</t>
  </si>
  <si>
    <t>0.1511627906976744</t>
  </si>
  <si>
    <t>0.2558139534883721</t>
  </si>
  <si>
    <t>-0.33720930232558144</t>
  </si>
  <si>
    <t>b'\xf0\x9f\x94\xba'</t>
  </si>
  <si>
    <t>🔺</t>
  </si>
  <si>
    <t xml:space="preserve"> Red Triangle Pointed Up </t>
  </si>
  <si>
    <t>0.17647058823529413</t>
  </si>
  <si>
    <t>0.6588235294117647</t>
  </si>
  <si>
    <t>0.16470588235294115</t>
  </si>
  <si>
    <t>-0.011764705882352957</t>
  </si>
  <si>
    <t>b'\xe2\x9c\x8a'</t>
  </si>
  <si>
    <t>✊</t>
  </si>
  <si>
    <t xml:space="preserve"> Raised Fist </t>
  </si>
  <si>
    <t>0.3855421686746988</t>
  </si>
  <si>
    <t>0.1686746987951807</t>
  </si>
  <si>
    <t>0.4457831325301205</t>
  </si>
  <si>
    <t>0.060240963855421666</t>
  </si>
  <si>
    <t>220</t>
  </si>
  <si>
    <t>b'\xf0\x9f\x8d\x92'</t>
  </si>
  <si>
    <t>🍒</t>
  </si>
  <si>
    <t xml:space="preserve"> Cherries </t>
  </si>
  <si>
    <t>0.13253012048192772</t>
  </si>
  <si>
    <t>0.2530120481927711</t>
  </si>
  <si>
    <t>0.6144578313253012</t>
  </si>
  <si>
    <t>0.4819277108433735</t>
  </si>
  <si>
    <t>221</t>
  </si>
  <si>
    <t>b'\xf0\x9f\x92\xb0'</t>
  </si>
  <si>
    <t>💰</t>
  </si>
  <si>
    <t xml:space="preserve"> Money Bag </t>
  </si>
  <si>
    <t>0.43373493975903615</t>
  </si>
  <si>
    <t>0.3132530120481928</t>
  </si>
  <si>
    <t>0.060240963855421714</t>
  </si>
  <si>
    <t>b'\xf0\x9f\xa4\xa4'</t>
  </si>
  <si>
    <t>🤤</t>
  </si>
  <si>
    <t xml:space="preserve"> Drooling Face </t>
  </si>
  <si>
    <t>0.2839506172839506</t>
  </si>
  <si>
    <t>0.19753086419753085</t>
  </si>
  <si>
    <t>0.5185185185185185</t>
  </si>
  <si>
    <t>0.2345679012345679</t>
  </si>
  <si>
    <t>223</t>
  </si>
  <si>
    <t>b'\xe2\x9d\x93'</t>
  </si>
  <si>
    <t>❓</t>
  </si>
  <si>
    <t xml:space="preserve"> Question Mark </t>
  </si>
  <si>
    <t>0.8</t>
  </si>
  <si>
    <t>0.15</t>
  </si>
  <si>
    <t>0.05</t>
  </si>
  <si>
    <t>-0.75</t>
  </si>
  <si>
    <t>224</t>
  </si>
  <si>
    <t>b'\xf0\x9f\x96\x90'</t>
  </si>
  <si>
    <t>🖐</t>
  </si>
  <si>
    <t xml:space="preserve"> Hand With Fingers Splayed </t>
  </si>
  <si>
    <t>0.3974358974358974</t>
  </si>
  <si>
    <t>0.1025641025641026</t>
  </si>
  <si>
    <t>225</t>
  </si>
  <si>
    <t>b'\xe2\x98\x94'</t>
  </si>
  <si>
    <t>☔</t>
  </si>
  <si>
    <t xml:space="preserve"> Umbrella With Rain Drops </t>
  </si>
  <si>
    <t>0.2307692307692308</t>
  </si>
  <si>
    <t>0.6538461538461539</t>
  </si>
  <si>
    <t>0.4230769230769231</t>
  </si>
  <si>
    <t>226</t>
  </si>
  <si>
    <t>b'\xf0\x9f\x8c\xa0'</t>
  </si>
  <si>
    <t>🌠</t>
  </si>
  <si>
    <t xml:space="preserve"> Shooting Star </t>
  </si>
  <si>
    <t>0.06493506493506493</t>
  </si>
  <si>
    <t>0.3896103896103896</t>
  </si>
  <si>
    <t>0.5454545454545454</t>
  </si>
  <si>
    <t>0.4805194805194805</t>
  </si>
  <si>
    <t>b'\xf0\x9f\x87\xb4\xf0\x9f\x87\xb2'</t>
  </si>
  <si>
    <t>🇴🇲</t>
  </si>
  <si>
    <t xml:space="preserve"> Oman </t>
  </si>
  <si>
    <t>0.06578947368421052</t>
  </si>
  <si>
    <t>0.1973684210526316</t>
  </si>
  <si>
    <t>0.7368421052631579</t>
  </si>
  <si>
    <t>0.6710526315789473</t>
  </si>
  <si>
    <t>228</t>
  </si>
  <si>
    <t>b'\xf0\x9f\x87\xbe\xf0\x9f\x87\xaa'</t>
  </si>
  <si>
    <t>🇾🇪</t>
  </si>
  <si>
    <t xml:space="preserve"> Yemen </t>
  </si>
  <si>
    <t>0.3026315789473684</t>
  </si>
  <si>
    <t>0.2368421052631579</t>
  </si>
  <si>
    <t>0.4605263157894737</t>
  </si>
  <si>
    <t>0.15789473684210525</t>
  </si>
  <si>
    <t>229</t>
  </si>
  <si>
    <t>b'\xf0\x9f\x8c\xa4'</t>
  </si>
  <si>
    <t>🌤</t>
  </si>
  <si>
    <t xml:space="preserve"> Sun Behind Small Cloud </t>
  </si>
  <si>
    <t>0.04</t>
  </si>
  <si>
    <t>0.13333333333333333</t>
  </si>
  <si>
    <t>0.8266666666666667</t>
  </si>
  <si>
    <t>0.7866666666666666</t>
  </si>
  <si>
    <t>b'\xf0\x9f\x91\xa8'</t>
  </si>
  <si>
    <t>👨</t>
  </si>
  <si>
    <t xml:space="preserve"> Man </t>
  </si>
  <si>
    <t>0.28</t>
  </si>
  <si>
    <t>0.2933333333333333</t>
  </si>
  <si>
    <t>0.4266666666666667</t>
  </si>
  <si>
    <t>0.14666666666666667</t>
  </si>
  <si>
    <t>b'\xe2\x9d\x8e'</t>
  </si>
  <si>
    <t>❎</t>
  </si>
  <si>
    <t xml:space="preserve"> Cross Mark Button </t>
  </si>
  <si>
    <t>0.10810810810810813</t>
  </si>
  <si>
    <t>0.7702702702702703</t>
  </si>
  <si>
    <t>0.12162162162162166</t>
  </si>
  <si>
    <t>0.013513513513513514</t>
  </si>
  <si>
    <t>232</t>
  </si>
  <si>
    <t>b'\xf0\x9f\x87\xae\xf0\x9f\x87\xb6'</t>
  </si>
  <si>
    <t>🇮🇶</t>
  </si>
  <si>
    <t xml:space="preserve"> Iraq </t>
  </si>
  <si>
    <t>0.4459459459459459</t>
  </si>
  <si>
    <t>233</t>
  </si>
  <si>
    <t>b'\xf0\x9f\x8f\x9f'</t>
  </si>
  <si>
    <t>🏟</t>
  </si>
  <si>
    <t xml:space="preserve"> Stadium </t>
  </si>
  <si>
    <t>Place</t>
  </si>
  <si>
    <t>0.027027027027027032</t>
  </si>
  <si>
    <t>0.8783783783783784</t>
  </si>
  <si>
    <t>0.06756756756756757</t>
  </si>
  <si>
    <t>b'\xf0\x9f\x99\x87'</t>
  </si>
  <si>
    <t>🙇</t>
  </si>
  <si>
    <t xml:space="preserve"> Person Bowing </t>
  </si>
  <si>
    <t>0.4520547945205479</t>
  </si>
  <si>
    <t>0.1780821917808219</t>
  </si>
  <si>
    <t>0.3698630136986301</t>
  </si>
  <si>
    <t>-0.0821917808219178</t>
  </si>
  <si>
    <t>235</t>
  </si>
  <si>
    <t>b'\xf0\x9f\x94\x97'</t>
  </si>
  <si>
    <t>🔗</t>
  </si>
  <si>
    <t xml:space="preserve"> Link </t>
  </si>
  <si>
    <t>0.1095890410958904</t>
  </si>
  <si>
    <t>0.8082191780821918</t>
  </si>
  <si>
    <t>0.0821917808219178</t>
  </si>
  <si>
    <t>-0.0273972602739726</t>
  </si>
  <si>
    <t>b'\xf0\x9f\x98\x88'</t>
  </si>
  <si>
    <t>😈</t>
  </si>
  <si>
    <t xml:space="preserve"> Smiling Face With Horns </t>
  </si>
  <si>
    <t>0.3561643835616438</t>
  </si>
  <si>
    <t>0.2465753424657534</t>
  </si>
  <si>
    <t>0.3972602739726027</t>
  </si>
  <si>
    <t>0.0410958904109589</t>
  </si>
  <si>
    <t>237</t>
  </si>
  <si>
    <t>b'\xf0\x9f\xa4\x92'</t>
  </si>
  <si>
    <t>🤒</t>
  </si>
  <si>
    <t xml:space="preserve"> Face With Thermometer </t>
  </si>
  <si>
    <t>0.410958904109589</t>
  </si>
  <si>
    <t>0.273972602739726</t>
  </si>
  <si>
    <t>-0.136986301369863</t>
  </si>
  <si>
    <t>b'\xe2\x80\xbc'</t>
  </si>
  <si>
    <t>‼</t>
  </si>
  <si>
    <t xml:space="preserve"> Double Exclamation Mark </t>
  </si>
  <si>
    <t>0.5616438356164384</t>
  </si>
  <si>
    <t>0.2191780821917808</t>
  </si>
  <si>
    <t>-0.3424657534246576</t>
  </si>
  <si>
    <t>239</t>
  </si>
  <si>
    <t>b'\xe2\x9a\x9c'</t>
  </si>
  <si>
    <t>⚜</t>
  </si>
  <si>
    <t xml:space="preserve"> Fleur-De-Lis </t>
  </si>
  <si>
    <t>0.0958904109589041</t>
  </si>
  <si>
    <t>0.6027397260273972</t>
  </si>
  <si>
    <t>0.3013698630136986</t>
  </si>
  <si>
    <t>b'\xf0\x9f\x91\x85'</t>
  </si>
  <si>
    <t>👅</t>
  </si>
  <si>
    <t xml:space="preserve"> Tongue </t>
  </si>
  <si>
    <t>0.4</t>
  </si>
  <si>
    <t>0.5142857142857142</t>
  </si>
  <si>
    <t>0.1142857142857142</t>
  </si>
  <si>
    <t>b'\xf0\x9f\x98\xb5'</t>
  </si>
  <si>
    <t>😵</t>
  </si>
  <si>
    <t xml:space="preserve"> Dizzy Face </t>
  </si>
  <si>
    <t>0.8142857142857143</t>
  </si>
  <si>
    <t>0.042857142857142864</t>
  </si>
  <si>
    <t>-0.6714285714285715</t>
  </si>
  <si>
    <t>b'\xf0\x9f\x94\xb5'</t>
  </si>
  <si>
    <t>🔵</t>
  </si>
  <si>
    <t xml:space="preserve"> Blue Circle </t>
  </si>
  <si>
    <t>0.6571428571428571</t>
  </si>
  <si>
    <t>-0.05714285714285716</t>
  </si>
  <si>
    <t>243</t>
  </si>
  <si>
    <t>b'\xf0\x9f\x91\xbb'</t>
  </si>
  <si>
    <t>👻</t>
  </si>
  <si>
    <t xml:space="preserve"> Ghost </t>
  </si>
  <si>
    <t>0.5072463768115942</t>
  </si>
  <si>
    <t>0.2608695652173913</t>
  </si>
  <si>
    <t>0.2318840579710145</t>
  </si>
  <si>
    <t>-0.2753623188405797</t>
  </si>
  <si>
    <t>b'\xf0\x9f\x94\x9d'</t>
  </si>
  <si>
    <t>🔝</t>
  </si>
  <si>
    <t xml:space="preserve"> Top Arrow </t>
  </si>
  <si>
    <t>0.17391304347826084</t>
  </si>
  <si>
    <t>0.2753623188405797</t>
  </si>
  <si>
    <t>0.5507246376811594</t>
  </si>
  <si>
    <t>0.37681159420289856</t>
  </si>
  <si>
    <t>b'\xf0\x9f\x86\x9a'</t>
  </si>
  <si>
    <t>🆚</t>
  </si>
  <si>
    <t xml:space="preserve"> Vs Button </t>
  </si>
  <si>
    <t>0.05797101449275361</t>
  </si>
  <si>
    <t>0.8840579710144928</t>
  </si>
  <si>
    <t>246</t>
  </si>
  <si>
    <t>b'\xe2\x98\x91'</t>
  </si>
  <si>
    <t>☑</t>
  </si>
  <si>
    <t xml:space="preserve"> Ballot Box With Check </t>
  </si>
  <si>
    <t>0.10144927536231883</t>
  </si>
  <si>
    <t>0.3478260869565217</t>
  </si>
  <si>
    <t>0.2463768115942029</t>
  </si>
  <si>
    <t>b'\xe2\x9a\xa0'</t>
  </si>
  <si>
    <t>⚠</t>
  </si>
  <si>
    <t xml:space="preserve"> Warning </t>
  </si>
  <si>
    <t>0.5151515151515151</t>
  </si>
  <si>
    <t>0.3636363636363637</t>
  </si>
  <si>
    <t>-0.3939393939393939</t>
  </si>
  <si>
    <t>b'\xf0\x9f\x87\xa6\xf0\x9f\x87\xb8'</t>
  </si>
  <si>
    <t>🇦🇸</t>
  </si>
  <si>
    <t xml:space="preserve"> American Samoa </t>
  </si>
  <si>
    <t>0</t>
  </si>
  <si>
    <t>0.015384615384615384</t>
  </si>
  <si>
    <t>0.9692307692307692</t>
  </si>
  <si>
    <t>0.9538461538461538</t>
  </si>
  <si>
    <t>b'\xf0\x9f\x8c\x99'</t>
  </si>
  <si>
    <t>🌙</t>
  </si>
  <si>
    <t xml:space="preserve"> Crescent Moon </t>
  </si>
  <si>
    <t>0.171875</t>
  </si>
  <si>
    <t>0.140625</t>
  </si>
  <si>
    <t>0.6875</t>
  </si>
  <si>
    <t>0.515625</t>
  </si>
  <si>
    <t>b'\xe2\x81\x89'</t>
  </si>
  <si>
    <t>⁉</t>
  </si>
  <si>
    <t xml:space="preserve"> Exclamation Question Mark </t>
  </si>
  <si>
    <t>0.78125</t>
  </si>
  <si>
    <t>0.109375</t>
  </si>
  <si>
    <t>-0.671875</t>
  </si>
  <si>
    <t>b'\xf0\x9f\x96\x95'</t>
  </si>
  <si>
    <t>🖕</t>
  </si>
  <si>
    <t xml:space="preserve"> Middle Finger </t>
  </si>
  <si>
    <t>0.7460317460317459</t>
  </si>
  <si>
    <t>0.1111111111111111</t>
  </si>
  <si>
    <t>-0.6349206349206349</t>
  </si>
  <si>
    <t>252</t>
  </si>
  <si>
    <t>b'\xf0\x9f\x92\xb5'</t>
  </si>
  <si>
    <t>💵</t>
  </si>
  <si>
    <t xml:space="preserve"> Dollar Banknote </t>
  </si>
  <si>
    <t>0.12903225806451613</t>
  </si>
  <si>
    <t>0.5161290322580645</t>
  </si>
  <si>
    <t>0.22580645161290325</t>
  </si>
  <si>
    <t>b'\xf0\x9f\x8e\x93'</t>
  </si>
  <si>
    <t>🎓</t>
  </si>
  <si>
    <t xml:space="preserve"> Graduation Cap </t>
  </si>
  <si>
    <t>0.14754098360655735</t>
  </si>
  <si>
    <t>0.19672131147540986</t>
  </si>
  <si>
    <t>0.6557377049180327</t>
  </si>
  <si>
    <t>0.5081967213114753</t>
  </si>
  <si>
    <t>254</t>
  </si>
  <si>
    <t>b'\xf0\x9f\x98\xa7'</t>
  </si>
  <si>
    <t>😧</t>
  </si>
  <si>
    <t xml:space="preserve"> Anguished Face </t>
  </si>
  <si>
    <t>0.819672131147541</t>
  </si>
  <si>
    <t>0.08196721311475409</t>
  </si>
  <si>
    <t>0.09836065573770493</t>
  </si>
  <si>
    <t>-0.7213114754098361</t>
  </si>
  <si>
    <t>b'\xe2\x9e\x96'</t>
  </si>
  <si>
    <t>➖</t>
  </si>
  <si>
    <t xml:space="preserve"> Heavy Minus Sign </t>
  </si>
  <si>
    <t>0.7377049180327869</t>
  </si>
  <si>
    <t>0.18032786885245905</t>
  </si>
  <si>
    <t>256</t>
  </si>
  <si>
    <t>b'\xf0\x9f\x87\xa9\xf0\x9f\x87\xbf'</t>
  </si>
  <si>
    <t>🇩🇿</t>
  </si>
  <si>
    <t xml:space="preserve"> Algeria </t>
  </si>
  <si>
    <t>0.13114754098360654</t>
  </si>
  <si>
    <t>0.5737704918032787</t>
  </si>
  <si>
    <t>0.29508196721311475</t>
  </si>
  <si>
    <t>0.16393442622950818</t>
  </si>
  <si>
    <t>257</t>
  </si>
  <si>
    <t>b'\xf0\x9f\x8e\xaf'</t>
  </si>
  <si>
    <t>🎯</t>
  </si>
  <si>
    <t xml:space="preserve"> Direct Hit </t>
  </si>
  <si>
    <t>0.06666666666666668</t>
  </si>
  <si>
    <t>0.13333333333333336</t>
  </si>
  <si>
    <t>258</t>
  </si>
  <si>
    <t>b'\xf0\x9f\x93\xb1'</t>
  </si>
  <si>
    <t>📱</t>
  </si>
  <si>
    <t xml:space="preserve"> Mobile Phone </t>
  </si>
  <si>
    <t>0.1016949152542373</t>
  </si>
  <si>
    <t>0.576271186440678</t>
  </si>
  <si>
    <t>0.3220338983050847</t>
  </si>
  <si>
    <t>b'\xf0\x9f\x8c\x8d'</t>
  </si>
  <si>
    <t>🌍</t>
  </si>
  <si>
    <t xml:space="preserve"> Globe Showing Europe-Africa </t>
  </si>
  <si>
    <t>0.1864406779661017</t>
  </si>
  <si>
    <t>0.4067796610169492</t>
  </si>
  <si>
    <t>0.22033898305084748</t>
  </si>
  <si>
    <t>260</t>
  </si>
  <si>
    <t>b'\xe2\x99\xa6'</t>
  </si>
  <si>
    <t>♦</t>
  </si>
  <si>
    <t xml:space="preserve"> Diamond Suit </t>
  </si>
  <si>
    <t>0.5084745762711864</t>
  </si>
  <si>
    <t>0.3898305084745763</t>
  </si>
  <si>
    <t>-0.4067796610169491</t>
  </si>
  <si>
    <t>261</t>
  </si>
  <si>
    <t>b'\xf0\x9f\x92\xa2'</t>
  </si>
  <si>
    <t>💢</t>
  </si>
  <si>
    <t xml:space="preserve"> Anger Symbol </t>
  </si>
  <si>
    <t>0.2711864406779661</t>
  </si>
  <si>
    <t>0.3559322033898305</t>
  </si>
  <si>
    <t>0.3728813559322034</t>
  </si>
  <si>
    <t>b'\xe2\xac\x87'</t>
  </si>
  <si>
    <t>⬇</t>
  </si>
  <si>
    <t xml:space="preserve"> Down Arrow </t>
  </si>
  <si>
    <t>0.2542372881355932</t>
  </si>
  <si>
    <t>0.13559322033898308</t>
  </si>
  <si>
    <t>263</t>
  </si>
  <si>
    <t>b'\xf0\x9f\x90\xa5'</t>
  </si>
  <si>
    <t>🐥</t>
  </si>
  <si>
    <t xml:space="preserve"> Front-Facing Baby Chick </t>
  </si>
  <si>
    <t>0.25862068965517243</t>
  </si>
  <si>
    <t>0.3448275862068966</t>
  </si>
  <si>
    <t>0.3965517241379311</t>
  </si>
  <si>
    <t>0.13793103448275862</t>
  </si>
  <si>
    <t>b'\xf0\x9f\x92\x8d'</t>
  </si>
  <si>
    <t>💍</t>
  </si>
  <si>
    <t xml:space="preserve"> Ring </t>
  </si>
  <si>
    <t>0.2857142857142857</t>
  </si>
  <si>
    <t>0.16071428571428573</t>
  </si>
  <si>
    <t>0.5535714285714286</t>
  </si>
  <si>
    <t>0.2678571428571429</t>
  </si>
  <si>
    <t>265</t>
  </si>
  <si>
    <t>b'\xf0\x9f\x94\xb1'</t>
  </si>
  <si>
    <t>🔱</t>
  </si>
  <si>
    <t xml:space="preserve"> Trident Emblem </t>
  </si>
  <si>
    <t>0.08928571428571429</t>
  </si>
  <si>
    <t>0.5357142857142857</t>
  </si>
  <si>
    <t>266</t>
  </si>
  <si>
    <t>b'\xf0\x9f\x87\xb9'</t>
  </si>
  <si>
    <t>🇹</t>
  </si>
  <si>
    <t xml:space="preserve"> Regional Indicator Symbol Letter T </t>
  </si>
  <si>
    <t>0.26785714285714285</t>
  </si>
  <si>
    <t>0.44642857142857145</t>
  </si>
  <si>
    <t>0.1785714285714286</t>
  </si>
  <si>
    <t>267</t>
  </si>
  <si>
    <t>b'\xe2\x9a\xab'</t>
  </si>
  <si>
    <t>⚫</t>
  </si>
  <si>
    <t xml:space="preserve"> Black Circle </t>
  </si>
  <si>
    <t>0.5818181818181818</t>
  </si>
  <si>
    <t>0.16363636363636366</t>
  </si>
  <si>
    <t>-0.09090909090909087</t>
  </si>
  <si>
    <t>b'\xe2\x8f\xb1'</t>
  </si>
  <si>
    <t>⏱</t>
  </si>
  <si>
    <t xml:space="preserve"> Stopwatch </t>
  </si>
  <si>
    <t>0.8181818181818182</t>
  </si>
  <si>
    <t>269</t>
  </si>
  <si>
    <t>b'\xf0\x9f\x93\xa9'</t>
  </si>
  <si>
    <t>📩</t>
  </si>
  <si>
    <t xml:space="preserve"> Envelope With Arrow </t>
  </si>
  <si>
    <t>0.1851851851851852</t>
  </si>
  <si>
    <t>0.2962962962962963</t>
  </si>
  <si>
    <t>270</t>
  </si>
  <si>
    <t>b'\xf0\x9f\x8c\x8f'</t>
  </si>
  <si>
    <t>🌏</t>
  </si>
  <si>
    <t xml:space="preserve"> Globe Showing Asia-Australia </t>
  </si>
  <si>
    <t>0.4074074074074074</t>
  </si>
  <si>
    <t>0.2222222222222222</t>
  </si>
  <si>
    <t>-0.14814814814814814</t>
  </si>
  <si>
    <t>271</t>
  </si>
  <si>
    <t>b'\xf0\x9f\x91\x81'</t>
  </si>
  <si>
    <t>👁</t>
  </si>
  <si>
    <t xml:space="preserve"> Eye </t>
  </si>
  <si>
    <t>0.3333333333333333</t>
  </si>
  <si>
    <t>-0.037037037037037035</t>
  </si>
  <si>
    <t>272</t>
  </si>
  <si>
    <t>b'\xf0\x9f\x94\xbb'</t>
  </si>
  <si>
    <t>🔻</t>
  </si>
  <si>
    <t xml:space="preserve"> Red Triangle Pointed Down </t>
  </si>
  <si>
    <t>0.2037037037037037</t>
  </si>
  <si>
    <t>0.6481481481481481</t>
  </si>
  <si>
    <t>0.14814814814814814</t>
  </si>
  <si>
    <t>-0.05555555555555555</t>
  </si>
  <si>
    <t>273</t>
  </si>
  <si>
    <t>b'\xf0\x9f\x93\xb8'</t>
  </si>
  <si>
    <t>📸</t>
  </si>
  <si>
    <t xml:space="preserve"> Camera With Flash </t>
  </si>
  <si>
    <t>0.11320754716981132</t>
  </si>
  <si>
    <t>0.5471698113207547</t>
  </si>
  <si>
    <t>0.33962264150943394</t>
  </si>
  <si>
    <t>0.22641509433962265</t>
  </si>
  <si>
    <t>274</t>
  </si>
  <si>
    <t>b'\xf0\x9f\x93\xa2'</t>
  </si>
  <si>
    <t>📢</t>
  </si>
  <si>
    <t xml:space="preserve"> Loudspeaker </t>
  </si>
  <si>
    <t>0.18867924528301888</t>
  </si>
  <si>
    <t>0.6415094339622641</t>
  </si>
  <si>
    <t>0.16981132075471694</t>
  </si>
  <si>
    <t>-0.01886792452830191</t>
  </si>
  <si>
    <t>b'\xf0\x9f\x9a\xa9'</t>
  </si>
  <si>
    <t>🚩</t>
  </si>
  <si>
    <t xml:space="preserve"> Triangular Flag </t>
  </si>
  <si>
    <t>0.17307692307692307</t>
  </si>
  <si>
    <t>0.5384615384615384</t>
  </si>
  <si>
    <t>0.28846153846153844</t>
  </si>
  <si>
    <t>0.11538461538461535</t>
  </si>
  <si>
    <t>276</t>
  </si>
  <si>
    <t>b'\xf0\x9f\x8e\xa7'</t>
  </si>
  <si>
    <t>🎧</t>
  </si>
  <si>
    <t xml:space="preserve"> Headphone </t>
  </si>
  <si>
    <t>0.5961538461538461</t>
  </si>
  <si>
    <t>0.3461538461538461</t>
  </si>
  <si>
    <t>b'\xf0\x9f\x87\xaf\xf0\x9f\x87\xb4'</t>
  </si>
  <si>
    <t>🇯🇴</t>
  </si>
  <si>
    <t xml:space="preserve"> Jordan </t>
  </si>
  <si>
    <t>0.0196078431372549</t>
  </si>
  <si>
    <t>0.6470588235294118</t>
  </si>
  <si>
    <t>0.3137254901960785</t>
  </si>
  <si>
    <t>b'\xf0\x9f\x94\xb6'</t>
  </si>
  <si>
    <t>🔶</t>
  </si>
  <si>
    <t xml:space="preserve"> Large Orange Diamond </t>
  </si>
  <si>
    <t>0.2352941176470588</t>
  </si>
  <si>
    <t>0.6078431372549019</t>
  </si>
  <si>
    <t>0.1568627450980392</t>
  </si>
  <si>
    <t>-0.0784313725490196</t>
  </si>
  <si>
    <t>279</t>
  </si>
  <si>
    <t>b'\xf0\x9f\x92\xb8'</t>
  </si>
  <si>
    <t>💸</t>
  </si>
  <si>
    <t xml:space="preserve"> Money With Wings </t>
  </si>
  <si>
    <t>0.4117647058823529</t>
  </si>
  <si>
    <t>0.21568627450980396</t>
  </si>
  <si>
    <t>0.3725490196078432</t>
  </si>
  <si>
    <t>-0.039215686274509776</t>
  </si>
  <si>
    <t>b'\xf0\x9f\x8d\xb0'</t>
  </si>
  <si>
    <t>🍰</t>
  </si>
  <si>
    <t xml:space="preserve"> Shortcake </t>
  </si>
  <si>
    <t>0.24</t>
  </si>
  <si>
    <t>0.58</t>
  </si>
  <si>
    <t>281</t>
  </si>
  <si>
    <t>b'\xf0\x9f\x8c\xb5'</t>
  </si>
  <si>
    <t>🌵</t>
  </si>
  <si>
    <t xml:space="preserve"> Cactus </t>
  </si>
  <si>
    <t>0.32653061224489793</t>
  </si>
  <si>
    <t>0.3877551020408163</t>
  </si>
  <si>
    <t>0.06122448979591837</t>
  </si>
  <si>
    <t>282</t>
  </si>
  <si>
    <t>b'\xf0\x9f\x8e\x97'</t>
  </si>
  <si>
    <t>🎗</t>
  </si>
  <si>
    <t xml:space="preserve"> Reminder Ribbon </t>
  </si>
  <si>
    <t>0.08333333333333333</t>
  </si>
  <si>
    <t>0.2708333333333333</t>
  </si>
  <si>
    <t>0.6458333333333334</t>
  </si>
  <si>
    <t>283</t>
  </si>
  <si>
    <t>b'\xf0\x9f\x92\x85'</t>
  </si>
  <si>
    <t>💅</t>
  </si>
  <si>
    <t xml:space="preserve"> Nail Polish </t>
  </si>
  <si>
    <t>0.3541666666666667</t>
  </si>
  <si>
    <t>0.4791666666666667</t>
  </si>
  <si>
    <t>0.125</t>
  </si>
  <si>
    <t>b'\xf0\x9f\x97\x93'</t>
  </si>
  <si>
    <t>🗓</t>
  </si>
  <si>
    <t xml:space="preserve"> Spiral Calendar </t>
  </si>
  <si>
    <t>0.14583333333333334</t>
  </si>
  <si>
    <t>0.7083333333333334</t>
  </si>
  <si>
    <t>285</t>
  </si>
  <si>
    <t>b'\xf0\x9f\x94\x81'</t>
  </si>
  <si>
    <t>🔁</t>
  </si>
  <si>
    <t xml:space="preserve"> Repeat Button </t>
  </si>
  <si>
    <t>0.1875</t>
  </si>
  <si>
    <t>0.14583333333333331</t>
  </si>
  <si>
    <t>b'\xf0\x9f\x8e\x99'</t>
  </si>
  <si>
    <t>🎙</t>
  </si>
  <si>
    <t xml:space="preserve"> Studio Microphone </t>
  </si>
  <si>
    <t>0.10416666666666667</t>
  </si>
  <si>
    <t>0.20833333333333331</t>
  </si>
  <si>
    <t>287</t>
  </si>
  <si>
    <t>b'\xf0\x9f\x98\xa6'</t>
  </si>
  <si>
    <t>😦</t>
  </si>
  <si>
    <t xml:space="preserve"> Frowning Face With Open Mouth </t>
  </si>
  <si>
    <t>0.8085106382978723</t>
  </si>
  <si>
    <t>0.1276595744680851</t>
  </si>
  <si>
    <t>-0.7446808510638298</t>
  </si>
  <si>
    <t>288</t>
  </si>
  <si>
    <t>b'\xf0\x9f\x8c\xa8'</t>
  </si>
  <si>
    <t>🌨</t>
  </si>
  <si>
    <t xml:space="preserve"> Cloud With Snow </t>
  </si>
  <si>
    <t>0.14893617021276595</t>
  </si>
  <si>
    <t>0.7659574468085106</t>
  </si>
  <si>
    <t>0.6170212765957447</t>
  </si>
  <si>
    <t>b'\xe2\x9b\x85'</t>
  </si>
  <si>
    <t>⛅</t>
  </si>
  <si>
    <t xml:space="preserve"> Sun Behind Cloud </t>
  </si>
  <si>
    <t>0.23404255319148934</t>
  </si>
  <si>
    <t>0.7021276595744681</t>
  </si>
  <si>
    <t>0.6382978723404256</t>
  </si>
  <si>
    <t>290</t>
  </si>
  <si>
    <t>b'\xe3\x80\xb0'</t>
  </si>
  <si>
    <t>〰</t>
  </si>
  <si>
    <t xml:space="preserve"> Wavy Dash </t>
  </si>
  <si>
    <t>0.10638297872340426</t>
  </si>
  <si>
    <t>0.5957446808510638</t>
  </si>
  <si>
    <t>0.2978723404255319</t>
  </si>
  <si>
    <t>0.1914893617021277</t>
  </si>
  <si>
    <t>b'\xe2\x9c\x96'</t>
  </si>
  <si>
    <t>✖</t>
  </si>
  <si>
    <t xml:space="preserve"> Heavy Multiplication X </t>
  </si>
  <si>
    <t>0.6808510638297872</t>
  </si>
  <si>
    <t>-0.10638297872340426</t>
  </si>
  <si>
    <t>292</t>
  </si>
  <si>
    <t>b'\xf0\x9f\x8d\xaf'</t>
  </si>
  <si>
    <t>🍯</t>
  </si>
  <si>
    <t xml:space="preserve"> Honey Pot </t>
  </si>
  <si>
    <t>0.21276595744680848</t>
  </si>
  <si>
    <t>293</t>
  </si>
  <si>
    <t>b'\xf0\x9f\x8c\x8e'</t>
  </si>
  <si>
    <t>🌎</t>
  </si>
  <si>
    <t xml:space="preserve"> Globe Showing Americas </t>
  </si>
  <si>
    <t>0.39130434782608703</t>
  </si>
  <si>
    <t>0.32608695652173914</t>
  </si>
  <si>
    <t>0.2826086956521739</t>
  </si>
  <si>
    <t>-0.10869565217391307</t>
  </si>
  <si>
    <t>294</t>
  </si>
  <si>
    <t>b'\xf0\x9f\x9b\x91'</t>
  </si>
  <si>
    <t>🛑</t>
  </si>
  <si>
    <t xml:space="preserve"> Stop Sign </t>
  </si>
  <si>
    <t>0.3043478260869565</t>
  </si>
  <si>
    <t>0.4130434782608696</t>
  </si>
  <si>
    <t>-0.02173913043478265</t>
  </si>
  <si>
    <t>b'\xf0\x9f\xa4\x99'</t>
  </si>
  <si>
    <t>🤙</t>
  </si>
  <si>
    <t xml:space="preserve"> Call Me Hand </t>
  </si>
  <si>
    <t>0.2391304347826087</t>
  </si>
  <si>
    <t>0.15217391304347827</t>
  </si>
  <si>
    <t>0.6086956521739131</t>
  </si>
  <si>
    <t>0.3695652173913044</t>
  </si>
  <si>
    <t>b'\xf0\x9f\x95\x8c'</t>
  </si>
  <si>
    <t>🕌</t>
  </si>
  <si>
    <t xml:space="preserve"> Mosque </t>
  </si>
  <si>
    <t>0.3555555555555556</t>
  </si>
  <si>
    <t>0.2888888888888889</t>
  </si>
  <si>
    <t>b'\xf0\x9f\x8c\x8a'</t>
  </si>
  <si>
    <t>🌊</t>
  </si>
  <si>
    <t xml:space="preserve"> Water Wave </t>
  </si>
  <si>
    <t>0.3111111111111111</t>
  </si>
  <si>
    <t>0.4666666666666666</t>
  </si>
  <si>
    <t>b'\xf0\x9f\x93\xb7'</t>
  </si>
  <si>
    <t>📷</t>
  </si>
  <si>
    <t xml:space="preserve"> Camera </t>
  </si>
  <si>
    <t>0.5555555555555556</t>
  </si>
  <si>
    <t>299</t>
  </si>
  <si>
    <t>b'\xf0\x9f\x93\xa3'</t>
  </si>
  <si>
    <t>📣</t>
  </si>
  <si>
    <t xml:space="preserve"> Megaphone </t>
  </si>
  <si>
    <t>0.4888888888888889</t>
  </si>
  <si>
    <t>-0.06666666666666665</t>
  </si>
  <si>
    <t>b'\xf0\x9f\x8e\x87'</t>
  </si>
  <si>
    <t>🎇</t>
  </si>
  <si>
    <t xml:space="preserve"> Sparkler </t>
  </si>
  <si>
    <t>0.4545454545454545</t>
  </si>
  <si>
    <t>301</t>
  </si>
  <si>
    <t>b'\xf0\x9f\x92\xa4'</t>
  </si>
  <si>
    <t>💤</t>
  </si>
  <si>
    <t xml:space="preserve"> Zzz </t>
  </si>
  <si>
    <t>0.11363636363636365</t>
  </si>
  <si>
    <t>0.18181818181818185</t>
  </si>
  <si>
    <t>0.7045454545454546</t>
  </si>
  <si>
    <t>0.5909090909090909</t>
  </si>
  <si>
    <t>b'\xf0\x9f\x92\x8a'</t>
  </si>
  <si>
    <t>💊</t>
  </si>
  <si>
    <t xml:space="preserve"> Pill </t>
  </si>
  <si>
    <t>0.2727272727272727</t>
  </si>
  <si>
    <t>0.20454545454545456</t>
  </si>
  <si>
    <t>0.5227272727272727</t>
  </si>
  <si>
    <t>b'\xf0\x9f\x9a\xac'</t>
  </si>
  <si>
    <t>🚬</t>
  </si>
  <si>
    <t xml:space="preserve"> Cigarette </t>
  </si>
  <si>
    <t>304</t>
  </si>
  <si>
    <t>b'\xf0\x9f\xa5\x87'</t>
  </si>
  <si>
    <t>🥇</t>
  </si>
  <si>
    <t xml:space="preserve"> 1St Place Medal </t>
  </si>
  <si>
    <t>0.2790697674418605</t>
  </si>
  <si>
    <t>0.4651162790697674</t>
  </si>
  <si>
    <t>0.18604651162790695</t>
  </si>
  <si>
    <t>b'\xf0\x9f\x93\x96'</t>
  </si>
  <si>
    <t>📖</t>
  </si>
  <si>
    <t xml:space="preserve"> Open Book </t>
  </si>
  <si>
    <t>0.09302325581395347</t>
  </si>
  <si>
    <t>0.627906976744186</t>
  </si>
  <si>
    <t>0.5348837209302326</t>
  </si>
  <si>
    <t>306</t>
  </si>
  <si>
    <t>b'\xf0\x9f\xa4\xa1'</t>
  </si>
  <si>
    <t>🤡</t>
  </si>
  <si>
    <t xml:space="preserve"> Clown Face </t>
  </si>
  <si>
    <t>0.6046511627906976</t>
  </si>
  <si>
    <t>0.20930232558139536</t>
  </si>
  <si>
    <t>-0.41860465116279066</t>
  </si>
  <si>
    <t>307</t>
  </si>
  <si>
    <t>b'\xe2\x96\xaa'</t>
  </si>
  <si>
    <t>▪</t>
  </si>
  <si>
    <t xml:space="preserve"> Black Small Square </t>
  </si>
  <si>
    <t>0.5581395348837209</t>
  </si>
  <si>
    <t>-0.06976744186046513</t>
  </si>
  <si>
    <t>308</t>
  </si>
  <si>
    <t>b'\xf0\x9f\x92\xae'</t>
  </si>
  <si>
    <t>💮</t>
  </si>
  <si>
    <t xml:space="preserve"> White Flower </t>
  </si>
  <si>
    <t>0.02325581395348837</t>
  </si>
  <si>
    <t>0.5116279069767442</t>
  </si>
  <si>
    <t>0.4883720930232559</t>
  </si>
  <si>
    <t>b'\xf0\x9f\x94\x84'</t>
  </si>
  <si>
    <t>🔄</t>
  </si>
  <si>
    <t xml:space="preserve"> Counterclockwise Arrows Button </t>
  </si>
  <si>
    <t>0.047619047619047616</t>
  </si>
  <si>
    <t>0.2619047619047619</t>
  </si>
  <si>
    <t>0.2142857142857143</t>
  </si>
  <si>
    <t>310</t>
  </si>
  <si>
    <t>b'\xf0\x9f\x87\xb0'</t>
  </si>
  <si>
    <t>🇰</t>
  </si>
  <si>
    <t xml:space="preserve"> Regional Indicator Symbol Letter K </t>
  </si>
  <si>
    <t>0.35714285714285715</t>
  </si>
  <si>
    <t>0.5476190476190477</t>
  </si>
  <si>
    <t>0.4523809523809525</t>
  </si>
  <si>
    <t>b'\xe2\xa4\xb5'</t>
  </si>
  <si>
    <t>⤵</t>
  </si>
  <si>
    <t xml:space="preserve"> Right Arrow Curving Down </t>
  </si>
  <si>
    <t>0.19047619047619047</t>
  </si>
  <si>
    <t>0.4523809523809524</t>
  </si>
  <si>
    <t>0.16666666666666669</t>
  </si>
  <si>
    <t>312</t>
  </si>
  <si>
    <t>b'\xf0\x9f\x8e\x8b'</t>
  </si>
  <si>
    <t>🎋</t>
  </si>
  <si>
    <t xml:space="preserve"> Tanabata Tree </t>
  </si>
  <si>
    <t>0.0975609756097561</t>
  </si>
  <si>
    <t>0.3902439024390244</t>
  </si>
  <si>
    <t>0.5121951219512195</t>
  </si>
  <si>
    <t>0.41463414634146345</t>
  </si>
  <si>
    <t>b'\xf0\x9f\x87\xb1\xf0\x9f\x87\xbe'</t>
  </si>
  <si>
    <t>🇱🇾</t>
  </si>
  <si>
    <t xml:space="preserve"> Libya </t>
  </si>
  <si>
    <t>0.8292682926829268</t>
  </si>
  <si>
    <t>0.024390243902439032</t>
  </si>
  <si>
    <t>b'\xf0\x9f\x92\x91'</t>
  </si>
  <si>
    <t>💑</t>
  </si>
  <si>
    <t xml:space="preserve"> Couple With Heart </t>
  </si>
  <si>
    <t>Human Activity</t>
  </si>
  <si>
    <t>0.12195121951219512</t>
  </si>
  <si>
    <t>0.2926829268292683</t>
  </si>
  <si>
    <t>0.5853658536585366</t>
  </si>
  <si>
    <t>0.4634146341463414</t>
  </si>
  <si>
    <t>315</t>
  </si>
  <si>
    <t>b'\xe2\x9c\x92'</t>
  </si>
  <si>
    <t>✒</t>
  </si>
  <si>
    <t xml:space="preserve"> Black Nib </t>
  </si>
  <si>
    <t>0.17073170731707318</t>
  </si>
  <si>
    <t>0.4390243902439024</t>
  </si>
  <si>
    <t>0.2682926829268293</t>
  </si>
  <si>
    <t>316</t>
  </si>
  <si>
    <t>b'\xf0\x9f\x96\xa5'</t>
  </si>
  <si>
    <t>🖥</t>
  </si>
  <si>
    <t xml:space="preserve"> Desktop Computer </t>
  </si>
  <si>
    <t>0.025</t>
  </si>
  <si>
    <t>0.95</t>
  </si>
  <si>
    <t>317</t>
  </si>
  <si>
    <t>b'\xf0\x9f\x92\xa0'</t>
  </si>
  <si>
    <t>💠</t>
  </si>
  <si>
    <t xml:space="preserve"> Diamond With A Dot </t>
  </si>
  <si>
    <t>0.525</t>
  </si>
  <si>
    <t>0.45</t>
  </si>
  <si>
    <t>0.425</t>
  </si>
  <si>
    <t>b'\xe2\x96\xab'</t>
  </si>
  <si>
    <t>▫</t>
  </si>
  <si>
    <t xml:space="preserve"> White Small Square </t>
  </si>
  <si>
    <t>0.575</t>
  </si>
  <si>
    <t>0.225</t>
  </si>
  <si>
    <t>0.024999999999999998</t>
  </si>
  <si>
    <t>319</t>
  </si>
  <si>
    <t>b'\xf0\x9f\x98\xbe'</t>
  </si>
  <si>
    <t>😾</t>
  </si>
  <si>
    <t xml:space="preserve"> Pouting Cat Face </t>
  </si>
  <si>
    <t>0.7</t>
  </si>
  <si>
    <t>0.075</t>
  </si>
  <si>
    <t>-0.475</t>
  </si>
  <si>
    <t>320</t>
  </si>
  <si>
    <t>b'\xf0\x9f\x92\xa7'</t>
  </si>
  <si>
    <t>💧</t>
  </si>
  <si>
    <t xml:space="preserve"> Droplet </t>
  </si>
  <si>
    <t>0.175</t>
  </si>
  <si>
    <t>0.325</t>
  </si>
  <si>
    <t>321</t>
  </si>
  <si>
    <t>b'\xf0\x9f\x98\xbc'</t>
  </si>
  <si>
    <t>😼</t>
  </si>
  <si>
    <t xml:space="preserve"> Cat Face With Wry Smile </t>
  </si>
  <si>
    <t>-0.675</t>
  </si>
  <si>
    <t>322</t>
  </si>
  <si>
    <t>b'\xf0\x9f\x87\xb1\xf0\x9f\x87\xa7'</t>
  </si>
  <si>
    <t>🇱🇧</t>
  </si>
  <si>
    <t xml:space="preserve"> Lebanon </t>
  </si>
  <si>
    <t>0.275</t>
  </si>
  <si>
    <t>323</t>
  </si>
  <si>
    <t>b'\xe2\x9a\x96'</t>
  </si>
  <si>
    <t>⚖</t>
  </si>
  <si>
    <t xml:space="preserve"> Balance Scale </t>
  </si>
  <si>
    <t>0.4473684210526316</t>
  </si>
  <si>
    <t>0.10526315789473684</t>
  </si>
  <si>
    <t>-0.34210526315789475</t>
  </si>
  <si>
    <t>324</t>
  </si>
  <si>
    <t>b'\xf0\x9f\x93\xb9'</t>
  </si>
  <si>
    <t>📹</t>
  </si>
  <si>
    <t xml:space="preserve"> Video Camera </t>
  </si>
  <si>
    <t>0.13157894736842105</t>
  </si>
  <si>
    <t>0.7105263157894737</t>
  </si>
  <si>
    <t>0.02631578947368421</t>
  </si>
  <si>
    <t>b'\xf0\x9f\x94\x98'</t>
  </si>
  <si>
    <t>🔘</t>
  </si>
  <si>
    <t xml:space="preserve"> Radio Button </t>
  </si>
  <si>
    <t>0.5263157894736842</t>
  </si>
  <si>
    <t>b'\xf0\x9f\x94\xb0'</t>
  </si>
  <si>
    <t>🔰</t>
  </si>
  <si>
    <t xml:space="preserve"> Japanese Symbol For Beginner </t>
  </si>
  <si>
    <t>0.21052631578947367</t>
  </si>
  <si>
    <t>327</t>
  </si>
  <si>
    <t>b'\xf0\x9f\x87\xbc'</t>
  </si>
  <si>
    <t>🇼</t>
  </si>
  <si>
    <t xml:space="preserve"> Regional Indicator Symbol Letter W </t>
  </si>
  <si>
    <t>0.3157894736842105</t>
  </si>
  <si>
    <t>0.5789473684210527</t>
  </si>
  <si>
    <t>0.4736842105263158</t>
  </si>
  <si>
    <t>328</t>
  </si>
  <si>
    <t>b'\xe2\x9a\xaa'</t>
  </si>
  <si>
    <t>⚪</t>
  </si>
  <si>
    <t xml:space="preserve"> White Circle </t>
  </si>
  <si>
    <t>0.3684210526315789</t>
  </si>
  <si>
    <t>0.3947368421052632</t>
  </si>
  <si>
    <t>0.15789473684210528</t>
  </si>
  <si>
    <t>b'\xf0\x9f\x87\xb8\xf0\x9f\x87\xaa'</t>
  </si>
  <si>
    <t>🇸🇪</t>
  </si>
  <si>
    <t xml:space="preserve"> Sweden </t>
  </si>
  <si>
    <t>0.8684210526315791</t>
  </si>
  <si>
    <t>-0.07894736842105263</t>
  </si>
  <si>
    <t>330</t>
  </si>
  <si>
    <t>b'\xf0\x9f\x8d\xab'</t>
  </si>
  <si>
    <t>🍫</t>
  </si>
  <si>
    <t xml:space="preserve"> Chocolate Bar </t>
  </si>
  <si>
    <t>0.13513513513513514</t>
  </si>
  <si>
    <t>0.3783783783783784</t>
  </si>
  <si>
    <t>0.4864864864864865</t>
  </si>
  <si>
    <t>0.35135135135135137</t>
  </si>
  <si>
    <t>331</t>
  </si>
  <si>
    <t>b'\xf0\x9f\x95\xba'</t>
  </si>
  <si>
    <t>🕺</t>
  </si>
  <si>
    <t xml:space="preserve"> Man Dancing </t>
  </si>
  <si>
    <t>0.1891891891891892</t>
  </si>
  <si>
    <t>0.21621621621621626</t>
  </si>
  <si>
    <t>0.5945945945945946</t>
  </si>
  <si>
    <t>0.40540540540540543</t>
  </si>
  <si>
    <t>332</t>
  </si>
  <si>
    <t>b'\xf0\x9f\x91\xbf'</t>
  </si>
  <si>
    <t>👿</t>
  </si>
  <si>
    <t xml:space="preserve"> Angry Face With Horns </t>
  </si>
  <si>
    <t>0.8108108108108109</t>
  </si>
  <si>
    <t>0.16216216216216214</t>
  </si>
  <si>
    <t>-0.7837837837837838</t>
  </si>
  <si>
    <t>b'\xf0\x9f\x96\x8b'</t>
  </si>
  <si>
    <t>🖋</t>
  </si>
  <si>
    <t xml:space="preserve"> Fountain Pen </t>
  </si>
  <si>
    <t>0.2702702702702703</t>
  </si>
  <si>
    <t>334</t>
  </si>
  <si>
    <t>b'\xf0\x9f\x94\xa8'</t>
  </si>
  <si>
    <t>🔨</t>
  </si>
  <si>
    <t xml:space="preserve"> Hammer </t>
  </si>
  <si>
    <t>0.2432432432432433</t>
  </si>
  <si>
    <t>-0.21621621621621626</t>
  </si>
  <si>
    <t>335</t>
  </si>
  <si>
    <t>b'\xf0\x9f\x91\xa4'</t>
  </si>
  <si>
    <t>👤</t>
  </si>
  <si>
    <t xml:space="preserve"> Bust In Silhouette </t>
  </si>
  <si>
    <t>0.7222222222222222</t>
  </si>
  <si>
    <t>0.19444444444444445</t>
  </si>
  <si>
    <t>0.11111111111111112</t>
  </si>
  <si>
    <t>336</t>
  </si>
  <si>
    <t>b'\xf0\x9f\x92\xac'</t>
  </si>
  <si>
    <t>💬</t>
  </si>
  <si>
    <t xml:space="preserve"> Speech Balloon </t>
  </si>
  <si>
    <t>0.1388888888888889</t>
  </si>
  <si>
    <t>0.3611111111111111</t>
  </si>
  <si>
    <t>337</t>
  </si>
  <si>
    <t>b'\xe2\x9c\xb3'</t>
  </si>
  <si>
    <t>✳</t>
  </si>
  <si>
    <t xml:space="preserve"> Eight-Spoked Asterisk </t>
  </si>
  <si>
    <t>0.5277777777777778</t>
  </si>
  <si>
    <t>0.3055555555555556</t>
  </si>
  <si>
    <t>0.13888888888888892</t>
  </si>
  <si>
    <t>338</t>
  </si>
  <si>
    <t>b'\xf0\x9f\x8d\x93'</t>
  </si>
  <si>
    <t>🍓</t>
  </si>
  <si>
    <t xml:space="preserve"> Strawberry </t>
  </si>
  <si>
    <t>0.3142857142857143</t>
  </si>
  <si>
    <t>0.17142857142857146</t>
  </si>
  <si>
    <t>339</t>
  </si>
  <si>
    <t>b'\xf0\x9f\x95\x8b'</t>
  </si>
  <si>
    <t>🕋</t>
  </si>
  <si>
    <t xml:space="preserve"> Kaaba </t>
  </si>
  <si>
    <t>340</t>
  </si>
  <si>
    <t>b'\xf0\x9f\x93\xaf'</t>
  </si>
  <si>
    <t>📯</t>
  </si>
  <si>
    <t xml:space="preserve"> Postal Horn </t>
  </si>
  <si>
    <t>0.2571428571428571</t>
  </si>
  <si>
    <t>0.5714285714285714</t>
  </si>
  <si>
    <t>341</t>
  </si>
  <si>
    <t>b'\xe2\x9c\x89'</t>
  </si>
  <si>
    <t>✉</t>
  </si>
  <si>
    <t xml:space="preserve"> Envelope </t>
  </si>
  <si>
    <t>0.4857142857142857</t>
  </si>
  <si>
    <t>0.2285714285714286</t>
  </si>
  <si>
    <t>b'\xe2\x99\xbb'</t>
  </si>
  <si>
    <t>♻</t>
  </si>
  <si>
    <t xml:space="preserve"> Recycling Symbol </t>
  </si>
  <si>
    <t>0.028571428571428567</t>
  </si>
  <si>
    <t>0.3428571428571429</t>
  </si>
  <si>
    <t>b'\xf0\x9f\x99\x89'</t>
  </si>
  <si>
    <t>🙉</t>
  </si>
  <si>
    <t xml:space="preserve"> Hear-No-Evil Monkey </t>
  </si>
  <si>
    <t>-0.17142857142857146</t>
  </si>
  <si>
    <t>b'\xf0\x9f\x87\xb2'</t>
  </si>
  <si>
    <t>🇲</t>
  </si>
  <si>
    <t xml:space="preserve"> Regional Indicator Symbol Letter M </t>
  </si>
  <si>
    <t>0.11428571428571427</t>
  </si>
  <si>
    <t>0.5428571428571428</t>
  </si>
  <si>
    <t>b'\xf0\x9f\x93\x92'</t>
  </si>
  <si>
    <t>📒</t>
  </si>
  <si>
    <t xml:space="preserve"> Ledger </t>
  </si>
  <si>
    <t>0.2647058823529412</t>
  </si>
  <si>
    <t>0.5882352941176471</t>
  </si>
  <si>
    <t>0.14705882352941174</t>
  </si>
  <si>
    <t>-0.1176470588235294</t>
  </si>
  <si>
    <t>346</t>
  </si>
  <si>
    <t>b'\xf0\x9f\x92\x81'</t>
  </si>
  <si>
    <t>💁</t>
  </si>
  <si>
    <t xml:space="preserve"> Person Tipping Hand </t>
  </si>
  <si>
    <t>0.38235294117647056</t>
  </si>
  <si>
    <t>-0.11764705882352945</t>
  </si>
  <si>
    <t>b'\xf0\x9f\x8d\xad'</t>
  </si>
  <si>
    <t>🍭</t>
  </si>
  <si>
    <t xml:space="preserve"> Lollipop </t>
  </si>
  <si>
    <t>0.4705882352941176</t>
  </si>
  <si>
    <t>b'\xe2\x9a\x94'</t>
  </si>
  <si>
    <t>⚔</t>
  </si>
  <si>
    <t xml:space="preserve"> Crossed Swords </t>
  </si>
  <si>
    <t>0.15151515151515152</t>
  </si>
  <si>
    <t>0.4848484848484849</t>
  </si>
  <si>
    <t>0.33333333333333337</t>
  </si>
  <si>
    <t>349</t>
  </si>
  <si>
    <t>b'\xf0\x9f\x87\xa7\xf0\x9f\x87\xb7'</t>
  </si>
  <si>
    <t>🇧🇷</t>
  </si>
  <si>
    <t xml:space="preserve"> Brazil </t>
  </si>
  <si>
    <t>350</t>
  </si>
  <si>
    <t>b'\xe2\x98\x84'</t>
  </si>
  <si>
    <t>☄</t>
  </si>
  <si>
    <t xml:space="preserve"> Comet </t>
  </si>
  <si>
    <t>0.42424242424242425</t>
  </si>
  <si>
    <t>0.21212121212121213</t>
  </si>
  <si>
    <t>-0.21212121212121213</t>
  </si>
  <si>
    <t>b'\xf0\x9f\x8d\xa5'</t>
  </si>
  <si>
    <t>🍥</t>
  </si>
  <si>
    <t xml:space="preserve"> Fish Cake With Swirl </t>
  </si>
  <si>
    <t>0.030303030303030307</t>
  </si>
  <si>
    <t>0.6060606060606061</t>
  </si>
  <si>
    <t>0.5757575757575758</t>
  </si>
  <si>
    <t>352</t>
  </si>
  <si>
    <t>b'\xf0\x9f\x87\xbe'</t>
  </si>
  <si>
    <t>🇾</t>
  </si>
  <si>
    <t xml:space="preserve"> Regional Indicator Symbol Letter Y </t>
  </si>
  <si>
    <t>0.4242424242424243</t>
  </si>
  <si>
    <t>353</t>
  </si>
  <si>
    <t>b'\xf0\x9f\x92\xa8'</t>
  </si>
  <si>
    <t>💨</t>
  </si>
  <si>
    <t xml:space="preserve"> Dashing Away </t>
  </si>
  <si>
    <t>0.24242424242424246</t>
  </si>
  <si>
    <t>354</t>
  </si>
  <si>
    <t>b'\xf0\x9f\x94\xb7'</t>
  </si>
  <si>
    <t>🔷</t>
  </si>
  <si>
    <t xml:space="preserve"> Large Blue Diamond </t>
  </si>
  <si>
    <t>0.53125</t>
  </si>
  <si>
    <t>-0.03125</t>
  </si>
  <si>
    <t>355</t>
  </si>
  <si>
    <t>b'\xf0\x9f\x91\xae'</t>
  </si>
  <si>
    <t>👮</t>
  </si>
  <si>
    <t xml:space="preserve"> Police Officer </t>
  </si>
  <si>
    <t>0.34375</t>
  </si>
  <si>
    <t>0.40625</t>
  </si>
  <si>
    <t>b'\xf0\x9f\x94\xab'</t>
  </si>
  <si>
    <t>🔫</t>
  </si>
  <si>
    <t xml:space="preserve"> Pistol </t>
  </si>
  <si>
    <t>-0.4375</t>
  </si>
  <si>
    <t>357</t>
  </si>
  <si>
    <t>b'\xf0\x9f\x8d\x94'</t>
  </si>
  <si>
    <t>🍔</t>
  </si>
  <si>
    <t xml:space="preserve"> Hamburger </t>
  </si>
  <si>
    <t>0.3125</t>
  </si>
  <si>
    <t>-0.15625</t>
  </si>
  <si>
    <t>b'\xf0\x9f\x87\xb4'</t>
  </si>
  <si>
    <t>🇴</t>
  </si>
  <si>
    <t xml:space="preserve"> Regional Indicator Symbol Letter O </t>
  </si>
  <si>
    <t>0.06451612903225806</t>
  </si>
  <si>
    <t>0.5483870967741935</t>
  </si>
  <si>
    <t>0.3870967741935484</t>
  </si>
  <si>
    <t>0.3225806451612903</t>
  </si>
  <si>
    <t>359</t>
  </si>
  <si>
    <t>b'\xf0\x9f\x91\xb0'</t>
  </si>
  <si>
    <t>👰</t>
  </si>
  <si>
    <t xml:space="preserve"> Bride With Veil </t>
  </si>
  <si>
    <t>0.25806451612903225</t>
  </si>
  <si>
    <t>0.6129032258064516</t>
  </si>
  <si>
    <t>0.4838709677419355</t>
  </si>
  <si>
    <t>b'\xf0\x9f\x90\xac'</t>
  </si>
  <si>
    <t>🐬</t>
  </si>
  <si>
    <t xml:space="preserve"> Dolphin </t>
  </si>
  <si>
    <t>0.8387096774193549</t>
  </si>
  <si>
    <t>0.0967741935483871</t>
  </si>
  <si>
    <t>361</t>
  </si>
  <si>
    <t>b'\xf0\x9f\x8f\xb9'</t>
  </si>
  <si>
    <t>🏹</t>
  </si>
  <si>
    <t xml:space="preserve"> Bow And Arrow </t>
  </si>
  <si>
    <t>0.16129032258064516</t>
  </si>
  <si>
    <t>0.5806451612903226</t>
  </si>
  <si>
    <t>0.4193548387096775</t>
  </si>
  <si>
    <t>362</t>
  </si>
  <si>
    <t>b'\xf0\x9f\x92\xa9'</t>
  </si>
  <si>
    <t>💩</t>
  </si>
  <si>
    <t xml:space="preserve"> Pile Of Poo </t>
  </si>
  <si>
    <t>0.8709677419354839</t>
  </si>
  <si>
    <t>-0.8387096774193549</t>
  </si>
  <si>
    <t>363</t>
  </si>
  <si>
    <t>b'\xf0\x9f\x91\xb6'</t>
  </si>
  <si>
    <t>👶</t>
  </si>
  <si>
    <t xml:space="preserve"> Baby </t>
  </si>
  <si>
    <t>0.2903225806451613</t>
  </si>
  <si>
    <t>364</t>
  </si>
  <si>
    <t>b'\xf0\x9f\x93\x86'</t>
  </si>
  <si>
    <t>📆</t>
  </si>
  <si>
    <t xml:space="preserve"> Tear-Off Calendar </t>
  </si>
  <si>
    <t>0.12903225806451615</t>
  </si>
  <si>
    <t>365</t>
  </si>
  <si>
    <t>b'\xf0\x9f\x8d\x8e'</t>
  </si>
  <si>
    <t>🍎</t>
  </si>
  <si>
    <t xml:space="preserve"> Red Apple </t>
  </si>
  <si>
    <t>0.26666666666666666</t>
  </si>
  <si>
    <t>0.36666666666666653</t>
  </si>
  <si>
    <t>0.09999999999999998</t>
  </si>
  <si>
    <t>b'\xf0\x9f\xa4\x98'</t>
  </si>
  <si>
    <t>🤘</t>
  </si>
  <si>
    <t xml:space="preserve"> Sign Of The Horns </t>
  </si>
  <si>
    <t>b'\xf0\x9f\x94\x86'</t>
  </si>
  <si>
    <t>🔆</t>
  </si>
  <si>
    <t xml:space="preserve"> Bright Button </t>
  </si>
  <si>
    <t>b'\xf0\x9f\x94\x90'</t>
  </si>
  <si>
    <t>🔐</t>
  </si>
  <si>
    <t xml:space="preserve"> Locked With Key </t>
  </si>
  <si>
    <t>0.5666666666666667</t>
  </si>
  <si>
    <t>0.033333333333333326</t>
  </si>
  <si>
    <t>b'\xf0\x9f\x87\xb8\xf0\x9f\x87\xa9'</t>
  </si>
  <si>
    <t>🇸🇩</t>
  </si>
  <si>
    <t xml:space="preserve"> Sudan </t>
  </si>
  <si>
    <t>0.43333333333333335</t>
  </si>
  <si>
    <t>-0.033333333333333326</t>
  </si>
  <si>
    <t>370</t>
  </si>
  <si>
    <t>b'\xf0\x9f\x8f\xb5'</t>
  </si>
  <si>
    <t>🏵</t>
  </si>
  <si>
    <t xml:space="preserve"> Rosette </t>
  </si>
  <si>
    <t>0.6333333333333333</t>
  </si>
  <si>
    <t>371</t>
  </si>
  <si>
    <t>b'\xf0\x9f\x87\xae\xf0\x9f\x87\xaa'</t>
  </si>
  <si>
    <t>🇮🇪</t>
  </si>
  <si>
    <t xml:space="preserve"> Ireland </t>
  </si>
  <si>
    <t>0.03333333333333333</t>
  </si>
  <si>
    <t>0.3</t>
  </si>
  <si>
    <t>b'\xf0\x9f\x92\x86'</t>
  </si>
  <si>
    <t>💆</t>
  </si>
  <si>
    <t xml:space="preserve"> Person Getting Massage </t>
  </si>
  <si>
    <t>373</t>
  </si>
  <si>
    <t>b'\xf0\x9f\x8d\xaa'</t>
  </si>
  <si>
    <t>🍪</t>
  </si>
  <si>
    <t xml:space="preserve"> Cookie </t>
  </si>
  <si>
    <t>0.5333333333333333</t>
  </si>
  <si>
    <t>b'\xf0\x9f\x8e\xa9'</t>
  </si>
  <si>
    <t>🎩</t>
  </si>
  <si>
    <t xml:space="preserve"> Top Hat </t>
  </si>
  <si>
    <t>0.20689655172413796</t>
  </si>
  <si>
    <t>0.4482758620689655</t>
  </si>
  <si>
    <t>0.13793103448275865</t>
  </si>
  <si>
    <t>375</t>
  </si>
  <si>
    <t>b'\xf0\x9f\x90\x8d'</t>
  </si>
  <si>
    <t>🐍</t>
  </si>
  <si>
    <t xml:space="preserve"> Snake </t>
  </si>
  <si>
    <t>0.7241379310344828</t>
  </si>
  <si>
    <t>0.06896551724137931</t>
  </si>
  <si>
    <t>-0.6551724137931034</t>
  </si>
  <si>
    <t>b'\xf0\x9f\x87\xb5'</t>
  </si>
  <si>
    <t>🇵</t>
  </si>
  <si>
    <t xml:space="preserve"> Regional Indicator Symbol Letter P </t>
  </si>
  <si>
    <t>-0.3793103448275862</t>
  </si>
  <si>
    <t>377</t>
  </si>
  <si>
    <t>b'\xf0\x9f\x97\xa8'</t>
  </si>
  <si>
    <t>🗨</t>
  </si>
  <si>
    <t xml:space="preserve"> Left Speech Bubble </t>
  </si>
  <si>
    <t>0.5172413793103449</t>
  </si>
  <si>
    <t>-0.206896551724138</t>
  </si>
  <si>
    <t>378</t>
  </si>
  <si>
    <t>b'\xf0\x9f\x9b\xb5'</t>
  </si>
  <si>
    <t>0⃣</t>
  </si>
  <si>
    <t xml:space="preserve"> Keycap Digit Zero </t>
  </si>
  <si>
    <t>0.03448275862068965</t>
  </si>
  <si>
    <t>0.8620689655172413</t>
  </si>
  <si>
    <t>0.10344827586206896</t>
  </si>
  <si>
    <t>b'\xf0\x9f\x8d\xba'</t>
  </si>
  <si>
    <t>🍺</t>
  </si>
  <si>
    <t xml:space="preserve"> Beer Mug </t>
  </si>
  <si>
    <t>0.2413793103448276</t>
  </si>
  <si>
    <t>0.27586206896551724</t>
  </si>
  <si>
    <t>b'\xf0\x9f\x91\x82'</t>
  </si>
  <si>
    <t>👂</t>
  </si>
  <si>
    <t xml:space="preserve"> Ear </t>
  </si>
  <si>
    <t>-0.1724137931034483</t>
  </si>
  <si>
    <t>381</t>
  </si>
  <si>
    <t>b'\xf0\x9f\x94\x99'</t>
  </si>
  <si>
    <t>🔙</t>
  </si>
  <si>
    <t xml:space="preserve"> Back Arrow </t>
  </si>
  <si>
    <t>0.6896551724137931</t>
  </si>
  <si>
    <t>-0.2413793103448276</t>
  </si>
  <si>
    <t>382</t>
  </si>
  <si>
    <t>b'\xf0\x9f\x8d\xac'</t>
  </si>
  <si>
    <t>🍬</t>
  </si>
  <si>
    <t xml:space="preserve"> Candy </t>
  </si>
  <si>
    <t>0.3793103448275862</t>
  </si>
  <si>
    <t>0.4137931034482759</t>
  </si>
  <si>
    <t>383</t>
  </si>
  <si>
    <t>b'\xf0\x9f\x91\xab'</t>
  </si>
  <si>
    <t>👫</t>
  </si>
  <si>
    <t xml:space="preserve"> Man And Woman Holding Hands </t>
  </si>
  <si>
    <t>0.42857142857142855</t>
  </si>
  <si>
    <t>b'\xf0\x9f\x94\xbd'</t>
  </si>
  <si>
    <t>🔽</t>
  </si>
  <si>
    <t xml:space="preserve"> Downwards Button </t>
  </si>
  <si>
    <t>0.6071428571428571</t>
  </si>
  <si>
    <t>0.17857142857142858</t>
  </si>
  <si>
    <t>-0.4285714285714285</t>
  </si>
  <si>
    <t>385</t>
  </si>
  <si>
    <t>b'\xf0\x9f\x8e\xac'</t>
  </si>
  <si>
    <t>🎬</t>
  </si>
  <si>
    <t xml:space="preserve"> Clapper Board </t>
  </si>
  <si>
    <t>0.0714285714285714</t>
  </si>
  <si>
    <t>386</t>
  </si>
  <si>
    <t>b'\xe2\x8c\x9a'</t>
  </si>
  <si>
    <t>⌚</t>
  </si>
  <si>
    <t xml:space="preserve"> Watch </t>
  </si>
  <si>
    <t>b'\xf0\x9f\x94\x83'</t>
  </si>
  <si>
    <t>🔃</t>
  </si>
  <si>
    <t xml:space="preserve"> Clockwise Vertical Arrows </t>
  </si>
  <si>
    <t>388</t>
  </si>
  <si>
    <t>b'\xf0\x9f\x8d\xa9'</t>
  </si>
  <si>
    <t>🍩</t>
  </si>
  <si>
    <t xml:space="preserve"> Doughnut </t>
  </si>
  <si>
    <t>0.3928571428571429</t>
  </si>
  <si>
    <t>389</t>
  </si>
  <si>
    <t>b'\xf0\x9f\x8d\xa8'</t>
  </si>
  <si>
    <t>🍨</t>
  </si>
  <si>
    <t xml:space="preserve"> Ice Cream </t>
  </si>
  <si>
    <t>b'\xf0\x9f\x87\xa8\xf0\x9f\x87\xae'</t>
  </si>
  <si>
    <t>🇨🇮</t>
  </si>
  <si>
    <t xml:space="preserve"> Côte D’Ivoire </t>
  </si>
  <si>
    <t>0.8928571428571429</t>
  </si>
  <si>
    <t>0.03571428571428571</t>
  </si>
  <si>
    <t>-0.03571428571428571</t>
  </si>
  <si>
    <t>b'\xf0\x9f\x94\x9e'</t>
  </si>
  <si>
    <t>🔞</t>
  </si>
  <si>
    <t xml:space="preserve"> No One Under Eighteen </t>
  </si>
  <si>
    <t>0.6296296296296297</t>
  </si>
  <si>
    <t>0.037037037037037035</t>
  </si>
  <si>
    <t>-0.5925925925925926</t>
  </si>
  <si>
    <t>392</t>
  </si>
  <si>
    <t>b'\xf0\x9f\x8d\x91'</t>
  </si>
  <si>
    <t>🍑</t>
  </si>
  <si>
    <t xml:space="preserve"> Peach </t>
  </si>
  <si>
    <t>0.07407407407407407</t>
  </si>
  <si>
    <t>-0.18518518518518526</t>
  </si>
  <si>
    <t>393</t>
  </si>
  <si>
    <t>b'\xf0\x9f\x8c\x8c'</t>
  </si>
  <si>
    <t>🌌</t>
  </si>
  <si>
    <t xml:space="preserve"> Milky Way </t>
  </si>
  <si>
    <t>0.4444444444444444</t>
  </si>
  <si>
    <t>b'\xf0\x9f\xa6\x85'</t>
  </si>
  <si>
    <t>🦅</t>
  </si>
  <si>
    <t xml:space="preserve"> Eagle </t>
  </si>
  <si>
    <t>0.5925925925925926</t>
  </si>
  <si>
    <t>b'\xf0\x9f\x8d\x87'</t>
  </si>
  <si>
    <t>🍇</t>
  </si>
  <si>
    <t xml:space="preserve"> Grapes </t>
  </si>
  <si>
    <t>396</t>
  </si>
  <si>
    <t>b'\xf0\x9f\x8d\x9f'</t>
  </si>
  <si>
    <t>🍟</t>
  </si>
  <si>
    <t xml:space="preserve"> French Fries </t>
  </si>
  <si>
    <t>-0.1111111111111111</t>
  </si>
  <si>
    <t>397</t>
  </si>
  <si>
    <t>b'\xf0\x9f\x87\xb8\xf0\x9f\x87\xbe'</t>
  </si>
  <si>
    <t>🇸🇾</t>
  </si>
  <si>
    <t xml:space="preserve"> Syria </t>
  </si>
  <si>
    <t>0.25925925925925924</t>
  </si>
  <si>
    <t>398</t>
  </si>
  <si>
    <t>b'\xf0\x9f\x9a\x97'</t>
  </si>
  <si>
    <t>🚗</t>
  </si>
  <si>
    <t xml:space="preserve"> Automobile </t>
  </si>
  <si>
    <t>b'\xf0\x9f\x8e\xb8'</t>
  </si>
  <si>
    <t>🎸</t>
  </si>
  <si>
    <t xml:space="preserve"> Guitar </t>
  </si>
  <si>
    <t>0.07692307692307693</t>
  </si>
  <si>
    <t>0.6153846153846154</t>
  </si>
  <si>
    <t>0.5384615384615385</t>
  </si>
  <si>
    <t>b'\xf0\x9f\x91\xa7'</t>
  </si>
  <si>
    <t>👧</t>
  </si>
  <si>
    <t xml:space="preserve"> Girl </t>
  </si>
  <si>
    <t>0.2692307692307692</t>
  </si>
  <si>
    <t>0.4615384615384616</t>
  </si>
  <si>
    <t>0.19230769230769235</t>
  </si>
  <si>
    <t>401</t>
  </si>
  <si>
    <t>b'\xe2\x8f\xb3'</t>
  </si>
  <si>
    <t>⏳</t>
  </si>
  <si>
    <t xml:space="preserve"> Hourglass Not Done </t>
  </si>
  <si>
    <t>0.19230769230769232</t>
  </si>
  <si>
    <t>0.0769230769230769</t>
  </si>
  <si>
    <t>402</t>
  </si>
  <si>
    <t>b'\xf0\x9f\x8c\xb3'</t>
  </si>
  <si>
    <t>🌳</t>
  </si>
  <si>
    <t xml:space="preserve"> Deciduous Tree </t>
  </si>
  <si>
    <t>b'\xf0\x9f\x93\x8a'</t>
  </si>
  <si>
    <t>📊</t>
  </si>
  <si>
    <t xml:space="preserve"> Bar Chart </t>
  </si>
  <si>
    <t>0.8461538461538461</t>
  </si>
  <si>
    <t>404</t>
  </si>
  <si>
    <t>b'\xf0\x9f\x90\x95'</t>
  </si>
  <si>
    <t>🐕</t>
  </si>
  <si>
    <t xml:space="preserve"> Dog </t>
  </si>
  <si>
    <t>0.8846153846153846</t>
  </si>
  <si>
    <t>-0.8461538461538461</t>
  </si>
  <si>
    <t>405</t>
  </si>
  <si>
    <t>b'\xf0\x9f\x90\x9d'</t>
  </si>
  <si>
    <t>🐝</t>
  </si>
  <si>
    <t xml:space="preserve"> Honeybee </t>
  </si>
  <si>
    <t>0.08</t>
  </si>
  <si>
    <t>0.64</t>
  </si>
  <si>
    <t>b'\xf0\x9f\x90\x8e'</t>
  </si>
  <si>
    <t>🐎</t>
  </si>
  <si>
    <t xml:space="preserve"> Horse </t>
  </si>
  <si>
    <t>0.12</t>
  </si>
  <si>
    <t>0.32</t>
  </si>
  <si>
    <t>0.56</t>
  </si>
  <si>
    <t>0.4400000000000001</t>
  </si>
  <si>
    <t>b'\xf0\x9f\xa6\x81'</t>
  </si>
  <si>
    <t>🦁</t>
  </si>
  <si>
    <t xml:space="preserve"> Lion Face </t>
  </si>
  <si>
    <t>b'\xf0\x9f\x8f\xa1'</t>
  </si>
  <si>
    <t>🏡</t>
  </si>
  <si>
    <t xml:space="preserve"> House With Garden </t>
  </si>
  <si>
    <t>0.44</t>
  </si>
  <si>
    <t>-0.08000000000000003</t>
  </si>
  <si>
    <t>409</t>
  </si>
  <si>
    <t>b'\xf0\x9f\x87\xb7\xf0\x9f\x87\xba'</t>
  </si>
  <si>
    <t>🇷🇺</t>
  </si>
  <si>
    <t xml:space="preserve"> Russia </t>
  </si>
  <si>
    <t>410</t>
  </si>
  <si>
    <t>b'\xf0\x9f\x8f\x81'</t>
  </si>
  <si>
    <t>🏁</t>
  </si>
  <si>
    <t xml:space="preserve"> Chequered Flag </t>
  </si>
  <si>
    <t>b'\xf0\x9f\x91\xb8'</t>
  </si>
  <si>
    <t>👸</t>
  </si>
  <si>
    <t xml:space="preserve"> Princess </t>
  </si>
  <si>
    <t>0.16</t>
  </si>
  <si>
    <t>0.72</t>
  </si>
  <si>
    <t>0.5599999999999999</t>
  </si>
  <si>
    <t>412</t>
  </si>
  <si>
    <t>b'\xf0\x9f\x99\x85'</t>
  </si>
  <si>
    <t>🙅</t>
  </si>
  <si>
    <t xml:space="preserve"> Person Gesturing No </t>
  </si>
  <si>
    <t>-0.31999999999999995</t>
  </si>
  <si>
    <t>b'\xf0\x9f\x87\xac'</t>
  </si>
  <si>
    <t>🇬</t>
  </si>
  <si>
    <t xml:space="preserve"> Regional Indicator Symbol Letter G </t>
  </si>
  <si>
    <t>0.52</t>
  </si>
  <si>
    <t>b'\xf0\x9f\x90\xbe'</t>
  </si>
  <si>
    <t>🐾</t>
  </si>
  <si>
    <t xml:space="preserve"> Paw Prints </t>
  </si>
  <si>
    <t>0.12000000000000002</t>
  </si>
  <si>
    <t>b'\xf0\x9f\x92\x89'</t>
  </si>
  <si>
    <t>💉</t>
  </si>
  <si>
    <t xml:space="preserve"> Syringe </t>
  </si>
  <si>
    <t>0.36</t>
  </si>
  <si>
    <t>-0.24</t>
  </si>
  <si>
    <t>b'\xf0\x9f\x8f\xa0'</t>
  </si>
  <si>
    <t>🏠</t>
  </si>
  <si>
    <t xml:space="preserve"> House </t>
  </si>
  <si>
    <t>0.2916666666666667</t>
  </si>
  <si>
    <t>0.4583333333333333</t>
  </si>
  <si>
    <t>-0.041666666666666685</t>
  </si>
  <si>
    <t>417</t>
  </si>
  <si>
    <t>b'\xf0\x9f\x8d\xa7'</t>
  </si>
  <si>
    <t>🍧</t>
  </si>
  <si>
    <t xml:space="preserve"> Shaved Ice </t>
  </si>
  <si>
    <t>0.5416666666666666</t>
  </si>
  <si>
    <t>0.2083333333333333</t>
  </si>
  <si>
    <t>418</t>
  </si>
  <si>
    <t>b'\xf0\x9f\x95\x92'</t>
  </si>
  <si>
    <t>🕒</t>
  </si>
  <si>
    <t xml:space="preserve"> Three O’Clock </t>
  </si>
  <si>
    <t>0.04166666666666666</t>
  </si>
  <si>
    <t>0.875</t>
  </si>
  <si>
    <t>419</t>
  </si>
  <si>
    <t>b'\xf0\x9f\x93\xa1'</t>
  </si>
  <si>
    <t>📡</t>
  </si>
  <si>
    <t xml:space="preserve"> Satellite Antenna </t>
  </si>
  <si>
    <t>0.7916666666666666</t>
  </si>
  <si>
    <t>0.04166666666666667</t>
  </si>
  <si>
    <t>420</t>
  </si>
  <si>
    <t>b'\xf0\x9f\x9a\xa8'</t>
  </si>
  <si>
    <t>🚨</t>
  </si>
  <si>
    <t xml:space="preserve"> Police Car Light </t>
  </si>
  <si>
    <t>421</t>
  </si>
  <si>
    <t>b'\xf0\x9f\x8c\x95'</t>
  </si>
  <si>
    <t>🌕</t>
  </si>
  <si>
    <t xml:space="preserve"> Full Moon </t>
  </si>
  <si>
    <t>b'\xf0\x9f\x8d\x86'</t>
  </si>
  <si>
    <t>🍆</t>
  </si>
  <si>
    <t xml:space="preserve"> Eggplant </t>
  </si>
  <si>
    <t>423</t>
  </si>
  <si>
    <t>b'\xf0\x9f\x95\xaf'</t>
  </si>
  <si>
    <t>🕯</t>
  </si>
  <si>
    <t xml:space="preserve"> Candle </t>
  </si>
  <si>
    <t>0.43478260869565216</t>
  </si>
  <si>
    <t>424</t>
  </si>
  <si>
    <t>b'\xf0\x9f\x93\xae'</t>
  </si>
  <si>
    <t>📮</t>
  </si>
  <si>
    <t xml:space="preserve"> Postbox </t>
  </si>
  <si>
    <t>0.043478260869565216</t>
  </si>
  <si>
    <t>425</t>
  </si>
  <si>
    <t>b'\xf0\x9f\x93\x9c'</t>
  </si>
  <si>
    <t>📜</t>
  </si>
  <si>
    <t xml:space="preserve"> Scroll </t>
  </si>
  <si>
    <t>0.13043478260869565</t>
  </si>
  <si>
    <t>-0.08695652173913042</t>
  </si>
  <si>
    <t>b'\xf0\x9f\x90\x91'</t>
  </si>
  <si>
    <t>🐑</t>
  </si>
  <si>
    <t xml:space="preserve"> Ewe </t>
  </si>
  <si>
    <t>-0.3478260869565217</t>
  </si>
  <si>
    <t>b'\xf0\x9f\x87\xa6\xf0\x9f\x87\xba'</t>
  </si>
  <si>
    <t>🇦🇺</t>
  </si>
  <si>
    <t xml:space="preserve"> Australia </t>
  </si>
  <si>
    <t>0.8695652173913043</t>
  </si>
  <si>
    <t>0.08695652173913042</t>
  </si>
  <si>
    <t>428</t>
  </si>
  <si>
    <t>b'\xf0\x9f\x95\xb3'</t>
  </si>
  <si>
    <t>🕳</t>
  </si>
  <si>
    <t xml:space="preserve"> Hole </t>
  </si>
  <si>
    <t>0.9130434782608696</t>
  </si>
  <si>
    <t>429</t>
  </si>
  <si>
    <t>b'\xe2\x9c\xb4'</t>
  </si>
  <si>
    <t>✴</t>
  </si>
  <si>
    <t xml:space="preserve"> Eight-Pointed Star </t>
  </si>
  <si>
    <t>0.4782608695652174</t>
  </si>
  <si>
    <t>0.08695652173913046</t>
  </si>
  <si>
    <t>430</t>
  </si>
  <si>
    <t>b'\xf0\x9f\x90\xb4'</t>
  </si>
  <si>
    <t>🐴</t>
  </si>
  <si>
    <t xml:space="preserve"> Horse Face </t>
  </si>
  <si>
    <t>0.4090909090909091</t>
  </si>
  <si>
    <t>b'\xf0\x9f\x93\xb2'</t>
  </si>
  <si>
    <t>📲</t>
  </si>
  <si>
    <t xml:space="preserve"> Mobile Phone With Arrow </t>
  </si>
  <si>
    <t>0.6818181818181818</t>
  </si>
  <si>
    <t>0.2272727272727273</t>
  </si>
  <si>
    <t>0.13636363636363635</t>
  </si>
  <si>
    <t>b'\xe2\x8f\xb9'</t>
  </si>
  <si>
    <t>⏹</t>
  </si>
  <si>
    <t xml:space="preserve"> Stop Button </t>
  </si>
  <si>
    <t>0.9090909090909092</t>
  </si>
  <si>
    <t>b'\xf0\x9f\x90\xaa'</t>
  </si>
  <si>
    <t>🐪</t>
  </si>
  <si>
    <t xml:space="preserve"> Camel </t>
  </si>
  <si>
    <t>0.09090909090909087</t>
  </si>
  <si>
    <t>434</t>
  </si>
  <si>
    <t>b'\xf0\x9f\x8e\x86'</t>
  </si>
  <si>
    <t>🎆</t>
  </si>
  <si>
    <t xml:space="preserve"> Fireworks </t>
  </si>
  <si>
    <t>0.7727272727272728</t>
  </si>
  <si>
    <t>b'\xf0\x9f\x93\x85'</t>
  </si>
  <si>
    <t>📅</t>
  </si>
  <si>
    <t xml:space="preserve"> Calendar </t>
  </si>
  <si>
    <t>0.7272727272727273</t>
  </si>
  <si>
    <t>-0.09090909090909093</t>
  </si>
  <si>
    <t>b'\xf0\x9f\x93\x9e'</t>
  </si>
  <si>
    <t>📞</t>
  </si>
  <si>
    <t xml:space="preserve"> Telephone Receiver </t>
  </si>
  <si>
    <t>b'\xf0\x9f\x94\x96'</t>
  </si>
  <si>
    <t>🔖</t>
  </si>
  <si>
    <t xml:space="preserve"> Bookmark </t>
  </si>
  <si>
    <t>0.8636363636363636</t>
  </si>
  <si>
    <t>-0.045454545454545456</t>
  </si>
  <si>
    <t>438</t>
  </si>
  <si>
    <t>b'\xf0\x9f\x93\xa8'</t>
  </si>
  <si>
    <t>📨</t>
  </si>
  <si>
    <t xml:space="preserve"> Incoming Envelope </t>
  </si>
  <si>
    <t>0.1363636363636364</t>
  </si>
  <si>
    <t>439</t>
  </si>
  <si>
    <t>b'\xf0\x9f\x87\xac\xf0\x9f\x87\xad'</t>
  </si>
  <si>
    <t>🇬🇭</t>
  </si>
  <si>
    <t xml:space="preserve"> Ghana </t>
  </si>
  <si>
    <t>440</t>
  </si>
  <si>
    <t>b'\xf0\x9f\x97\xa3'</t>
  </si>
  <si>
    <t>🗣</t>
  </si>
  <si>
    <t xml:space="preserve"> Speaking Head </t>
  </si>
  <si>
    <t>-0.18181818181818185</t>
  </si>
  <si>
    <t>b'\xf0\x9f\x91\xb9'</t>
  </si>
  <si>
    <t>👹</t>
  </si>
  <si>
    <t xml:space="preserve"> Ogre </t>
  </si>
  <si>
    <t>0.7727272727272727</t>
  </si>
  <si>
    <t>-0.6363636363636364</t>
  </si>
  <si>
    <t>442</t>
  </si>
  <si>
    <t>b'\xf0\x9f\x93\xb0'</t>
  </si>
  <si>
    <t>📰</t>
  </si>
  <si>
    <t xml:space="preserve"> Newspaper </t>
  </si>
  <si>
    <t>443</t>
  </si>
  <si>
    <t>b'\xf0\x9f\x91\xb1'</t>
  </si>
  <si>
    <t>👱</t>
  </si>
  <si>
    <t xml:space="preserve"> Blond-Haired Person </t>
  </si>
  <si>
    <t>0.3809523809523809</t>
  </si>
  <si>
    <t>0.2380952380952381</t>
  </si>
  <si>
    <t>-0.14285714285714285</t>
  </si>
  <si>
    <t>444</t>
  </si>
  <si>
    <t>b'\xe2\x98\xa0'</t>
  </si>
  <si>
    <t>☠</t>
  </si>
  <si>
    <t xml:space="preserve"> Skull And Crossbones </t>
  </si>
  <si>
    <t>-0.2857142857142857</t>
  </si>
  <si>
    <t>b'\xf0\x9f\x93\xac'</t>
  </si>
  <si>
    <t>📬</t>
  </si>
  <si>
    <t xml:space="preserve"> Open Mailbox With Raised Flag </t>
  </si>
  <si>
    <t>0.6190476190476191</t>
  </si>
  <si>
    <t>446</t>
  </si>
  <si>
    <t>b'\xf0\x9f\x8e\xb2'</t>
  </si>
  <si>
    <t>🎲</t>
  </si>
  <si>
    <t xml:space="preserve"> Game Die </t>
  </si>
  <si>
    <t>0.8571428571428571</t>
  </si>
  <si>
    <t>447</t>
  </si>
  <si>
    <t>b'\xf0\x9f\x99\x8d'</t>
  </si>
  <si>
    <t>🙍</t>
  </si>
  <si>
    <t xml:space="preserve"> Person Frowning </t>
  </si>
  <si>
    <t>0.5238095238095238</t>
  </si>
  <si>
    <t>448</t>
  </si>
  <si>
    <t>b'\xf0\x9f\x91\xa6'</t>
  </si>
  <si>
    <t>👦</t>
  </si>
  <si>
    <t xml:space="preserve"> Boy </t>
  </si>
  <si>
    <t>449</t>
  </si>
  <si>
    <t>b'\xf0\x9f\xa5\x81'</t>
  </si>
  <si>
    <t>🥁</t>
  </si>
  <si>
    <t xml:space="preserve"> Drum </t>
  </si>
  <si>
    <t>0.7619047619047619</t>
  </si>
  <si>
    <t>450</t>
  </si>
  <si>
    <t>b'\xf0\x9f\x87\xaa\xf0\x9f\x87\xba'</t>
  </si>
  <si>
    <t>🇪🇺</t>
  </si>
  <si>
    <t xml:space="preserve"> European Union </t>
  </si>
  <si>
    <t>0.9047619047619048</t>
  </si>
  <si>
    <t>451</t>
  </si>
  <si>
    <t>b'\xf0\x9f\x90\x8f'</t>
  </si>
  <si>
    <t>🐏</t>
  </si>
  <si>
    <t xml:space="preserve"> Ram </t>
  </si>
  <si>
    <t>0.7142857142857143</t>
  </si>
  <si>
    <t>-0.5714285714285714</t>
  </si>
  <si>
    <t>452</t>
  </si>
  <si>
    <t>b'\xf0\x9f\x87\xae\xf0\x9f\x87\xb7'</t>
  </si>
  <si>
    <t>🇮🇷</t>
  </si>
  <si>
    <t xml:space="preserve"> Iran </t>
  </si>
  <si>
    <t>-0.2380952380952381</t>
  </si>
  <si>
    <t>453</t>
  </si>
  <si>
    <t>b'\xf0\x9f\x87\xa7\xf0\x9f\x87\xad'</t>
  </si>
  <si>
    <t>🇧🇭</t>
  </si>
  <si>
    <t xml:space="preserve"> Bahrain </t>
  </si>
  <si>
    <t>b'\xf0\x9f\x94\x8a'</t>
  </si>
  <si>
    <t>🔊</t>
  </si>
  <si>
    <t xml:space="preserve"> Speaker High Volume </t>
  </si>
  <si>
    <t>-0.04999999999999999</t>
  </si>
  <si>
    <t>455</t>
  </si>
  <si>
    <t>b'\xf0\x9f\x8d\xa6'</t>
  </si>
  <si>
    <t>🍦</t>
  </si>
  <si>
    <t xml:space="preserve"> Soft Ice Cream </t>
  </si>
  <si>
    <t>456</t>
  </si>
  <si>
    <t>b'\xf0\x9f\x93\x88'</t>
  </si>
  <si>
    <t>📈</t>
  </si>
  <si>
    <t xml:space="preserve"> Chart Increasing </t>
  </si>
  <si>
    <t>b'\xf0\x9f\x91\x93'</t>
  </si>
  <si>
    <t>👓</t>
  </si>
  <si>
    <t xml:space="preserve"> Glasses </t>
  </si>
  <si>
    <t>0.65</t>
  </si>
  <si>
    <t>458</t>
  </si>
  <si>
    <t>b'\xf0\x9f\x91\xb4'</t>
  </si>
  <si>
    <t>👴</t>
  </si>
  <si>
    <t xml:space="preserve"> Old Man </t>
  </si>
  <si>
    <t>b'\xf0\x9f\x97\xa1'</t>
  </si>
  <si>
    <t>🗡</t>
  </si>
  <si>
    <t xml:space="preserve"> Dagger </t>
  </si>
  <si>
    <t>0.55</t>
  </si>
  <si>
    <t>-0.2500000000000001</t>
  </si>
  <si>
    <t>460</t>
  </si>
  <si>
    <t>b'\xf0\x9f\x91\xba'</t>
  </si>
  <si>
    <t>👺</t>
  </si>
  <si>
    <t xml:space="preserve"> Goblin </t>
  </si>
  <si>
    <t>0.85</t>
  </si>
  <si>
    <t>b'\xf0\x9f\x87\xaf\xf0\x9f\x87\xb5'</t>
  </si>
  <si>
    <t>🇯🇵</t>
  </si>
  <si>
    <t xml:space="preserve"> Japan </t>
  </si>
  <si>
    <t>-0.55</t>
  </si>
  <si>
    <t>462</t>
  </si>
  <si>
    <t>b'\xf0\x9f\x8f\x8a'</t>
  </si>
  <si>
    <t>🏊</t>
  </si>
  <si>
    <t xml:space="preserve"> Person Swimming </t>
  </si>
  <si>
    <t>463</t>
  </si>
  <si>
    <t>b'\xf0\x9f\x97\xaf'</t>
  </si>
  <si>
    <t>🗯</t>
  </si>
  <si>
    <t xml:space="preserve"> Right Anger Bubble </t>
  </si>
  <si>
    <t>-0.4</t>
  </si>
  <si>
    <t>b'\xf0\x9f\x91\x84'</t>
  </si>
  <si>
    <t>👄</t>
  </si>
  <si>
    <t xml:space="preserve"> Mouth </t>
  </si>
  <si>
    <t>0.42105263157894735</t>
  </si>
  <si>
    <t>0.05263157894736842</t>
  </si>
  <si>
    <t>465</t>
  </si>
  <si>
    <t>b'\xf0\x9f\x96\x8a'</t>
  </si>
  <si>
    <t>🖊</t>
  </si>
  <si>
    <t xml:space="preserve"> Pen </t>
  </si>
  <si>
    <t>b'\xf0\x9f\xa4\x9e'</t>
  </si>
  <si>
    <t>🤞</t>
  </si>
  <si>
    <t xml:space="preserve"> Crossed Fingers </t>
  </si>
  <si>
    <t>467</t>
  </si>
  <si>
    <t>b'\xf0\x9f\x91\xb3'</t>
  </si>
  <si>
    <t>👳</t>
  </si>
  <si>
    <t xml:space="preserve"> Person Wearing Turban </t>
  </si>
  <si>
    <t>-0.05263157894736842</t>
  </si>
  <si>
    <t>468</t>
  </si>
  <si>
    <t>b'\xf0\x9f\x91\x9e'</t>
  </si>
  <si>
    <t>👞</t>
  </si>
  <si>
    <t xml:space="preserve"> Man’S Shoe </t>
  </si>
  <si>
    <t>0.8421052631578947</t>
  </si>
  <si>
    <t>-0.7368421052631579</t>
  </si>
  <si>
    <t>469</t>
  </si>
  <si>
    <t>b'\xf0\x9f\x8d\x8f'</t>
  </si>
  <si>
    <t>🍏</t>
  </si>
  <si>
    <t xml:space="preserve"> Green Apple </t>
  </si>
  <si>
    <t>b'\xf0\x9f\x94\x82'</t>
  </si>
  <si>
    <t>🔂</t>
  </si>
  <si>
    <t xml:space="preserve"> Repeat Single Button </t>
  </si>
  <si>
    <t>b'\xf0\x9f\x94\x85'</t>
  </si>
  <si>
    <t>🔅</t>
  </si>
  <si>
    <t xml:space="preserve"> Dim Button </t>
  </si>
  <si>
    <t>472</t>
  </si>
  <si>
    <t>b'\xf0\x9f\x8c\xaa'</t>
  </si>
  <si>
    <t>🌪</t>
  </si>
  <si>
    <t xml:space="preserve"> Tornado </t>
  </si>
  <si>
    <t>473</t>
  </si>
  <si>
    <t>b'\xf0\x9f\x8d\xbf'</t>
  </si>
  <si>
    <t>🍿</t>
  </si>
  <si>
    <t xml:space="preserve"> Popcorn </t>
  </si>
  <si>
    <t>b'\xf0\x9f\x91\xb5'</t>
  </si>
  <si>
    <t>👵</t>
  </si>
  <si>
    <t xml:space="preserve"> Old Woman </t>
  </si>
  <si>
    <t>0.2777777777777778</t>
  </si>
  <si>
    <t>-0.16666666666666666</t>
  </si>
  <si>
    <t>b'\xf0\x9f\x8c\x87'</t>
  </si>
  <si>
    <t>🌇</t>
  </si>
  <si>
    <t xml:space="preserve"> Sunset </t>
  </si>
  <si>
    <t>0.3888888888888889</t>
  </si>
  <si>
    <t>476</t>
  </si>
  <si>
    <t>b'\xf0\x9f\x9a\x98'</t>
  </si>
  <si>
    <t>🚘</t>
  </si>
  <si>
    <t xml:space="preserve"> Oncoming Automobile </t>
  </si>
  <si>
    <t>0.055555555555555525</t>
  </si>
  <si>
    <t>477</t>
  </si>
  <si>
    <t>b'\xe2\x9b\xb3'</t>
  </si>
  <si>
    <t>⛳</t>
  </si>
  <si>
    <t xml:space="preserve"> Flag In Hole </t>
  </si>
  <si>
    <t>0.7777777777777778</t>
  </si>
  <si>
    <t>478</t>
  </si>
  <si>
    <t>b'\xf0\x9f\x93\xbf'</t>
  </si>
  <si>
    <t>📿</t>
  </si>
  <si>
    <t xml:space="preserve"> Prayer Beads </t>
  </si>
  <si>
    <t>479</t>
  </si>
  <si>
    <t>b'\xf0\x9f\x96\x87'</t>
  </si>
  <si>
    <t>🖇</t>
  </si>
  <si>
    <t xml:space="preserve"> Linked Paperclips </t>
  </si>
  <si>
    <t>480</t>
  </si>
  <si>
    <t>b'\xf0\x9f\x8e\x96'</t>
  </si>
  <si>
    <t>🎖</t>
  </si>
  <si>
    <t xml:space="preserve"> Military Medal </t>
  </si>
  <si>
    <t>481</t>
  </si>
  <si>
    <t>b'\xf0\x9f\x8e\xa8'</t>
  </si>
  <si>
    <t>🎨</t>
  </si>
  <si>
    <t xml:space="preserve"> Artist Palette </t>
  </si>
  <si>
    <t>0.4444444444444445</t>
  </si>
  <si>
    <t>482</t>
  </si>
  <si>
    <t>b'\xf0\x9f\x8c\x85'</t>
  </si>
  <si>
    <t>🌅</t>
  </si>
  <si>
    <t xml:space="preserve"> Sunrise </t>
  </si>
  <si>
    <t>b'\xf0\x9f\x94\x9c'</t>
  </si>
  <si>
    <t>🔜</t>
  </si>
  <si>
    <t xml:space="preserve"> Soon Arrow </t>
  </si>
  <si>
    <t>0.05555555555555558</t>
  </si>
  <si>
    <t>b'\xe2\x9d\x87'</t>
  </si>
  <si>
    <t>❇</t>
  </si>
  <si>
    <t xml:space="preserve"> Sparkle </t>
  </si>
  <si>
    <t>485</t>
  </si>
  <si>
    <t>b'\xf0\x9f\x87\xb7'</t>
  </si>
  <si>
    <t>🇷</t>
  </si>
  <si>
    <t xml:space="preserve"> Regional Indicator Symbol Letter R </t>
  </si>
  <si>
    <t>-0.2222222222222222</t>
  </si>
  <si>
    <t>486</t>
  </si>
  <si>
    <t>b'\xf0\x9f\x91\xa3'</t>
  </si>
  <si>
    <t>👣</t>
  </si>
  <si>
    <t xml:space="preserve"> Footprints </t>
  </si>
  <si>
    <t>0.6111111111111112</t>
  </si>
  <si>
    <t>-0.33333333333333337</t>
  </si>
  <si>
    <t>487</t>
  </si>
  <si>
    <t>b'\xf0\x9f\x87\xae'</t>
  </si>
  <si>
    <t>🇮</t>
  </si>
  <si>
    <t xml:space="preserve"> Regional Indicator Symbol Letter I </t>
  </si>
  <si>
    <t>0.35294117647058826</t>
  </si>
  <si>
    <t>0.05882352941176466</t>
  </si>
  <si>
    <t>488</t>
  </si>
  <si>
    <t>b'\xf0\x9f\x91\xa1'</t>
  </si>
  <si>
    <t>👡</t>
  </si>
  <si>
    <t xml:space="preserve"> Woman’S Sandal </t>
  </si>
  <si>
    <t>0.7647058823529411</t>
  </si>
  <si>
    <t>0.05882352941176471</t>
  </si>
  <si>
    <t>-0.7058823529411764</t>
  </si>
  <si>
    <t>489</t>
  </si>
  <si>
    <t>b'\xf0\x9f\x8f\xb4'</t>
  </si>
  <si>
    <t>🏴</t>
  </si>
  <si>
    <t xml:space="preserve"> Black Flag </t>
  </si>
  <si>
    <t>0.29411764705882354</t>
  </si>
  <si>
    <t>0.5294117647058824</t>
  </si>
  <si>
    <t>490</t>
  </si>
  <si>
    <t>b'\xe2\x97\xbd'</t>
  </si>
  <si>
    <t>◽</t>
  </si>
  <si>
    <t xml:space="preserve"> White Medium-Small Square </t>
  </si>
  <si>
    <t>491</t>
  </si>
  <si>
    <t>b'\xf0\x9f\x87\xa9\xf0\x9f\x87\xb0'</t>
  </si>
  <si>
    <t>🇩🇰</t>
  </si>
  <si>
    <t xml:space="preserve"> Denmark </t>
  </si>
  <si>
    <t>0.8823529411764706</t>
  </si>
  <si>
    <t>492</t>
  </si>
  <si>
    <t>b'\xf0\x9f\x87\xa6\xf0\x9f\x87\xb7'</t>
  </si>
  <si>
    <t>🇦🇷</t>
  </si>
  <si>
    <t xml:space="preserve"> Argentina </t>
  </si>
  <si>
    <t>b'\xf0\x9f\x93\x95'</t>
  </si>
  <si>
    <t>📕</t>
  </si>
  <si>
    <t xml:space="preserve"> Closed Book </t>
  </si>
  <si>
    <t>494</t>
  </si>
  <si>
    <t>b'\xf0\x9f\x9a\x99'</t>
  </si>
  <si>
    <t>🚙</t>
  </si>
  <si>
    <t xml:space="preserve"> Sport Utility Vehicle </t>
  </si>
  <si>
    <t>495</t>
  </si>
  <si>
    <t>b'\xe2\x84\xa2'</t>
  </si>
  <si>
    <t>™</t>
  </si>
  <si>
    <t xml:space="preserve"> Trade Mark </t>
  </si>
  <si>
    <t>496</t>
  </si>
  <si>
    <t>b'\xf0\x9f\x8d\xbc'</t>
  </si>
  <si>
    <t>🍼</t>
  </si>
  <si>
    <t xml:space="preserve"> Baby Bottle </t>
  </si>
  <si>
    <t>-0.058823529411764726</t>
  </si>
  <si>
    <t>497</t>
  </si>
  <si>
    <t>b'\xf0\x9f\x8d\x97'</t>
  </si>
  <si>
    <t>🍗</t>
  </si>
  <si>
    <t xml:space="preserve"> Poultry Leg </t>
  </si>
  <si>
    <t>0.2941176470588235</t>
  </si>
  <si>
    <t>498</t>
  </si>
  <si>
    <t>b'\xf0\x9f\x8d\xb7'</t>
  </si>
  <si>
    <t>🍷</t>
  </si>
  <si>
    <t xml:space="preserve"> Wine Glass </t>
  </si>
  <si>
    <t>0.11764705882352937</t>
  </si>
  <si>
    <t>499</t>
  </si>
  <si>
    <t>b'\xf0\x9f\x91\xa5'</t>
  </si>
  <si>
    <t>👥</t>
  </si>
  <si>
    <t xml:space="preserve"> Busts In Silhouette </t>
  </si>
  <si>
    <t>500</t>
  </si>
  <si>
    <t>b'\xf0\x9f\x91\xad'</t>
  </si>
  <si>
    <t>👭</t>
  </si>
  <si>
    <t xml:space="preserve"> Two Women Holding Hands </t>
  </si>
  <si>
    <t>501</t>
  </si>
  <si>
    <t>b'\xf0\x9f\x90\x88'</t>
  </si>
  <si>
    <t>🐈</t>
  </si>
  <si>
    <t xml:space="preserve"> Cat </t>
  </si>
  <si>
    <t>502</t>
  </si>
  <si>
    <t>b'\xf0\x9f\x90\xb0'</t>
  </si>
  <si>
    <t>🐰</t>
  </si>
  <si>
    <t xml:space="preserve"> Rabbit Face </t>
  </si>
  <si>
    <t>0.3529411764705882</t>
  </si>
  <si>
    <t>503</t>
  </si>
  <si>
    <t>b'\xf0\x9f\x90\xb6'</t>
  </si>
  <si>
    <t>🐶</t>
  </si>
  <si>
    <t xml:space="preserve"> Dog Face </t>
  </si>
  <si>
    <t>-0.11764705882352937</t>
  </si>
  <si>
    <t>504</t>
  </si>
  <si>
    <t>b'\xf0\x9f\xa4\x91'</t>
  </si>
  <si>
    <t>🤑</t>
  </si>
  <si>
    <t xml:space="preserve"> Money-Mouth Face </t>
  </si>
  <si>
    <t>-0.0625</t>
  </si>
  <si>
    <t>505</t>
  </si>
  <si>
    <t>b'\xf0\x9f\x93\xbb'</t>
  </si>
  <si>
    <t>📻</t>
  </si>
  <si>
    <t xml:space="preserve"> Radio </t>
  </si>
  <si>
    <t>0.4375</t>
  </si>
  <si>
    <t>-0.3125</t>
  </si>
  <si>
    <t>506</t>
  </si>
  <si>
    <t>b'\xf0\x9f\x9b\x8e'</t>
  </si>
  <si>
    <t>🛎</t>
  </si>
  <si>
    <t xml:space="preserve"> Bellhop Bell </t>
  </si>
  <si>
    <t>507</t>
  </si>
  <si>
    <t>b'\xf0\x9f\x94\x91'</t>
  </si>
  <si>
    <t>🔑</t>
  </si>
  <si>
    <t xml:space="preserve"> Key </t>
  </si>
  <si>
    <t>b'\xf0\x9f\x90\xa6'</t>
  </si>
  <si>
    <t>🐦</t>
  </si>
  <si>
    <t xml:space="preserve"> Bird </t>
  </si>
  <si>
    <t>509</t>
  </si>
  <si>
    <t>b'\xf0\x9f\xa4\xa0'</t>
  </si>
  <si>
    <t>🤠</t>
  </si>
  <si>
    <t xml:space="preserve"> Cowboy Hat Face </t>
  </si>
  <si>
    <t>0.8125</t>
  </si>
  <si>
    <t>510</t>
  </si>
  <si>
    <t>b'\xf0\x9f\x92\xbb'</t>
  </si>
  <si>
    <t>💻</t>
  </si>
  <si>
    <t xml:space="preserve"> Laptop Computer </t>
  </si>
  <si>
    <t>511</t>
  </si>
  <si>
    <t>b'\xf0\x9f\x8d\xb3'</t>
  </si>
  <si>
    <t>🍳</t>
  </si>
  <si>
    <t xml:space="preserve"> Cooking </t>
  </si>
  <si>
    <t>512</t>
  </si>
  <si>
    <t>b'\xf0\x9f\x96\x8c'</t>
  </si>
  <si>
    <t>🖌</t>
  </si>
  <si>
    <t xml:space="preserve"> Paintbrush </t>
  </si>
  <si>
    <t>513</t>
  </si>
  <si>
    <t>b'\xf0\x9f\x93\xb5'</t>
  </si>
  <si>
    <t>📵</t>
  </si>
  <si>
    <t xml:space="preserve"> No Mobile Phones </t>
  </si>
  <si>
    <t>-0.5625</t>
  </si>
  <si>
    <t>514</t>
  </si>
  <si>
    <t>b'\xf0\x9f\x87\xb6'</t>
  </si>
  <si>
    <t>🇶</t>
  </si>
  <si>
    <t xml:space="preserve"> Regional Indicator Symbol Letter Q </t>
  </si>
  <si>
    <t>515</t>
  </si>
  <si>
    <t>b'\xf0\x9f\x85\xb0'</t>
  </si>
  <si>
    <t>🅰</t>
  </si>
  <si>
    <t xml:space="preserve"> A Button (Blood Type) </t>
  </si>
  <si>
    <t>516</t>
  </si>
  <si>
    <t>b'\xf0\x9f\x87\xb3'</t>
  </si>
  <si>
    <t>🇳</t>
  </si>
  <si>
    <t xml:space="preserve"> Regional Indicator Symbol Letter N </t>
  </si>
  <si>
    <t>517</t>
  </si>
  <si>
    <t>b'\xe2\x86\xa9'</t>
  </si>
  <si>
    <t>↩</t>
  </si>
  <si>
    <t xml:space="preserve"> Right Arrow Curving Left </t>
  </si>
  <si>
    <t>518</t>
  </si>
  <si>
    <t>b'\xe2\x98\xa3'</t>
  </si>
  <si>
    <t>☣</t>
  </si>
  <si>
    <t xml:space="preserve"> Biohazard </t>
  </si>
  <si>
    <t>b'\xf0\x9f\x8d\xb9'</t>
  </si>
  <si>
    <t>🍹</t>
  </si>
  <si>
    <t xml:space="preserve"> Tropical Drink </t>
  </si>
  <si>
    <t>520</t>
  </si>
  <si>
    <t>b'\xf0\x9f\x95\x9b'</t>
  </si>
  <si>
    <t>🕛</t>
  </si>
  <si>
    <t xml:space="preserve"> Twelve O’Clock </t>
  </si>
  <si>
    <t>521</t>
  </si>
  <si>
    <t>b'\xf0\x9f\x8d\x8c'</t>
  </si>
  <si>
    <t>🍌</t>
  </si>
  <si>
    <t xml:space="preserve"> Banana </t>
  </si>
  <si>
    <t>522</t>
  </si>
  <si>
    <t>b'\xf0\x9f\x8f\x85'</t>
  </si>
  <si>
    <t>🏅</t>
  </si>
  <si>
    <t xml:space="preserve"> Sports Medal </t>
  </si>
  <si>
    <t>b'\xe2\x9e\xbf'</t>
  </si>
  <si>
    <t>➿</t>
  </si>
  <si>
    <t xml:space="preserve"> Double Curly Loop </t>
  </si>
  <si>
    <t>524</t>
  </si>
  <si>
    <t>b'\xf0\x9f\x87\xa7'</t>
  </si>
  <si>
    <t>🇧</t>
  </si>
  <si>
    <t xml:space="preserve"> Regional Indicator Symbol Letter B </t>
  </si>
  <si>
    <t>525</t>
  </si>
  <si>
    <t>b'\xe2\x97\xbe'</t>
  </si>
  <si>
    <t>◾</t>
  </si>
  <si>
    <t xml:space="preserve"> Black Medium-Small Square </t>
  </si>
  <si>
    <t>-0.375</t>
  </si>
  <si>
    <t>526</t>
  </si>
  <si>
    <t>b'\xf0\x9f\x8f\xb3'</t>
  </si>
  <si>
    <t>🏳</t>
  </si>
  <si>
    <t xml:space="preserve"> White Flag </t>
  </si>
  <si>
    <t>b'\xf0\x9f\x9b\x8c'</t>
  </si>
  <si>
    <t>🛌</t>
  </si>
  <si>
    <t xml:space="preserve"> Person In Bed </t>
  </si>
  <si>
    <t>528</t>
  </si>
  <si>
    <t>b'\xf0\x9f\x87\xb8\xf0\x9f\x87\xb3'</t>
  </si>
  <si>
    <t>🇸🇳</t>
  </si>
  <si>
    <t xml:space="preserve"> Senegal </t>
  </si>
  <si>
    <t>529</t>
  </si>
  <si>
    <t>b'\xf0\x9f\x94\x87'</t>
  </si>
  <si>
    <t>🔇</t>
  </si>
  <si>
    <t xml:space="preserve"> Muted Speaker </t>
  </si>
  <si>
    <t>-0.13333333333333333</t>
  </si>
  <si>
    <t>530</t>
  </si>
  <si>
    <t>b'\xf0\x9f\x8e\x84'</t>
  </si>
  <si>
    <t>🎄</t>
  </si>
  <si>
    <t xml:space="preserve"> Christmas Tree </t>
  </si>
  <si>
    <t>0.7333333333333334</t>
  </si>
  <si>
    <t>b'\xf0\x9f\x90\xbc'</t>
  </si>
  <si>
    <t>🐼</t>
  </si>
  <si>
    <t xml:space="preserve"> Panda Face </t>
  </si>
  <si>
    <t>532</t>
  </si>
  <si>
    <t>b'\xf0\x9f\x99\x80'</t>
  </si>
  <si>
    <t>🙀</t>
  </si>
  <si>
    <t xml:space="preserve"> Weary Cat Face </t>
  </si>
  <si>
    <t>0.06666666666666665</t>
  </si>
  <si>
    <t>b'\xf0\x9f\x8d\x96'</t>
  </si>
  <si>
    <t>🍖</t>
  </si>
  <si>
    <t xml:space="preserve"> Meat On Bone </t>
  </si>
  <si>
    <t>534</t>
  </si>
  <si>
    <t>b'\xf0\x9f\x8d\xae'</t>
  </si>
  <si>
    <t>🍮</t>
  </si>
  <si>
    <t xml:space="preserve"> Custard </t>
  </si>
  <si>
    <t>b'\xe2\x97\x80'</t>
  </si>
  <si>
    <t>◀</t>
  </si>
  <si>
    <t xml:space="preserve"> Reverse Button </t>
  </si>
  <si>
    <t>-0.13333333333333336</t>
  </si>
  <si>
    <t>b'\xf0\x9f\x93\x8b'</t>
  </si>
  <si>
    <t>📋</t>
  </si>
  <si>
    <t xml:space="preserve"> Clipboard </t>
  </si>
  <si>
    <t>537</t>
  </si>
  <si>
    <t>b'\xf0\x9f\x87\xb3\xf0\x9f\x87\xac'</t>
  </si>
  <si>
    <t>🇳🇬</t>
  </si>
  <si>
    <t xml:space="preserve"> Nigeria </t>
  </si>
  <si>
    <t>0.8666666666666667</t>
  </si>
  <si>
    <t>b'\xf0\x9f\x87\xb5\xf0\x9f\x87\xb1'</t>
  </si>
  <si>
    <t>🇵🇱</t>
  </si>
  <si>
    <t xml:space="preserve"> Poland </t>
  </si>
  <si>
    <t>539</t>
  </si>
  <si>
    <t>b'\xf0\x9f\x87\xb5\xf0\x9f\x87\xb9'</t>
  </si>
  <si>
    <t>🇵🇹</t>
  </si>
  <si>
    <t xml:space="preserve"> Portugal </t>
  </si>
  <si>
    <t>b'\xf0\x9f\x91\x97'</t>
  </si>
  <si>
    <t>👗</t>
  </si>
  <si>
    <t xml:space="preserve"> Dress </t>
  </si>
  <si>
    <t>541</t>
  </si>
  <si>
    <t>b'\xf0\x9f\x92\xb3'</t>
  </si>
  <si>
    <t>💳</t>
  </si>
  <si>
    <t xml:space="preserve"> Credit Card </t>
  </si>
  <si>
    <t>542</t>
  </si>
  <si>
    <t>b'\xf0\x9f\x9a\x91'</t>
  </si>
  <si>
    <t>🚑</t>
  </si>
  <si>
    <t xml:space="preserve"> Ambulance </t>
  </si>
  <si>
    <t>-0.06666666666666668</t>
  </si>
  <si>
    <t>543</t>
  </si>
  <si>
    <t>b'\xf0\x9f\xa5\x97'</t>
  </si>
  <si>
    <t>🥗</t>
  </si>
  <si>
    <t xml:space="preserve"> Green Salad </t>
  </si>
  <si>
    <t>544</t>
  </si>
  <si>
    <t>b'\xf0\x9f\x8c\xad'</t>
  </si>
  <si>
    <t>🌭</t>
  </si>
  <si>
    <t xml:space="preserve"> Hot Dog </t>
  </si>
  <si>
    <t>-0.3571428571428571</t>
  </si>
  <si>
    <t>545</t>
  </si>
  <si>
    <t>b'\xf0\x9f\x91\xa0'</t>
  </si>
  <si>
    <t>👠</t>
  </si>
  <si>
    <t xml:space="preserve"> High-Heeled Shoe </t>
  </si>
  <si>
    <t>-0.21428571428571425</t>
  </si>
  <si>
    <t>546</t>
  </si>
  <si>
    <t>b'\xf0\x9f\x8c\xae'</t>
  </si>
  <si>
    <t>🌮</t>
  </si>
  <si>
    <t xml:space="preserve"> Taco </t>
  </si>
  <si>
    <t>-0.2142857142857143</t>
  </si>
  <si>
    <t>547</t>
  </si>
  <si>
    <t>b'\xf0\x9f\x8d\xb5'</t>
  </si>
  <si>
    <t>🍵</t>
  </si>
  <si>
    <t xml:space="preserve"> Teacup Without Handle </t>
  </si>
  <si>
    <t>0.3571428571428571</t>
  </si>
  <si>
    <t>548</t>
  </si>
  <si>
    <t>b'\xf0\x9f\x8f\x87'</t>
  </si>
  <si>
    <t>🏇</t>
  </si>
  <si>
    <t xml:space="preserve"> Horse Racing </t>
  </si>
  <si>
    <t>b'\xf0\x9f\x91\xaa'</t>
  </si>
  <si>
    <t>👪</t>
  </si>
  <si>
    <t xml:space="preserve"> Family </t>
  </si>
  <si>
    <t>b'\xf0\x9f\x91\xbc'</t>
  </si>
  <si>
    <t>👼</t>
  </si>
  <si>
    <t xml:space="preserve"> Baby Angel </t>
  </si>
  <si>
    <t>551</t>
  </si>
  <si>
    <t>b'\xf0\x9f\x91\x99'</t>
  </si>
  <si>
    <t>👙</t>
  </si>
  <si>
    <t xml:space="preserve"> Bikini </t>
  </si>
  <si>
    <t>-0.42857142857142855</t>
  </si>
  <si>
    <t>552</t>
  </si>
  <si>
    <t>b'\xf0\x9f\x95\xb6'</t>
  </si>
  <si>
    <t>🕶</t>
  </si>
  <si>
    <t xml:space="preserve"> Sunglasses </t>
  </si>
  <si>
    <t>0.7857142857142857</t>
  </si>
  <si>
    <t>553</t>
  </si>
  <si>
    <t>b'\xf0\x9f\x91\xaf'</t>
  </si>
  <si>
    <t>👯</t>
  </si>
  <si>
    <t xml:space="preserve"> People With Bunny Ears </t>
  </si>
  <si>
    <t>554</t>
  </si>
  <si>
    <t>b'\xf0\x9f\x91\xbe'</t>
  </si>
  <si>
    <t>👾</t>
  </si>
  <si>
    <t xml:space="preserve"> Alien Monster </t>
  </si>
  <si>
    <t>-0.6428571428571429</t>
  </si>
  <si>
    <t>555</t>
  </si>
  <si>
    <t>b'\xe2\x9b\x84'</t>
  </si>
  <si>
    <t>⛄</t>
  </si>
  <si>
    <t xml:space="preserve"> Snowman Without Snow </t>
  </si>
  <si>
    <t>556</t>
  </si>
  <si>
    <t>b'\xf0\x9f\x87\xa9\xf0\x9f\x87\xaa'</t>
  </si>
  <si>
    <t>🇩🇪</t>
  </si>
  <si>
    <t xml:space="preserve"> Germany </t>
  </si>
  <si>
    <t>557</t>
  </si>
  <si>
    <t>b'\xf0\x9f\x90\x94'</t>
  </si>
  <si>
    <t>🐔</t>
  </si>
  <si>
    <t xml:space="preserve"> Chicken </t>
  </si>
  <si>
    <t>558</t>
  </si>
  <si>
    <t>b'\xe2\x9a\x9b'</t>
  </si>
  <si>
    <t>⚛</t>
  </si>
  <si>
    <t xml:space="preserve"> Atom Symbol </t>
  </si>
  <si>
    <t>-0.07142857142857142</t>
  </si>
  <si>
    <t>559</t>
  </si>
  <si>
    <t>b'\xf0\x9f\x8c\xa6'</t>
  </si>
  <si>
    <t>🌦</t>
  </si>
  <si>
    <t xml:space="preserve"> Sun Behind Rain Cloud </t>
  </si>
  <si>
    <t>b'\xf0\x9f\x8c\x8b'</t>
  </si>
  <si>
    <t>🌋</t>
  </si>
  <si>
    <t xml:space="preserve"> Volcano </t>
  </si>
  <si>
    <t>b'\xe2\x9d\x95'</t>
  </si>
  <si>
    <t>❕</t>
  </si>
  <si>
    <t xml:space="preserve"> White Exclamation Mark </t>
  </si>
  <si>
    <t>b'\xf0\x9f\x8c\xa9'</t>
  </si>
  <si>
    <t>🌩</t>
  </si>
  <si>
    <t xml:space="preserve"> Cloud With Lightning </t>
  </si>
  <si>
    <t>563</t>
  </si>
  <si>
    <t>b'\xf0\x9f\xa4\x9c'</t>
  </si>
  <si>
    <t>🤜</t>
  </si>
  <si>
    <t xml:space="preserve"> Right-Facing Fist </t>
  </si>
  <si>
    <t>0.38461538461538464</t>
  </si>
  <si>
    <t>-0.3076923076923077</t>
  </si>
  <si>
    <t>564</t>
  </si>
  <si>
    <t>b'\xf0\x9f\x91\xbd'</t>
  </si>
  <si>
    <t>👽</t>
  </si>
  <si>
    <t xml:space="preserve"> Alien </t>
  </si>
  <si>
    <t>-0.4615384615384616</t>
  </si>
  <si>
    <t>565</t>
  </si>
  <si>
    <t>b'\xf0\x9f\x9a\xbb'</t>
  </si>
  <si>
    <t>🚻</t>
  </si>
  <si>
    <t xml:space="preserve"> Restroom </t>
  </si>
  <si>
    <t>566</t>
  </si>
  <si>
    <t>b'\xf0\x9f\xa4\xb8'</t>
  </si>
  <si>
    <t>🤸</t>
  </si>
  <si>
    <t xml:space="preserve"> Person Cartwheeling </t>
  </si>
  <si>
    <t>-0.15384615384615385</t>
  </si>
  <si>
    <t>567</t>
  </si>
  <si>
    <t>b'\xf0\x9f\xa5\x92'</t>
  </si>
  <si>
    <t>🥒</t>
  </si>
  <si>
    <t xml:space="preserve"> Cucumber </t>
  </si>
  <si>
    <t>b'\xf0\x9f\x8d\x89'</t>
  </si>
  <si>
    <t>🍉</t>
  </si>
  <si>
    <t xml:space="preserve"> Watermelon </t>
  </si>
  <si>
    <t>-0.30769230769230765</t>
  </si>
  <si>
    <t>b'\xf0\x9f\x8d\x85'</t>
  </si>
  <si>
    <t>🍅</t>
  </si>
  <si>
    <t xml:space="preserve"> Tomato </t>
  </si>
  <si>
    <t>570</t>
  </si>
  <si>
    <t>b'\xf0\x9f\x8f\xab'</t>
  </si>
  <si>
    <t>🏫</t>
  </si>
  <si>
    <t xml:space="preserve"> School </t>
  </si>
  <si>
    <t>0.7692307692307693</t>
  </si>
  <si>
    <t>-0.07692307692307693</t>
  </si>
  <si>
    <t>571</t>
  </si>
  <si>
    <t>b'\xf0\x9f\x8c\xa5'</t>
  </si>
  <si>
    <t>🌥</t>
  </si>
  <si>
    <t xml:space="preserve"> Sun Behind Large Cloud </t>
  </si>
  <si>
    <t>0.6923076923076923</t>
  </si>
  <si>
    <t>572</t>
  </si>
  <si>
    <t>b'\xf0\x9f\x94\xa7'</t>
  </si>
  <si>
    <t>🔧</t>
  </si>
  <si>
    <t xml:space="preserve"> Wrench </t>
  </si>
  <si>
    <t>573</t>
  </si>
  <si>
    <t>b'\xf0\x9f\x87\xad'</t>
  </si>
  <si>
    <t>🇭</t>
  </si>
  <si>
    <t xml:space="preserve"> Regional Indicator Symbol Letter H </t>
  </si>
  <si>
    <t>b'\xf0\x9f\x97\x9d'</t>
  </si>
  <si>
    <t>🗝</t>
  </si>
  <si>
    <t xml:space="preserve"> Old Key </t>
  </si>
  <si>
    <t>0.1538461538461538</t>
  </si>
  <si>
    <t>b'\xf0\x9f\x95\x95'</t>
  </si>
  <si>
    <t>🕕</t>
  </si>
  <si>
    <t xml:space="preserve"> Six O’Clock </t>
  </si>
  <si>
    <t>576</t>
  </si>
  <si>
    <t>b'\xf0\x9f\x95\xb0'</t>
  </si>
  <si>
    <t>🕰</t>
  </si>
  <si>
    <t xml:space="preserve"> Mantelpiece Clock </t>
  </si>
  <si>
    <t>b'\xf0\x9f\x93\x8e'</t>
  </si>
  <si>
    <t>📎</t>
  </si>
  <si>
    <t xml:space="preserve"> Paperclip </t>
  </si>
  <si>
    <t>578</t>
  </si>
  <si>
    <t>b'\xf0\x9f\x9b\xa0'</t>
  </si>
  <si>
    <t>🛠</t>
  </si>
  <si>
    <t xml:space="preserve"> Hammer And Wrench </t>
  </si>
  <si>
    <t>-0.4615384615384615</t>
  </si>
  <si>
    <t>b'\xf0\x9f\x8c\xac'</t>
  </si>
  <si>
    <t>🌬</t>
  </si>
  <si>
    <t xml:space="preserve"> Wind Face </t>
  </si>
  <si>
    <t>580</t>
  </si>
  <si>
    <t>b'\xe2\x86\xaa'</t>
  </si>
  <si>
    <t>↪</t>
  </si>
  <si>
    <t xml:space="preserve"> Left Arrow Curving Right </t>
  </si>
  <si>
    <t>581</t>
  </si>
  <si>
    <t>b'\xf0\x9f\x98\xb8'</t>
  </si>
  <si>
    <t>😸</t>
  </si>
  <si>
    <t xml:space="preserve"> Grinning Cat Face With Smiling Eyes </t>
  </si>
  <si>
    <t>0.4166666666666667</t>
  </si>
  <si>
    <t>582</t>
  </si>
  <si>
    <t>b'\xf0\x9f\x8e\xb7'</t>
  </si>
  <si>
    <t>🎷</t>
  </si>
  <si>
    <t xml:space="preserve"> Saxophone </t>
  </si>
  <si>
    <t>583</t>
  </si>
  <si>
    <t>b'\xf0\x9f\x87\xb1'</t>
  </si>
  <si>
    <t>🇱</t>
  </si>
  <si>
    <t xml:space="preserve"> Regional Indicator Symbol Letter L </t>
  </si>
  <si>
    <t>584</t>
  </si>
  <si>
    <t>b'\xe2\x97\xbc'</t>
  </si>
  <si>
    <t>◼</t>
  </si>
  <si>
    <t xml:space="preserve"> Black Medium Square </t>
  </si>
  <si>
    <t>0.8333333333333334</t>
  </si>
  <si>
    <t>585</t>
  </si>
  <si>
    <t>b'\xf0\x9f\x8c\x9b'</t>
  </si>
  <si>
    <t>🌛</t>
  </si>
  <si>
    <t xml:space="preserve"> First Quarter Moon Face </t>
  </si>
  <si>
    <t>586</t>
  </si>
  <si>
    <t>b'\xf0\x9f\x8c\x9c'</t>
  </si>
  <si>
    <t>🌜</t>
  </si>
  <si>
    <t xml:space="preserve"> Last Quarter Moon Face </t>
  </si>
  <si>
    <t>587</t>
  </si>
  <si>
    <t>b'\xf0\x9f\x8e\xae'</t>
  </si>
  <si>
    <t>🎮</t>
  </si>
  <si>
    <t xml:space="preserve"> Video Game </t>
  </si>
  <si>
    <t>588</t>
  </si>
  <si>
    <t>b'\xf0\x9f\x94\xae'</t>
  </si>
  <si>
    <t>🔮</t>
  </si>
  <si>
    <t xml:space="preserve"> Crystal Ball </t>
  </si>
  <si>
    <t>0.08333333333333337</t>
  </si>
  <si>
    <t>589</t>
  </si>
  <si>
    <t>b'\xf0\x9f\x95\xa7'</t>
  </si>
  <si>
    <t>🕧</t>
  </si>
  <si>
    <t xml:space="preserve"> Twelve-Thirty </t>
  </si>
  <si>
    <t>b'\xf0\x9f\x95\x98'</t>
  </si>
  <si>
    <t>🕘</t>
  </si>
  <si>
    <t xml:space="preserve"> Nine O’Clock </t>
  </si>
  <si>
    <t>b'\xf0\x9f\x9a\xb2'</t>
  </si>
  <si>
    <t>🚲</t>
  </si>
  <si>
    <t xml:space="preserve"> Bicycle </t>
  </si>
  <si>
    <t>0.08333333333333331</t>
  </si>
  <si>
    <t>592</t>
  </si>
  <si>
    <t>b'\xf0\x9f\x90\x9c'</t>
  </si>
  <si>
    <t>🐜</t>
  </si>
  <si>
    <t xml:space="preserve"> Ant </t>
  </si>
  <si>
    <t>-0.08333333333333331</t>
  </si>
  <si>
    <t>593</t>
  </si>
  <si>
    <t>b'\xf0\x9f\x90\xb1'</t>
  </si>
  <si>
    <t>🐱</t>
  </si>
  <si>
    <t xml:space="preserve"> Cat Face </t>
  </si>
  <si>
    <t>594</t>
  </si>
  <si>
    <t>b'\xf0\x9f\x8d\xbb'</t>
  </si>
  <si>
    <t>🍻</t>
  </si>
  <si>
    <t xml:space="preserve"> Clinking Beer Mugs </t>
  </si>
  <si>
    <t>0.2500000000000001</t>
  </si>
  <si>
    <t>595</t>
  </si>
  <si>
    <t>b'\xe2\x8f\xac'</t>
  </si>
  <si>
    <t>⏬</t>
  </si>
  <si>
    <t xml:space="preserve"> Fast Down Button </t>
  </si>
  <si>
    <t>596</t>
  </si>
  <si>
    <t>b'\xf0\x9f\x97\xbd'</t>
  </si>
  <si>
    <t>🗽</t>
  </si>
  <si>
    <t xml:space="preserve"> Statue Of Liberty </t>
  </si>
  <si>
    <t>597</t>
  </si>
  <si>
    <t>b'\xf0\x9f\x8d\xa4'</t>
  </si>
  <si>
    <t>🍤</t>
  </si>
  <si>
    <t xml:space="preserve"> Fried Shrimp </t>
  </si>
  <si>
    <t>598</t>
  </si>
  <si>
    <t>b'\xf0\x9f\x8d\x9d'</t>
  </si>
  <si>
    <t>🍝</t>
  </si>
  <si>
    <t xml:space="preserve"> Spaghetti </t>
  </si>
  <si>
    <t>599</t>
  </si>
  <si>
    <t>b'\xf0\x9f\x93\x98'</t>
  </si>
  <si>
    <t>📘</t>
  </si>
  <si>
    <t xml:space="preserve"> Blue Book </t>
  </si>
  <si>
    <t>b'\xf0\x9f\xa5\x8b'</t>
  </si>
  <si>
    <t>🥋</t>
  </si>
  <si>
    <t xml:space="preserve"> Martial Arts Uniform </t>
  </si>
  <si>
    <t>b'\xf0\x9f\x8f\xa2'</t>
  </si>
  <si>
    <t>🏢</t>
  </si>
  <si>
    <t xml:space="preserve"> Office Building </t>
  </si>
  <si>
    <t>602</t>
  </si>
  <si>
    <t>b'\xf0\x9f\x87\xa8\xf0\x9f\x87\xad'</t>
  </si>
  <si>
    <t>🇨🇭</t>
  </si>
  <si>
    <t xml:space="preserve"> Switzerland </t>
  </si>
  <si>
    <t>603</t>
  </si>
  <si>
    <t>b'\xf0\x9f\xa5\x99'</t>
  </si>
  <si>
    <t>🥙</t>
  </si>
  <si>
    <t xml:space="preserve"> Stuffed Flatbread </t>
  </si>
  <si>
    <t>604</t>
  </si>
  <si>
    <t>b'\xf0\x9f\x96\x96'</t>
  </si>
  <si>
    <t>🖖</t>
  </si>
  <si>
    <t xml:space="preserve"> Vulcan Salute </t>
  </si>
  <si>
    <t>0.6363636363636364</t>
  </si>
  <si>
    <t>605</t>
  </si>
  <si>
    <t>b'\xf0\x9f\x8e\xba'</t>
  </si>
  <si>
    <t>🎺</t>
  </si>
  <si>
    <t xml:space="preserve"> Trumpet </t>
  </si>
  <si>
    <t>606</t>
  </si>
  <si>
    <t>b'\xf0\x9f\x92\xb6'</t>
  </si>
  <si>
    <t>💶</t>
  </si>
  <si>
    <t xml:space="preserve"> Euro Banknote </t>
  </si>
  <si>
    <t>b'\xf0\x9f\x92\x84'</t>
  </si>
  <si>
    <t>💄</t>
  </si>
  <si>
    <t xml:space="preserve"> Lipstick </t>
  </si>
  <si>
    <t>608</t>
  </si>
  <si>
    <t>b'\xf0\x9f\x8f\xb7'</t>
  </si>
  <si>
    <t>🏷</t>
  </si>
  <si>
    <t xml:space="preserve"> Label </t>
  </si>
  <si>
    <t>b'\xf0\x9f\x87\xad\xf0\x9f\x87\xb3'</t>
  </si>
  <si>
    <t>🇭🇳</t>
  </si>
  <si>
    <t xml:space="preserve"> Honduras </t>
  </si>
  <si>
    <t>b'\xf0\x9f\x8e\xb9'</t>
  </si>
  <si>
    <t>🎹</t>
  </si>
  <si>
    <t xml:space="preserve"> Musical Keyboard </t>
  </si>
  <si>
    <t>0.3636363636363636</t>
  </si>
  <si>
    <t>611</t>
  </si>
  <si>
    <t>b'\xf0\x9f\x91\x95'</t>
  </si>
  <si>
    <t>👕</t>
  </si>
  <si>
    <t xml:space="preserve"> T-Shirt </t>
  </si>
  <si>
    <t>612</t>
  </si>
  <si>
    <t>b'\xf0\x9f\x95\xa0'</t>
  </si>
  <si>
    <t>🕠</t>
  </si>
  <si>
    <t xml:space="preserve"> Five-Thirty </t>
  </si>
  <si>
    <t>b'\xf0\x9f\xa4\x9b'</t>
  </si>
  <si>
    <t>🤛</t>
  </si>
  <si>
    <t xml:space="preserve"> Left-Facing Fist </t>
  </si>
  <si>
    <t>-0.3636363636363637</t>
  </si>
  <si>
    <t>614</t>
  </si>
  <si>
    <t>b'\xf0\x9f\x92\x87'</t>
  </si>
  <si>
    <t>💇</t>
  </si>
  <si>
    <t xml:space="preserve"> Person Getting Haircut </t>
  </si>
  <si>
    <t>615</t>
  </si>
  <si>
    <t>b'\xf0\x9f\x90\x80'</t>
  </si>
  <si>
    <t>🐀</t>
  </si>
  <si>
    <t xml:space="preserve"> Rat </t>
  </si>
  <si>
    <t>-0.7272727272727273</t>
  </si>
  <si>
    <t>616</t>
  </si>
  <si>
    <t>b'\xf0\x9f\x8f\x9d'</t>
  </si>
  <si>
    <t>🏝</t>
  </si>
  <si>
    <t xml:space="preserve"> Desert Island </t>
  </si>
  <si>
    <t>617</t>
  </si>
  <si>
    <t>b'\xe2\x9b\xb5'</t>
  </si>
  <si>
    <t>⛵</t>
  </si>
  <si>
    <t xml:space="preserve"> Sailboat </t>
  </si>
  <si>
    <t>-0.18181818181818174</t>
  </si>
  <si>
    <t>618</t>
  </si>
  <si>
    <t>b'\xf0\x9f\xa4\xa5'</t>
  </si>
  <si>
    <t>🤥</t>
  </si>
  <si>
    <t xml:space="preserve"> Lying Face </t>
  </si>
  <si>
    <t>619</t>
  </si>
  <si>
    <t>b'\xe2\x9b\x8f'</t>
  </si>
  <si>
    <t>⛏</t>
  </si>
  <si>
    <t xml:space="preserve"> Pick </t>
  </si>
  <si>
    <t>-0.5454545454545454</t>
  </si>
  <si>
    <t>620</t>
  </si>
  <si>
    <t>b'\xf0\x9f\x8d\xa1'</t>
  </si>
  <si>
    <t>🍡</t>
  </si>
  <si>
    <t xml:space="preserve"> Dango </t>
  </si>
  <si>
    <t>621</t>
  </si>
  <si>
    <t>b'\xe2\x98\x8e'</t>
  </si>
  <si>
    <t>☎</t>
  </si>
  <si>
    <t xml:space="preserve"> Telephone </t>
  </si>
  <si>
    <t>-0.1818181818181818</t>
  </si>
  <si>
    <t>622</t>
  </si>
  <si>
    <t>b'\xe2\x8f\xaa'</t>
  </si>
  <si>
    <t>⏪</t>
  </si>
  <si>
    <t xml:space="preserve"> Fast Reverse Button </t>
  </si>
  <si>
    <t>b'\xf0\x9f\x86\x98'</t>
  </si>
  <si>
    <t>🆘</t>
  </si>
  <si>
    <t xml:space="preserve"> Sos Button </t>
  </si>
  <si>
    <t>624</t>
  </si>
  <si>
    <t>b'\xe2\x96\xb6'</t>
  </si>
  <si>
    <t>▶</t>
  </si>
  <si>
    <t xml:space="preserve"> Play Button </t>
  </si>
  <si>
    <t>625</t>
  </si>
  <si>
    <t>b'\xe2\x99\xa0'</t>
  </si>
  <si>
    <t>♠</t>
  </si>
  <si>
    <t xml:space="preserve"> Spade Suit </t>
  </si>
  <si>
    <t>626</t>
  </si>
  <si>
    <t>b'\xe2\x9a\x95'</t>
  </si>
  <si>
    <t>⚕</t>
  </si>
  <si>
    <t xml:space="preserve"> Medical Symbol </t>
  </si>
  <si>
    <t>627</t>
  </si>
  <si>
    <t>b'\xf0\x9f\x8c\x80'</t>
  </si>
  <si>
    <t>🌀</t>
  </si>
  <si>
    <t xml:space="preserve"> Cyclone </t>
  </si>
  <si>
    <t>628</t>
  </si>
  <si>
    <t>b'\xe2\x9a\x93'</t>
  </si>
  <si>
    <t>⚓</t>
  </si>
  <si>
    <t xml:space="preserve"> Anchor </t>
  </si>
  <si>
    <t>b'\xf0\x9f\x8c\x83'</t>
  </si>
  <si>
    <t>🌃</t>
  </si>
  <si>
    <t xml:space="preserve"> Night With Stars </t>
  </si>
  <si>
    <t>630</t>
  </si>
  <si>
    <t>b'\xf0\x9f\x91\xac'</t>
  </si>
  <si>
    <t>👬</t>
  </si>
  <si>
    <t xml:space="preserve"> Two Men Holding Hands </t>
  </si>
  <si>
    <t>631</t>
  </si>
  <si>
    <t>b'\xf0\x9f\x9a\x8c'</t>
  </si>
  <si>
    <t>🚌</t>
  </si>
  <si>
    <t xml:space="preserve"> Bus </t>
  </si>
  <si>
    <t>632</t>
  </si>
  <si>
    <t>b'\xf0\x9f\x9b\x8d'</t>
  </si>
  <si>
    <t>🛍</t>
  </si>
  <si>
    <t xml:space="preserve"> Shopping Bags </t>
  </si>
  <si>
    <t>633</t>
  </si>
  <si>
    <t>b'\xf0\x9f\xa5\x9e'</t>
  </si>
  <si>
    <t>🥞</t>
  </si>
  <si>
    <t xml:space="preserve"> Pancakes </t>
  </si>
  <si>
    <t>634</t>
  </si>
  <si>
    <t>b'\xf0\x9f\x8e\x83'</t>
  </si>
  <si>
    <t>🎃</t>
  </si>
  <si>
    <t xml:space="preserve"> Jack-O-Lantern </t>
  </si>
  <si>
    <t>635</t>
  </si>
  <si>
    <t>b'\xf0\x9f\x8f\x8b'</t>
  </si>
  <si>
    <t>🏋</t>
  </si>
  <si>
    <t xml:space="preserve"> Person Lifting Weights </t>
  </si>
  <si>
    <t>636</t>
  </si>
  <si>
    <t>b'\xf0\x9f\x91\xb7'</t>
  </si>
  <si>
    <t>👷</t>
  </si>
  <si>
    <t xml:space="preserve"> Construction Worker </t>
  </si>
  <si>
    <t>637</t>
  </si>
  <si>
    <t>b'\xf0\x9f\xa5\x85'</t>
  </si>
  <si>
    <t>🥅</t>
  </si>
  <si>
    <t xml:space="preserve"> Goal Net </t>
  </si>
  <si>
    <t>638</t>
  </si>
  <si>
    <t>b'\xf0\x9f\x8f\x80'</t>
  </si>
  <si>
    <t>🏀</t>
  </si>
  <si>
    <t xml:space="preserve"> Basketball </t>
  </si>
  <si>
    <t>639</t>
  </si>
  <si>
    <t>b'\xf0\x9f\x8e\x85'</t>
  </si>
  <si>
    <t>🎅</t>
  </si>
  <si>
    <t xml:space="preserve"> Santa Claus </t>
  </si>
  <si>
    <t>640</t>
  </si>
  <si>
    <t>b'\xf0\x9f\x92\x8f'</t>
  </si>
  <si>
    <t>💏</t>
  </si>
  <si>
    <t xml:space="preserve"> Kiss </t>
  </si>
  <si>
    <t>641</t>
  </si>
  <si>
    <t>b'\xf0\x9f\x96\x8d'</t>
  </si>
  <si>
    <t>🖍</t>
  </si>
  <si>
    <t xml:space="preserve"> Crayon </t>
  </si>
  <si>
    <t>642</t>
  </si>
  <si>
    <t>b'\xf0\x9f\x8d\xbd'</t>
  </si>
  <si>
    <t>🍽</t>
  </si>
  <si>
    <t xml:space="preserve"> Fork And Knife With Plate </t>
  </si>
  <si>
    <t>-0.09999999999999998</t>
  </si>
  <si>
    <t>643</t>
  </si>
  <si>
    <t>b'\xe2\x98\x82'</t>
  </si>
  <si>
    <t>☂</t>
  </si>
  <si>
    <t xml:space="preserve"> Umbrella </t>
  </si>
  <si>
    <t>-0.2</t>
  </si>
  <si>
    <t>644</t>
  </si>
  <si>
    <t>b'\xe2\x9b\x93'</t>
  </si>
  <si>
    <t>⛓</t>
  </si>
  <si>
    <t xml:space="preserve"> Chains </t>
  </si>
  <si>
    <t>-0.30000000000000004</t>
  </si>
  <si>
    <t>645</t>
  </si>
  <si>
    <t>b'\xf0\x9f\x92\xbc'</t>
  </si>
  <si>
    <t>💼</t>
  </si>
  <si>
    <t xml:space="preserve"> Briefcase </t>
  </si>
  <si>
    <t>646</t>
  </si>
  <si>
    <t>b'\xe2\x86\x96'</t>
  </si>
  <si>
    <t>↖</t>
  </si>
  <si>
    <t xml:space="preserve"> Up-Left Arrow </t>
  </si>
  <si>
    <t>647</t>
  </si>
  <si>
    <t>b'\xf0\x9f\x8c\x90'</t>
  </si>
  <si>
    <t>🌐</t>
  </si>
  <si>
    <t xml:space="preserve"> Globe With Meridians </t>
  </si>
  <si>
    <t>648</t>
  </si>
  <si>
    <t>b'\xf0\x9f\x90\x9a'</t>
  </si>
  <si>
    <t>🐚</t>
  </si>
  <si>
    <t xml:space="preserve"> Spiral Shell </t>
  </si>
  <si>
    <t>0.30000000000000004</t>
  </si>
  <si>
    <t>b'\xf0\x9f\x87\xb9\xf0\x9f\x87\xb7'</t>
  </si>
  <si>
    <t>🇹🇷</t>
  </si>
  <si>
    <t xml:space="preserve"> Turkey </t>
  </si>
  <si>
    <t>650</t>
  </si>
  <si>
    <t>b'\xf0\x9f\x87\xae\xf0\x9f\x87\xb1'</t>
  </si>
  <si>
    <t>🇮🇱</t>
  </si>
  <si>
    <t xml:space="preserve"> Israel </t>
  </si>
  <si>
    <t>-0.3</t>
  </si>
  <si>
    <t>b'\xf0\x9f\x87\xac\xf0\x9f\x87\xa7'</t>
  </si>
  <si>
    <t>🇬🇧</t>
  </si>
  <si>
    <t xml:space="preserve"> United Kingdom </t>
  </si>
  <si>
    <t>652</t>
  </si>
  <si>
    <t>b'\xf0\x9f\x87\xaa\xf0\x9f\x87\xb8'</t>
  </si>
  <si>
    <t>🇪🇸</t>
  </si>
  <si>
    <t xml:space="preserve"> Spain </t>
  </si>
  <si>
    <t>653</t>
  </si>
  <si>
    <t>b'\xf0\x9f\x87\xb5\xf0\x9f\x87\xaa'</t>
  </si>
  <si>
    <t>🇵🇪</t>
  </si>
  <si>
    <t xml:space="preserve"> Peru </t>
  </si>
  <si>
    <t>654</t>
  </si>
  <si>
    <t>b'\xf0\x9f\x94\x8e'</t>
  </si>
  <si>
    <t>🔎</t>
  </si>
  <si>
    <t xml:space="preserve"> Magnifying Glass Tilted Right </t>
  </si>
  <si>
    <t>b'\xf0\x9f\x87\xba\xf0\x9f\x87\xbe'</t>
  </si>
  <si>
    <t>🇺🇾</t>
  </si>
  <si>
    <t xml:space="preserve"> Uruguay </t>
  </si>
  <si>
    <t>656</t>
  </si>
  <si>
    <t>b'\xf0\x9f\x99\x8e'</t>
  </si>
  <si>
    <t>🙎</t>
  </si>
  <si>
    <t xml:space="preserve"> Person Pouting </t>
  </si>
  <si>
    <t>-0.6</t>
  </si>
  <si>
    <t>657</t>
  </si>
  <si>
    <t>b'\xf0\x9f\x8d\xb2'</t>
  </si>
  <si>
    <t>🍲</t>
  </si>
  <si>
    <t xml:space="preserve"> Pot Of Food </t>
  </si>
  <si>
    <t>658</t>
  </si>
  <si>
    <t>b'\xf0\x9f\x8c\xaf'</t>
  </si>
  <si>
    <t>🌯</t>
  </si>
  <si>
    <t xml:space="preserve"> Burrito </t>
  </si>
  <si>
    <t>b'\xf0\x9f\x8d\x8a'</t>
  </si>
  <si>
    <t>🍊</t>
  </si>
  <si>
    <t xml:space="preserve"> Tangerine </t>
  </si>
  <si>
    <t>b'\xf0\x9f\x88\xb4'</t>
  </si>
  <si>
    <t>🈴</t>
  </si>
  <si>
    <t xml:space="preserve"> Japanese Passing Grade Button </t>
  </si>
  <si>
    <t>661</t>
  </si>
  <si>
    <t>b'\xf0\x9f\x94\xbc'</t>
  </si>
  <si>
    <t>🔼</t>
  </si>
  <si>
    <t xml:space="preserve"> Upwards Button </t>
  </si>
  <si>
    <t>b'\xf0\x9f\x9a\x9b'</t>
  </si>
  <si>
    <t>🚛</t>
  </si>
  <si>
    <t xml:space="preserve"> Articulated Lorry </t>
  </si>
  <si>
    <t>663</t>
  </si>
  <si>
    <t>b'\xf0\x9f\x90\x8a'</t>
  </si>
  <si>
    <t>🐊</t>
  </si>
  <si>
    <t xml:space="preserve"> Crocodile </t>
  </si>
  <si>
    <t>664</t>
  </si>
  <si>
    <t>b'\xf0\x9f\x90\xa4'</t>
  </si>
  <si>
    <t>🐤</t>
  </si>
  <si>
    <t xml:space="preserve"> Baby Chick </t>
  </si>
  <si>
    <t>0.10000000000000003</t>
  </si>
  <si>
    <t>b'\xf0\x9f\x8c\xab'</t>
  </si>
  <si>
    <t>🌫</t>
  </si>
  <si>
    <t xml:space="preserve"> Fog </t>
  </si>
  <si>
    <t>666</t>
  </si>
  <si>
    <t>b'\xf0\x9f\x95\xb5'</t>
  </si>
  <si>
    <t>🕵</t>
  </si>
  <si>
    <t xml:space="preserve"> Detective </t>
  </si>
  <si>
    <t>667</t>
  </si>
  <si>
    <t>b'\xf0\x9f\x91\x83'</t>
  </si>
  <si>
    <t>👃</t>
  </si>
  <si>
    <t xml:space="preserve"> Nose </t>
  </si>
  <si>
    <t>0.22222222222222227</t>
  </si>
  <si>
    <t>668</t>
  </si>
  <si>
    <t>b'\xf0\x9f\x90\x92'</t>
  </si>
  <si>
    <t>🐒</t>
  </si>
  <si>
    <t xml:space="preserve"> Monkey </t>
  </si>
  <si>
    <t>669</t>
  </si>
  <si>
    <t>b'\xf0\x9f\x8f\x9e'</t>
  </si>
  <si>
    <t>🏞</t>
  </si>
  <si>
    <t xml:space="preserve"> National Park </t>
  </si>
  <si>
    <t>670</t>
  </si>
  <si>
    <t>b'\xf0\x9f\x90\xa0'</t>
  </si>
  <si>
    <t>🐠</t>
  </si>
  <si>
    <t xml:space="preserve"> Tropical Fish </t>
  </si>
  <si>
    <t>671</t>
  </si>
  <si>
    <t>b'\xf0\x9f\x90\xa7'</t>
  </si>
  <si>
    <t>🐧</t>
  </si>
  <si>
    <t xml:space="preserve"> Penguin </t>
  </si>
  <si>
    <t>672</t>
  </si>
  <si>
    <t>b'\xf0\x9f\x90\x90'</t>
  </si>
  <si>
    <t>🐐</t>
  </si>
  <si>
    <t xml:space="preserve"> Goat </t>
  </si>
  <si>
    <t>673</t>
  </si>
  <si>
    <t>b'\xf0\x9f\xa4\xb3'</t>
  </si>
  <si>
    <t>🤳</t>
  </si>
  <si>
    <t xml:space="preserve"> Selfie </t>
  </si>
  <si>
    <t>b'\xe2\x9b\xb9'</t>
  </si>
  <si>
    <t>⛹</t>
  </si>
  <si>
    <t xml:space="preserve"> Person Bouncing Ball </t>
  </si>
  <si>
    <t>675</t>
  </si>
  <si>
    <t>b'\xf0\x9f\x90\x9f'</t>
  </si>
  <si>
    <t>🐟</t>
  </si>
  <si>
    <t xml:space="preserve"> Fish </t>
  </si>
  <si>
    <t>-0.4444444444444444</t>
  </si>
  <si>
    <t>676</t>
  </si>
  <si>
    <t>b'\xf0\x9f\x90\x98'</t>
  </si>
  <si>
    <t>🐘</t>
  </si>
  <si>
    <t xml:space="preserve"> Elephant </t>
  </si>
  <si>
    <t>0.6666666666666667</t>
  </si>
  <si>
    <t>677</t>
  </si>
  <si>
    <t>b'\xf0\x9f\x8c\x84'</t>
  </si>
  <si>
    <t>🌄</t>
  </si>
  <si>
    <t xml:space="preserve"> Sunrise Over Mountains </t>
  </si>
  <si>
    <t>678</t>
  </si>
  <si>
    <t>b'\xf0\x9f\x90\xba'</t>
  </si>
  <si>
    <t>🐺</t>
  </si>
  <si>
    <t xml:space="preserve"> Wolf Face </t>
  </si>
  <si>
    <t>679</t>
  </si>
  <si>
    <t>b'\xe2\x93\x82'</t>
  </si>
  <si>
    <t>Ⓜ</t>
  </si>
  <si>
    <t xml:space="preserve"> Circled M </t>
  </si>
  <si>
    <t>680</t>
  </si>
  <si>
    <t>b'\xf0\x9f\x93\x9b'</t>
  </si>
  <si>
    <t>📛</t>
  </si>
  <si>
    <t xml:space="preserve"> Name Badge </t>
  </si>
  <si>
    <t>681</t>
  </si>
  <si>
    <t>b'\xf0\x9f\x93\xb6'</t>
  </si>
  <si>
    <t>📶</t>
  </si>
  <si>
    <t xml:space="preserve"> Antenna Bars </t>
  </si>
  <si>
    <t>682</t>
  </si>
  <si>
    <t>b'\xe2\x9e\xb0'</t>
  </si>
  <si>
    <t>➰</t>
  </si>
  <si>
    <t xml:space="preserve"> Curly Loop </t>
  </si>
  <si>
    <t>683</t>
  </si>
  <si>
    <t>b'\xf0\x9f\x94\x9a'</t>
  </si>
  <si>
    <t>🔚</t>
  </si>
  <si>
    <t xml:space="preserve"> End Arrow </t>
  </si>
  <si>
    <t>684</t>
  </si>
  <si>
    <t>b'\xf0\x9f\x87\xac\xf0\x9f\x87\xb3'</t>
  </si>
  <si>
    <t>🇬🇳</t>
  </si>
  <si>
    <t xml:space="preserve"> Guinea </t>
  </si>
  <si>
    <t>685</t>
  </si>
  <si>
    <t>b'\xf0\x9f\x87\xb5\xf0\x9f\x87\xb8'</t>
  </si>
  <si>
    <t>🇵🇸</t>
  </si>
  <si>
    <t xml:space="preserve"> Palestinian Territories </t>
  </si>
  <si>
    <t>686</t>
  </si>
  <si>
    <t>b'\xf0\x9f\x93\xa7'</t>
  </si>
  <si>
    <t>📧</t>
  </si>
  <si>
    <t xml:space="preserve"> E-Mail </t>
  </si>
  <si>
    <t>687</t>
  </si>
  <si>
    <t>b'\xf0\x9f\x8d\x8d'</t>
  </si>
  <si>
    <t>🍍</t>
  </si>
  <si>
    <t xml:space="preserve"> Pineapple </t>
  </si>
  <si>
    <t>688</t>
  </si>
  <si>
    <t>b'\xf0\x9f\xa5\x82'</t>
  </si>
  <si>
    <t>🥂</t>
  </si>
  <si>
    <t xml:space="preserve"> Clinking Glasses </t>
  </si>
  <si>
    <t>689</t>
  </si>
  <si>
    <t>b'\xf0\x9f\x87\xa7\xf0\x9f\x87\xaa'</t>
  </si>
  <si>
    <t>🇧🇪</t>
  </si>
  <si>
    <t xml:space="preserve"> Belgium </t>
  </si>
  <si>
    <t>690</t>
  </si>
  <si>
    <t>b'\xf0\x9f\xa5\x98'</t>
  </si>
  <si>
    <t>🥘</t>
  </si>
  <si>
    <t xml:space="preserve"> Shallow Pan Of Food </t>
  </si>
  <si>
    <t>691</t>
  </si>
  <si>
    <t>b'\xf0\x9f\x8d\xb4'</t>
  </si>
  <si>
    <t>🍴</t>
  </si>
  <si>
    <t xml:space="preserve"> Fork And Knife </t>
  </si>
  <si>
    <t>692</t>
  </si>
  <si>
    <t>b'\xf0\x9f\x87\xa6\xf0\x9f\x87\xb9'</t>
  </si>
  <si>
    <t>🇦🇹</t>
  </si>
  <si>
    <t xml:space="preserve"> Austria </t>
  </si>
  <si>
    <t>693</t>
  </si>
  <si>
    <t>b'\xf0\x9f\x91\x92'</t>
  </si>
  <si>
    <t>👒</t>
  </si>
  <si>
    <t xml:space="preserve"> Woman’S Hat </t>
  </si>
  <si>
    <t>694</t>
  </si>
  <si>
    <t>b'\xf0\x9f\x9a\x82'</t>
  </si>
  <si>
    <t>🚂</t>
  </si>
  <si>
    <t xml:space="preserve"> Locomotive </t>
  </si>
  <si>
    <t>695</t>
  </si>
  <si>
    <t>b'\xf0\x9f\x95\x96'</t>
  </si>
  <si>
    <t>🕖</t>
  </si>
  <si>
    <t xml:space="preserve"> Seven O’Clock </t>
  </si>
  <si>
    <t>696</t>
  </si>
  <si>
    <t>b'\xf0\x9f\x93\xbd'</t>
  </si>
  <si>
    <t>📽</t>
  </si>
  <si>
    <t xml:space="preserve"> Film Projector </t>
  </si>
  <si>
    <t>b'\xf0\x9f\x92\xb7'</t>
  </si>
  <si>
    <t>💷</t>
  </si>
  <si>
    <t xml:space="preserve"> Pound Banknote </t>
  </si>
  <si>
    <t>698</t>
  </si>
  <si>
    <t>b'\xf0\x9f\x94\xac'</t>
  </si>
  <si>
    <t>🔬</t>
  </si>
  <si>
    <t xml:space="preserve"> Microscope </t>
  </si>
  <si>
    <t>699</t>
  </si>
  <si>
    <t>b'\xf0\x9f\x8d\x9c'</t>
  </si>
  <si>
    <t>🍜</t>
  </si>
  <si>
    <t xml:space="preserve"> Steaming Bowl </t>
  </si>
  <si>
    <t>700</t>
  </si>
  <si>
    <t>b'\xf0\x9f\x90\xab'</t>
  </si>
  <si>
    <t>🐫</t>
  </si>
  <si>
    <t xml:space="preserve"> Two-Hump Camel </t>
  </si>
  <si>
    <t>-0.25</t>
  </si>
  <si>
    <t>701</t>
  </si>
  <si>
    <t>b'\xf0\x9f\x90\x85'</t>
  </si>
  <si>
    <t>🐅</t>
  </si>
  <si>
    <t xml:space="preserve"> Tiger </t>
  </si>
  <si>
    <t>b'\xf0\x9f\xa6\x87'</t>
  </si>
  <si>
    <t>🦇</t>
  </si>
  <si>
    <t xml:space="preserve"> Bat </t>
  </si>
  <si>
    <t>703</t>
  </si>
  <si>
    <t>b'\xf0\x9f\x95\xb8'</t>
  </si>
  <si>
    <t>🕸</t>
  </si>
  <si>
    <t xml:space="preserve"> Spider Web </t>
  </si>
  <si>
    <t>704</t>
  </si>
  <si>
    <t>b'\xf0\x9f\x90\x81'</t>
  </si>
  <si>
    <t>🐁</t>
  </si>
  <si>
    <t xml:space="preserve"> Mouse </t>
  </si>
  <si>
    <t>-0.125</t>
  </si>
  <si>
    <t>b'\xf0\x9f\x8c\xb0'</t>
  </si>
  <si>
    <t>🌰</t>
  </si>
  <si>
    <t xml:space="preserve"> Chestnut </t>
  </si>
  <si>
    <t>706</t>
  </si>
  <si>
    <t>b'\xf0\x9f\x8d\x9a'</t>
  </si>
  <si>
    <t>🍚</t>
  </si>
  <si>
    <t xml:space="preserve"> Cooked Rice </t>
  </si>
  <si>
    <t>b'\xc2\xa9'</t>
  </si>
  <si>
    <t>©</t>
  </si>
  <si>
    <t xml:space="preserve"> Copyright </t>
  </si>
  <si>
    <t>708</t>
  </si>
  <si>
    <t>b'\xf0\x9f\x94\xb2'</t>
  </si>
  <si>
    <t>🔲</t>
  </si>
  <si>
    <t xml:space="preserve"> Black Square Button </t>
  </si>
  <si>
    <t>709</t>
  </si>
  <si>
    <t>b'\xf0\x9f\x87\xba'</t>
  </si>
  <si>
    <t>🇺</t>
  </si>
  <si>
    <t xml:space="preserve"> Regional Indicator Symbol Letter U </t>
  </si>
  <si>
    <t>710</t>
  </si>
  <si>
    <t>2⃣</t>
  </si>
  <si>
    <t xml:space="preserve"> Keycap Digit Two </t>
  </si>
  <si>
    <t>711</t>
  </si>
  <si>
    <t>b'\xe2\x99\x8e'</t>
  </si>
  <si>
    <t>♎</t>
  </si>
  <si>
    <t xml:space="preserve"> Libra </t>
  </si>
  <si>
    <t>b'\xf0\x9f\x87\xa9'</t>
  </si>
  <si>
    <t>🇩</t>
  </si>
  <si>
    <t xml:space="preserve"> Regional Indicator Symbol Letter D </t>
  </si>
  <si>
    <t>713</t>
  </si>
  <si>
    <t>b'\xf0\x9f\x92\xb2'</t>
  </si>
  <si>
    <t>💲</t>
  </si>
  <si>
    <t xml:space="preserve"> Heavy Dollar Sign </t>
  </si>
  <si>
    <t>714</t>
  </si>
  <si>
    <t>b'\xf0\x9f\x94\xa2'</t>
  </si>
  <si>
    <t>🔢</t>
  </si>
  <si>
    <t xml:space="preserve"> Input Numbers </t>
  </si>
  <si>
    <t>b'\xf0\x9f\x9a\xb9'</t>
  </si>
  <si>
    <t>🚹</t>
  </si>
  <si>
    <t xml:space="preserve"> Men’S Room </t>
  </si>
  <si>
    <t>716</t>
  </si>
  <si>
    <t>1⃣</t>
  </si>
  <si>
    <t xml:space="preserve"> Keycap Digit One </t>
  </si>
  <si>
    <t>717</t>
  </si>
  <si>
    <t>b'\xf0\x9f\x87\xbf\xf0\x9f\x87\xa6'</t>
  </si>
  <si>
    <t>🇿🇦</t>
  </si>
  <si>
    <t xml:space="preserve"> South Africa </t>
  </si>
  <si>
    <t>718</t>
  </si>
  <si>
    <t>b'\xe2\x99\xa3'</t>
  </si>
  <si>
    <t>♣</t>
  </si>
  <si>
    <t xml:space="preserve"> Club Suit </t>
  </si>
  <si>
    <t>b'\xf0\x9f\x8f\x8c'</t>
  </si>
  <si>
    <t>🏌</t>
  </si>
  <si>
    <t xml:space="preserve"> Person Golfing </t>
  </si>
  <si>
    <t>720</t>
  </si>
  <si>
    <t>b'\xe2\x8c\x9b'</t>
  </si>
  <si>
    <t>⌛</t>
  </si>
  <si>
    <t xml:space="preserve"> Hourglass Done </t>
  </si>
  <si>
    <t>721</t>
  </si>
  <si>
    <t>b'\xf0\x9f\x96\xbc'</t>
  </si>
  <si>
    <t>🖼</t>
  </si>
  <si>
    <t xml:space="preserve"> Framed Picture </t>
  </si>
  <si>
    <t>b'\xf0\x9f\x95\x99'</t>
  </si>
  <si>
    <t>🕙</t>
  </si>
  <si>
    <t xml:space="preserve"> Ten O’Clock </t>
  </si>
  <si>
    <t>723</t>
  </si>
  <si>
    <t>b'\xf0\x9f\x9b\xab'</t>
  </si>
  <si>
    <t>🛫</t>
  </si>
  <si>
    <t xml:space="preserve"> Airplane Departure </t>
  </si>
  <si>
    <t>724</t>
  </si>
  <si>
    <t>b'\xf0\x9f\x95\x97'</t>
  </si>
  <si>
    <t>🕗</t>
  </si>
  <si>
    <t xml:space="preserve"> Eight O’Clock </t>
  </si>
  <si>
    <t>725</t>
  </si>
  <si>
    <t>b'\xf0\x9f\xa4\xb5'</t>
  </si>
  <si>
    <t>🤵</t>
  </si>
  <si>
    <t xml:space="preserve"> Man In Tuxedo </t>
  </si>
  <si>
    <t>726</t>
  </si>
  <si>
    <t>b'\xf0\x9f\xa4\xbe'</t>
  </si>
  <si>
    <t>🤾</t>
  </si>
  <si>
    <t xml:space="preserve"> Person Playing Handball </t>
  </si>
  <si>
    <t>b'\xf0\x9f\x97\xbf'</t>
  </si>
  <si>
    <t>🗿</t>
  </si>
  <si>
    <t xml:space="preserve"> Moai </t>
  </si>
  <si>
    <t>-0.625</t>
  </si>
  <si>
    <t>728</t>
  </si>
  <si>
    <t>b'\xe2\x9b\xba'</t>
  </si>
  <si>
    <t>⛺</t>
  </si>
  <si>
    <t xml:space="preserve"> Tent </t>
  </si>
  <si>
    <t>729</t>
  </si>
  <si>
    <t>b'\xf0\x9f\x98\xbd'</t>
  </si>
  <si>
    <t>😽</t>
  </si>
  <si>
    <t xml:space="preserve"> Kissing Cat Face </t>
  </si>
  <si>
    <t>730</t>
  </si>
  <si>
    <t>b'\xf0\x9f\x93\x91'</t>
  </si>
  <si>
    <t>📑</t>
  </si>
  <si>
    <t xml:space="preserve"> Bookmark Tabs </t>
  </si>
  <si>
    <t>731</t>
  </si>
  <si>
    <t>b'\xf0\x9f\x8e\x92'</t>
  </si>
  <si>
    <t>🎒</t>
  </si>
  <si>
    <t xml:space="preserve"> School Backpack </t>
  </si>
  <si>
    <t>732</t>
  </si>
  <si>
    <t>b'\xf0\x9f\x93\xa5'</t>
  </si>
  <si>
    <t>📥</t>
  </si>
  <si>
    <t xml:space="preserve"> Inbox Tray </t>
  </si>
  <si>
    <t>733</t>
  </si>
  <si>
    <t>b'\xf0\x9f\x8e\xad'</t>
  </si>
  <si>
    <t>🎭</t>
  </si>
  <si>
    <t xml:space="preserve"> Performing Arts </t>
  </si>
  <si>
    <t>734</t>
  </si>
  <si>
    <t>b'\xf0\x9f\x9a\xa7'</t>
  </si>
  <si>
    <t>🚧</t>
  </si>
  <si>
    <t xml:space="preserve"> Construction </t>
  </si>
  <si>
    <t>735</t>
  </si>
  <si>
    <t>b'\xf0\x9f\x93\x99'</t>
  </si>
  <si>
    <t>📙</t>
  </si>
  <si>
    <t xml:space="preserve"> Orange Book </t>
  </si>
  <si>
    <t>736</t>
  </si>
  <si>
    <t>b'\xf0\x9f\x87\xaf'</t>
  </si>
  <si>
    <t>🇯</t>
  </si>
  <si>
    <t xml:space="preserve"> Regional Indicator Symbol Letter J </t>
  </si>
  <si>
    <t>737</t>
  </si>
  <si>
    <t>b'\xf0\x9f\x94\x92'</t>
  </si>
  <si>
    <t>🔒</t>
  </si>
  <si>
    <t xml:space="preserve"> Locked </t>
  </si>
  <si>
    <t>738</t>
  </si>
  <si>
    <t>b'\xe3\x80\xbd'</t>
  </si>
  <si>
    <t>〽</t>
  </si>
  <si>
    <t xml:space="preserve"> Part Alternation Mark </t>
  </si>
  <si>
    <t>739</t>
  </si>
  <si>
    <t>b'\xe2\x99\x8d'</t>
  </si>
  <si>
    <t>♍</t>
  </si>
  <si>
    <t xml:space="preserve"> Virgo </t>
  </si>
  <si>
    <t>740</t>
  </si>
  <si>
    <t>b'\xf0\x9f\x87\xa8'</t>
  </si>
  <si>
    <t>🇨</t>
  </si>
  <si>
    <t xml:space="preserve"> Regional Indicator Symbol Letter C </t>
  </si>
  <si>
    <t>741</t>
  </si>
  <si>
    <t>b'\xe2\xac\x86'</t>
  </si>
  <si>
    <t>⬆</t>
  </si>
  <si>
    <t xml:space="preserve"> Up Arrow </t>
  </si>
  <si>
    <t>742</t>
  </si>
  <si>
    <t>b'\xf0\x9f\x87\xab\xf0\x9f\x87\xb7'</t>
  </si>
  <si>
    <t>🇫🇷</t>
  </si>
  <si>
    <t xml:space="preserve"> France </t>
  </si>
  <si>
    <t>b'\xe2\x86\x95'</t>
  </si>
  <si>
    <t>↕</t>
  </si>
  <si>
    <t xml:space="preserve"> Up-Down Arrow </t>
  </si>
  <si>
    <t>744</t>
  </si>
  <si>
    <t>b'\xf0\x9f\x94\x88'</t>
  </si>
  <si>
    <t>🔈</t>
  </si>
  <si>
    <t xml:space="preserve"> Speaker Low Volume </t>
  </si>
  <si>
    <t>745</t>
  </si>
  <si>
    <t>b'\xf0\x9f\xa5\x9b'</t>
  </si>
  <si>
    <t>🥛</t>
  </si>
  <si>
    <t xml:space="preserve"> Glass Of Milk </t>
  </si>
  <si>
    <t>746</t>
  </si>
  <si>
    <t>b'\xf0\x9f\x8d\xb1'</t>
  </si>
  <si>
    <t>🍱</t>
  </si>
  <si>
    <t xml:space="preserve"> Bento Box </t>
  </si>
  <si>
    <t>747</t>
  </si>
  <si>
    <t>b'\xf0\x9f\x8e\xa1'</t>
  </si>
  <si>
    <t>🎡</t>
  </si>
  <si>
    <t xml:space="preserve"> Ferris Wheel </t>
  </si>
  <si>
    <t>748</t>
  </si>
  <si>
    <t>b'\xf0\x9f\x87\xb3\xf0\x9f\x87\xbf'</t>
  </si>
  <si>
    <t>🇳🇿</t>
  </si>
  <si>
    <t xml:space="preserve"> New Zealand </t>
  </si>
  <si>
    <t>749</t>
  </si>
  <si>
    <t>b'\xf0\x9f\x87\xac\xf0\x9f\x87\xb7'</t>
  </si>
  <si>
    <t>🇬🇷</t>
  </si>
  <si>
    <t xml:space="preserve"> Greece </t>
  </si>
  <si>
    <t>750</t>
  </si>
  <si>
    <t>b'\xf0\x9f\x87\xad\xf0\x9f\x87\xb7'</t>
  </si>
  <si>
    <t>🇭🇷</t>
  </si>
  <si>
    <t xml:space="preserve"> Croatia </t>
  </si>
  <si>
    <t>751</t>
  </si>
  <si>
    <t>b'\xf0\x9f\x87\xab'</t>
  </si>
  <si>
    <t>🇫</t>
  </si>
  <si>
    <t xml:space="preserve"> Regional Indicator Symbol Letter F </t>
  </si>
  <si>
    <t>752</t>
  </si>
  <si>
    <t>b'\xf0\x9f\x90\xad'</t>
  </si>
  <si>
    <t>🐭</t>
  </si>
  <si>
    <t xml:space="preserve"> Mouse Face </t>
  </si>
  <si>
    <t>753</t>
  </si>
  <si>
    <t>b'\xf0\x9f\x93\xb3'</t>
  </si>
  <si>
    <t>📳</t>
  </si>
  <si>
    <t xml:space="preserve"> Vibration Mode </t>
  </si>
  <si>
    <t>b'\xf0\x9f\x93\x93'</t>
  </si>
  <si>
    <t>📓</t>
  </si>
  <si>
    <t xml:space="preserve"> Notebook </t>
  </si>
  <si>
    <t>755</t>
  </si>
  <si>
    <t>b'\xf0\x9f\x93\x83'</t>
  </si>
  <si>
    <t>📃</t>
  </si>
  <si>
    <t xml:space="preserve"> Page With Curl </t>
  </si>
  <si>
    <t>756</t>
  </si>
  <si>
    <t>b'\xf0\x9f\xa4\x96'</t>
  </si>
  <si>
    <t>🤖</t>
  </si>
  <si>
    <t xml:space="preserve"> Robot Face </t>
  </si>
  <si>
    <t>757</t>
  </si>
  <si>
    <t>b'\xf0\x9f\x8e\x9f'</t>
  </si>
  <si>
    <t>🎟</t>
  </si>
  <si>
    <t xml:space="preserve"> Admission Tickets </t>
  </si>
  <si>
    <t>758</t>
  </si>
  <si>
    <t>b'\xf0\x9f\x95\x93'</t>
  </si>
  <si>
    <t>🕓</t>
  </si>
  <si>
    <t xml:space="preserve"> Four O’Clock </t>
  </si>
  <si>
    <t>759</t>
  </si>
  <si>
    <t>b'\xf0\x9f\x9a\xb4'</t>
  </si>
  <si>
    <t>🚴</t>
  </si>
  <si>
    <t xml:space="preserve"> Person Biking </t>
  </si>
  <si>
    <t>760</t>
  </si>
  <si>
    <t>b'\xf0\x9f\xa4\xb9'</t>
  </si>
  <si>
    <t>🤹</t>
  </si>
  <si>
    <t xml:space="preserve"> Person Juggling </t>
  </si>
  <si>
    <t>761</t>
  </si>
  <si>
    <t>b'\xf0\x9f\x8f\x84'</t>
  </si>
  <si>
    <t>🏄</t>
  </si>
  <si>
    <t xml:space="preserve"> Person Surfing </t>
  </si>
  <si>
    <t>762</t>
  </si>
  <si>
    <t>b'\xf0\x9f\xa4\xb0'</t>
  </si>
  <si>
    <t>🤰</t>
  </si>
  <si>
    <t xml:space="preserve"> Pregnant Woman </t>
  </si>
  <si>
    <t>763</t>
  </si>
  <si>
    <t>b'\xf0\x9f\x8f\x90'</t>
  </si>
  <si>
    <t>🏐</t>
  </si>
  <si>
    <t xml:space="preserve"> Volleyball </t>
  </si>
  <si>
    <t>764</t>
  </si>
  <si>
    <t>b'\xf0\x9f\x93\x97'</t>
  </si>
  <si>
    <t>📗</t>
  </si>
  <si>
    <t xml:space="preserve"> Green Book </t>
  </si>
  <si>
    <t>765</t>
  </si>
  <si>
    <t>b'\xf0\x9f\x9b\xa9'</t>
  </si>
  <si>
    <t>🛩</t>
  </si>
  <si>
    <t xml:space="preserve"> Small Airplane </t>
  </si>
  <si>
    <t>766</t>
  </si>
  <si>
    <t>b'\xf0\x9f\x94\x8c'</t>
  </si>
  <si>
    <t>🔌</t>
  </si>
  <si>
    <t xml:space="preserve"> Electric Plug </t>
  </si>
  <si>
    <t>767</t>
  </si>
  <si>
    <t>b'\xf0\x9f\x92\xb4'</t>
  </si>
  <si>
    <t>💴</t>
  </si>
  <si>
    <t xml:space="preserve"> Yen Banknote </t>
  </si>
  <si>
    <t>768</t>
  </si>
  <si>
    <t>b'\xf0\x9f\x9a\x93'</t>
  </si>
  <si>
    <t>🚓</t>
  </si>
  <si>
    <t xml:space="preserve"> Police Car </t>
  </si>
  <si>
    <t>769</t>
  </si>
  <si>
    <t>b'\xf0\x9f\x93\x84'</t>
  </si>
  <si>
    <t>📄</t>
  </si>
  <si>
    <t xml:space="preserve"> Page Facing Up </t>
  </si>
  <si>
    <t>b'\xf0\x9f\xa6\x86'</t>
  </si>
  <si>
    <t>🦆</t>
  </si>
  <si>
    <t xml:space="preserve"> Duck </t>
  </si>
  <si>
    <t>b'\xe2\x9b\xb0'</t>
  </si>
  <si>
    <t>⛰</t>
  </si>
  <si>
    <t xml:space="preserve"> Mountain </t>
  </si>
  <si>
    <t>772</t>
  </si>
  <si>
    <t>b'\xf0\x9f\x90\xa9'</t>
  </si>
  <si>
    <t>🐩</t>
  </si>
  <si>
    <t xml:space="preserve"> Poodle </t>
  </si>
  <si>
    <t>773</t>
  </si>
  <si>
    <t>b'\xf0\x9f\x90\xb9'</t>
  </si>
  <si>
    <t>🐹</t>
  </si>
  <si>
    <t xml:space="preserve"> Hamster Face </t>
  </si>
  <si>
    <t>774</t>
  </si>
  <si>
    <t>b'\xf0\x9f\x90\x87'</t>
  </si>
  <si>
    <t>🐇</t>
  </si>
  <si>
    <t xml:space="preserve"> Rabbit </t>
  </si>
  <si>
    <t>775</t>
  </si>
  <si>
    <t>b'\xf0\x9f\xa6\x88'</t>
  </si>
  <si>
    <t>🦈</t>
  </si>
  <si>
    <t xml:space="preserve"> Shark </t>
  </si>
  <si>
    <t>776</t>
  </si>
  <si>
    <t>b'\xf0\x9f\x8c\xbd'</t>
  </si>
  <si>
    <t>🌽</t>
  </si>
  <si>
    <t xml:space="preserve"> Ear Of Corn </t>
  </si>
  <si>
    <t>777</t>
  </si>
  <si>
    <t>b'\xf0\x9f\x8d\xbe'</t>
  </si>
  <si>
    <t>🍾</t>
  </si>
  <si>
    <t xml:space="preserve"> Bottle With Popping Cork </t>
  </si>
  <si>
    <t>778</t>
  </si>
  <si>
    <t>b'\xf0\x9f\x8d\x8b'</t>
  </si>
  <si>
    <t>🍋</t>
  </si>
  <si>
    <t xml:space="preserve"> Lemon </t>
  </si>
  <si>
    <t>779</t>
  </si>
  <si>
    <t>b'\xf0\x9f\x8d\x9e'</t>
  </si>
  <si>
    <t>🍞</t>
  </si>
  <si>
    <t xml:space="preserve"> Bread </t>
  </si>
  <si>
    <t>780</t>
  </si>
  <si>
    <t>b'\xe3\x8a\x97'</t>
  </si>
  <si>
    <t>㊗</t>
  </si>
  <si>
    <t xml:space="preserve"> Japanese Congratulations Button </t>
  </si>
  <si>
    <t>781</t>
  </si>
  <si>
    <t>b'\xf0\x9f\x9a\xaa'</t>
  </si>
  <si>
    <t>🚪</t>
  </si>
  <si>
    <t xml:space="preserve"> Door </t>
  </si>
  <si>
    <t>782</t>
  </si>
  <si>
    <t>b'\xf0\x9f\x8f\xb0'</t>
  </si>
  <si>
    <t>🏰</t>
  </si>
  <si>
    <t xml:space="preserve"> Castle </t>
  </si>
  <si>
    <t>783</t>
  </si>
  <si>
    <t>b'\xe2\x9b\xaa'</t>
  </si>
  <si>
    <t>⛪</t>
  </si>
  <si>
    <t xml:space="preserve"> Church </t>
  </si>
  <si>
    <t>784</t>
  </si>
  <si>
    <t>b'\xf0\x9f\xa4\xb4'</t>
  </si>
  <si>
    <t>🤴</t>
  </si>
  <si>
    <t xml:space="preserve"> Prince </t>
  </si>
  <si>
    <t>785</t>
  </si>
  <si>
    <t>b'\xf0\x9f\x92\x82'</t>
  </si>
  <si>
    <t>💂</t>
  </si>
  <si>
    <t xml:space="preserve"> Guard </t>
  </si>
  <si>
    <t>786</t>
  </si>
  <si>
    <t>b'\xf0\x9f\x95\xa3'</t>
  </si>
  <si>
    <t>🕣</t>
  </si>
  <si>
    <t xml:space="preserve"> Eight-Thirty </t>
  </si>
  <si>
    <t>787</t>
  </si>
  <si>
    <t>b'\xf0\x9f\x9b\x92'</t>
  </si>
  <si>
    <t>🛒</t>
  </si>
  <si>
    <t xml:space="preserve"> Shopping Cart </t>
  </si>
  <si>
    <t>788</t>
  </si>
  <si>
    <t>b'\xf0\x9f\xa5\x89'</t>
  </si>
  <si>
    <t>🥉</t>
  </si>
  <si>
    <t xml:space="preserve"> 3Rd Place Medal </t>
  </si>
  <si>
    <t>789</t>
  </si>
  <si>
    <t>b'\xf0\x9f\x8e\x9e'</t>
  </si>
  <si>
    <t>🎞</t>
  </si>
  <si>
    <t xml:space="preserve"> Film Frames </t>
  </si>
  <si>
    <t>790</t>
  </si>
  <si>
    <t>b'\xf0\x9f\x8f\x8e'</t>
  </si>
  <si>
    <t>🏎</t>
  </si>
  <si>
    <t xml:space="preserve"> Racing Car </t>
  </si>
  <si>
    <t>791</t>
  </si>
  <si>
    <t>b'\xf0\x9f\x8e\xbe'</t>
  </si>
  <si>
    <t>🎾</t>
  </si>
  <si>
    <t xml:space="preserve"> Tennis </t>
  </si>
  <si>
    <t>792</t>
  </si>
  <si>
    <t>b'\xf0\x9f\x94\xa6'</t>
  </si>
  <si>
    <t>🔦</t>
  </si>
  <si>
    <t xml:space="preserve"> Flashlight </t>
  </si>
  <si>
    <t>793</t>
  </si>
  <si>
    <t>b'\xf0\x9f\x9a\x94'</t>
  </si>
  <si>
    <t>🚔</t>
  </si>
  <si>
    <t xml:space="preserve"> Oncoming Police Car </t>
  </si>
  <si>
    <t>794</t>
  </si>
  <si>
    <t>b'\xf0\x9f\x8d\x9b'</t>
  </si>
  <si>
    <t>🍛</t>
  </si>
  <si>
    <t xml:space="preserve"> Curry Rice </t>
  </si>
  <si>
    <t>795</t>
  </si>
  <si>
    <t>b'\xf0\x9f\xa5\x8a'</t>
  </si>
  <si>
    <t>🥊</t>
  </si>
  <si>
    <t xml:space="preserve"> Boxing Glove </t>
  </si>
  <si>
    <t>-0.16666666666666669</t>
  </si>
  <si>
    <t>796</t>
  </si>
  <si>
    <t>b'\xf0\x9f\x9a\xa6'</t>
  </si>
  <si>
    <t>🚦</t>
  </si>
  <si>
    <t xml:space="preserve"> Vertical Traffic Light </t>
  </si>
  <si>
    <t>797</t>
  </si>
  <si>
    <t>b'\xf0\x9f\xa5\x84'</t>
  </si>
  <si>
    <t>🥄</t>
  </si>
  <si>
    <t xml:space="preserve"> Spoon </t>
  </si>
  <si>
    <t>798</t>
  </si>
  <si>
    <t>b'\xf0\x9f\x91\x94'</t>
  </si>
  <si>
    <t>👔</t>
  </si>
  <si>
    <t xml:space="preserve"> Necktie </t>
  </si>
  <si>
    <t>-0.5</t>
  </si>
  <si>
    <t>799</t>
  </si>
  <si>
    <t>b'\xf0\x9f\x8f\xae'</t>
  </si>
  <si>
    <t>🏮</t>
  </si>
  <si>
    <t xml:space="preserve"> Red Paper Lantern </t>
  </si>
  <si>
    <t>800</t>
  </si>
  <si>
    <t>b'\xf0\x9f\x95\x94'</t>
  </si>
  <si>
    <t>🕔</t>
  </si>
  <si>
    <t xml:space="preserve"> Five O’Clock </t>
  </si>
  <si>
    <t>801</t>
  </si>
  <si>
    <t>b'\xf0\x9f\x95\x91'</t>
  </si>
  <si>
    <t>🕑</t>
  </si>
  <si>
    <t xml:space="preserve"> Two O’Clock </t>
  </si>
  <si>
    <t>b'\xf0\x9f\x9a\x9c'</t>
  </si>
  <si>
    <t>🚜</t>
  </si>
  <si>
    <t xml:space="preserve"> Tractor </t>
  </si>
  <si>
    <t>803</t>
  </si>
  <si>
    <t>b'\xe2\x9a\xb0'</t>
  </si>
  <si>
    <t>⚰</t>
  </si>
  <si>
    <t xml:space="preserve"> Coffin </t>
  </si>
  <si>
    <t>804</t>
  </si>
  <si>
    <t>b'\xf0\x9f\x94\x8d'</t>
  </si>
  <si>
    <t>🔍</t>
  </si>
  <si>
    <t xml:space="preserve"> Magnifying Glass Tilted Left </t>
  </si>
  <si>
    <t>b'\xf0\x9f\x91\x9a'</t>
  </si>
  <si>
    <t>👚</t>
  </si>
  <si>
    <t xml:space="preserve"> Woman’S Clothes </t>
  </si>
  <si>
    <t>806</t>
  </si>
  <si>
    <t>b'\xf0\x9f\x9a\xbf'</t>
  </si>
  <si>
    <t>🚿</t>
  </si>
  <si>
    <t xml:space="preserve"> Shower </t>
  </si>
  <si>
    <t>807</t>
  </si>
  <si>
    <t>b'\xf0\x9f\x93\xa6'</t>
  </si>
  <si>
    <t>📦</t>
  </si>
  <si>
    <t xml:space="preserve"> Package </t>
  </si>
  <si>
    <t>808</t>
  </si>
  <si>
    <t>b'\xf0\x9f\x91\x96'</t>
  </si>
  <si>
    <t>👖</t>
  </si>
  <si>
    <t xml:space="preserve"> Jeans </t>
  </si>
  <si>
    <t>809</t>
  </si>
  <si>
    <t>b'\xf0\x9f\x8d\xb6'</t>
  </si>
  <si>
    <t>🍶</t>
  </si>
  <si>
    <t xml:space="preserve"> Sake </t>
  </si>
  <si>
    <t>810</t>
  </si>
  <si>
    <t>b'\xf0\x9f\x8d\xa3'</t>
  </si>
  <si>
    <t>🍣</t>
  </si>
  <si>
    <t xml:space="preserve"> Sushi </t>
  </si>
  <si>
    <t>811</t>
  </si>
  <si>
    <t>b'\xf0\x9f\xa5\x96'</t>
  </si>
  <si>
    <t>🥖</t>
  </si>
  <si>
    <t xml:space="preserve"> Baguette Bread </t>
  </si>
  <si>
    <t>812</t>
  </si>
  <si>
    <t>b'\xf0\x9f\x8c\x94'</t>
  </si>
  <si>
    <t>🌔</t>
  </si>
  <si>
    <t xml:space="preserve"> Waxing Gibbous Moon </t>
  </si>
  <si>
    <t>b'\xf0\x9f\xa7\x80'</t>
  </si>
  <si>
    <t>🧀</t>
  </si>
  <si>
    <t xml:space="preserve"> Cheese Wedge </t>
  </si>
  <si>
    <t>814</t>
  </si>
  <si>
    <t>b'\xf0\x9f\x90\xb5'</t>
  </si>
  <si>
    <t>🐵</t>
  </si>
  <si>
    <t xml:space="preserve"> Monkey Face </t>
  </si>
  <si>
    <t>815</t>
  </si>
  <si>
    <t>b'\xf0\x9f\x8c\x96'</t>
  </si>
  <si>
    <t>🌖</t>
  </si>
  <si>
    <t xml:space="preserve"> Waning Gibbous Moon </t>
  </si>
  <si>
    <t>b'\xf0\x9f\x90\xb7'</t>
  </si>
  <si>
    <t>🐷</t>
  </si>
  <si>
    <t xml:space="preserve"> Pig Face </t>
  </si>
  <si>
    <t>817</t>
  </si>
  <si>
    <t>b'\xf0\x9f\x8c\x93'</t>
  </si>
  <si>
    <t>🌓</t>
  </si>
  <si>
    <t xml:space="preserve"> First Quarter Moon </t>
  </si>
  <si>
    <t>818</t>
  </si>
  <si>
    <t>b'\xf0\x9f\x90\x8b'</t>
  </si>
  <si>
    <t>🐋</t>
  </si>
  <si>
    <t xml:space="preserve"> Whale </t>
  </si>
  <si>
    <t>819</t>
  </si>
  <si>
    <t>b'\xe2\x98\x83'</t>
  </si>
  <si>
    <t>☃</t>
  </si>
  <si>
    <t xml:space="preserve"> Snowman </t>
  </si>
  <si>
    <t>820</t>
  </si>
  <si>
    <t>b'\xf0\x9f\x90\xb3'</t>
  </si>
  <si>
    <t>🐳</t>
  </si>
  <si>
    <t xml:space="preserve"> Spouting Whale </t>
  </si>
  <si>
    <t>821</t>
  </si>
  <si>
    <t>b'\xf0\x9f\x90\x9b'</t>
  </si>
  <si>
    <t>🐛</t>
  </si>
  <si>
    <t xml:space="preserve"> Bug </t>
  </si>
  <si>
    <t>822</t>
  </si>
  <si>
    <t>b'\xf0\x9f\x8f\x9c'</t>
  </si>
  <si>
    <t>🏜</t>
  </si>
  <si>
    <t xml:space="preserve"> Desert </t>
  </si>
  <si>
    <t>823</t>
  </si>
  <si>
    <t>b'\xf0\x9f\x90\x84'</t>
  </si>
  <si>
    <t>🐄</t>
  </si>
  <si>
    <t xml:space="preserve"> Cow </t>
  </si>
  <si>
    <t>824</t>
  </si>
  <si>
    <t>b'\xf0\x9f\x90\x86'</t>
  </si>
  <si>
    <t>🐆</t>
  </si>
  <si>
    <t xml:space="preserve"> Leopard </t>
  </si>
  <si>
    <t>825</t>
  </si>
  <si>
    <t>b'\xf0\x9f\x8f\x96'</t>
  </si>
  <si>
    <t>🏖</t>
  </si>
  <si>
    <t xml:space="preserve"> Beach With Umbrella </t>
  </si>
  <si>
    <t>826</t>
  </si>
  <si>
    <t>b'\xf0\x9f\x8c\x98'</t>
  </si>
  <si>
    <t>🌘</t>
  </si>
  <si>
    <t xml:space="preserve"> Waning Crescent Moon </t>
  </si>
  <si>
    <t>827</t>
  </si>
  <si>
    <t>b'\xf0\x9f\x87\xa8\xf0\x9f\x87\xb4'</t>
  </si>
  <si>
    <t>🇨🇴</t>
  </si>
  <si>
    <t xml:space="preserve"> Colombia </t>
  </si>
  <si>
    <t>828</t>
  </si>
  <si>
    <t>b'\xf0\x9f\x87\xb5\xf0\x9f\x87\xb0'</t>
  </si>
  <si>
    <t>🇵🇰</t>
  </si>
  <si>
    <t xml:space="preserve"> Pakistan </t>
  </si>
  <si>
    <t>829</t>
  </si>
  <si>
    <t>b'\xf0\x9f\x87\xb2\xf0\x9f\x87\xbd'</t>
  </si>
  <si>
    <t>🇲🇽</t>
  </si>
  <si>
    <t xml:space="preserve"> Mexico </t>
  </si>
  <si>
    <t>830</t>
  </si>
  <si>
    <t>b'\xf0\x9f\x87\xba\xf0\x9f\x87\xb8'</t>
  </si>
  <si>
    <t>🇺🇸</t>
  </si>
  <si>
    <t xml:space="preserve"> United States </t>
  </si>
  <si>
    <t>831</t>
  </si>
  <si>
    <t>b'\xf0\x9f\x87\xa8\xf0\x9f\x87\xb3'</t>
  </si>
  <si>
    <t>🇨🇳</t>
  </si>
  <si>
    <t xml:space="preserve"> China </t>
  </si>
  <si>
    <t>b'\xf0\x9f\x87\xb3\xf0\x9f\x87\xb1'</t>
  </si>
  <si>
    <t>🇳🇱</t>
  </si>
  <si>
    <t xml:space="preserve"> Netherlands </t>
  </si>
  <si>
    <t>833</t>
  </si>
  <si>
    <t>b'\xe2\x8f\xab'</t>
  </si>
  <si>
    <t>⏫</t>
  </si>
  <si>
    <t xml:space="preserve"> Fast Up Button </t>
  </si>
  <si>
    <t>834</t>
  </si>
  <si>
    <t>b'\xf0\x9f\x8f\xa7'</t>
  </si>
  <si>
    <t>🏧</t>
  </si>
  <si>
    <t xml:space="preserve"> Atm Sign </t>
  </si>
  <si>
    <t>835</t>
  </si>
  <si>
    <t>b'\xe2\x99\x88'</t>
  </si>
  <si>
    <t>♈</t>
  </si>
  <si>
    <t xml:space="preserve"> Aries </t>
  </si>
  <si>
    <t>836</t>
  </si>
  <si>
    <t>b'\xf0\x9f\x9a\xb8'</t>
  </si>
  <si>
    <t>🚸</t>
  </si>
  <si>
    <t xml:space="preserve"> Children Crossing </t>
  </si>
  <si>
    <t>837</t>
  </si>
  <si>
    <t>b'\xf0\x9f\x94\x9b'</t>
  </si>
  <si>
    <t>🔛</t>
  </si>
  <si>
    <t xml:space="preserve"> On! Arrow </t>
  </si>
  <si>
    <t>838</t>
  </si>
  <si>
    <t>b'\xf0\x9f\x90\xbb'</t>
  </si>
  <si>
    <t>🐻</t>
  </si>
  <si>
    <t xml:space="preserve"> Bear Face </t>
  </si>
  <si>
    <t>839</t>
  </si>
  <si>
    <t>b'\xf0\x9f\x8c\x91'</t>
  </si>
  <si>
    <t>🌑</t>
  </si>
  <si>
    <t xml:space="preserve"> New Moon </t>
  </si>
  <si>
    <t>840</t>
  </si>
  <si>
    <t>b'\xf0\x9f\x97\x92'</t>
  </si>
  <si>
    <t>🗒</t>
  </si>
  <si>
    <t xml:space="preserve"> Spiral Notepad </t>
  </si>
  <si>
    <t>841</t>
  </si>
  <si>
    <t>b'\xe2\x99\x93'</t>
  </si>
  <si>
    <t>♓</t>
  </si>
  <si>
    <t xml:space="preserve"> Pisces </t>
  </si>
  <si>
    <t>b'\xf0\x9f\x9a\xb7'</t>
  </si>
  <si>
    <t>🚷</t>
  </si>
  <si>
    <t xml:space="preserve"> No Pedestrians </t>
  </si>
  <si>
    <t>843</t>
  </si>
  <si>
    <t>b'\xe2\x9e\x95'</t>
  </si>
  <si>
    <t>➕</t>
  </si>
  <si>
    <t xml:space="preserve"> Heavy Plus Sign </t>
  </si>
  <si>
    <t>844</t>
  </si>
  <si>
    <t>b'\xe2\x99\xbf'</t>
  </si>
  <si>
    <t>♿</t>
  </si>
  <si>
    <t xml:space="preserve"> Wheelchair Symbol </t>
  </si>
  <si>
    <t>845</t>
  </si>
  <si>
    <t>b'\xf0\x9f\x94\x93'</t>
  </si>
  <si>
    <t>🔓</t>
  </si>
  <si>
    <t xml:space="preserve"> Unlocked </t>
  </si>
  <si>
    <t>846</t>
  </si>
  <si>
    <t>b'\xf0\x9f\x9a\xad'</t>
  </si>
  <si>
    <t>🚭</t>
  </si>
  <si>
    <t xml:space="preserve"> No Smoking </t>
  </si>
  <si>
    <t>847</t>
  </si>
  <si>
    <t>b'\xf0\x9f\x8d\xb8'</t>
  </si>
  <si>
    <t>🍸</t>
  </si>
  <si>
    <t xml:space="preserve"> Cocktail Glass </t>
  </si>
  <si>
    <t>848</t>
  </si>
  <si>
    <t>b'\xf0\x9f\x9a\xbc'</t>
  </si>
  <si>
    <t>🚼</t>
  </si>
  <si>
    <t xml:space="preserve"> Baby Symbol </t>
  </si>
  <si>
    <t>849</t>
  </si>
  <si>
    <t>b'\xf0\x9f\x9b\xb3'</t>
  </si>
  <si>
    <t>🛳</t>
  </si>
  <si>
    <t xml:space="preserve"> Passenger Ship </t>
  </si>
  <si>
    <t>850</t>
  </si>
  <si>
    <t>b'\xf0\x9f\xa5\x83'</t>
  </si>
  <si>
    <t>🥃</t>
  </si>
  <si>
    <t xml:space="preserve"> Tumbler Glass </t>
  </si>
  <si>
    <t>851</t>
  </si>
  <si>
    <t>b'\xf0\x9f\x8d\x90'</t>
  </si>
  <si>
    <t>🍐</t>
  </si>
  <si>
    <t xml:space="preserve"> Pear </t>
  </si>
  <si>
    <t>852</t>
  </si>
  <si>
    <t>b'\xf0\x9f\x87\xbf'</t>
  </si>
  <si>
    <t>🇿</t>
  </si>
  <si>
    <t xml:space="preserve"> Regional Indicator Symbol Letter Z </t>
  </si>
  <si>
    <t>853</t>
  </si>
  <si>
    <t>b'\xf0\x9f\x87\xb3\xf0\x9f\x87\xb4'</t>
  </si>
  <si>
    <t>🇳🇴</t>
  </si>
  <si>
    <t xml:space="preserve"> Norway </t>
  </si>
  <si>
    <t>854</t>
  </si>
  <si>
    <t>b'\xf0\x9f\x87\xa6\xf0\x9f\x87\xa8'</t>
  </si>
  <si>
    <t>🇦🇨</t>
  </si>
  <si>
    <t xml:space="preserve"> Ascension Island </t>
  </si>
  <si>
    <t>b'\xf0\x9f\x87\xa8\xf0\x9f\x87\xa9'</t>
  </si>
  <si>
    <t>🇨🇩</t>
  </si>
  <si>
    <t xml:space="preserve"> Congo - Kinshasa </t>
  </si>
  <si>
    <t>856</t>
  </si>
  <si>
    <t>b'\xf0\x9f\x87\xba\xf0\x9f\x87\xac'</t>
  </si>
  <si>
    <t>🇺🇬</t>
  </si>
  <si>
    <t xml:space="preserve"> Uganda </t>
  </si>
  <si>
    <t>857</t>
  </si>
  <si>
    <t>b'\xf0\x9f\x87\xa8\xf0\x9f\x87\xac'</t>
  </si>
  <si>
    <t>🇨🇬</t>
  </si>
  <si>
    <t xml:space="preserve"> Congo - Brazzaville </t>
  </si>
  <si>
    <t>858</t>
  </si>
  <si>
    <t>b'\xf0\x9f\x87\xa7\xf0\x9f\x87\xab'</t>
  </si>
  <si>
    <t>🇧🇫</t>
  </si>
  <si>
    <t xml:space="preserve"> Burkina Faso </t>
  </si>
  <si>
    <t>859</t>
  </si>
  <si>
    <t>b'\xf0\x9f\x8e\x8c'</t>
  </si>
  <si>
    <t>🎌</t>
  </si>
  <si>
    <t xml:space="preserve"> Crossed Flags </t>
  </si>
  <si>
    <t>860</t>
  </si>
  <si>
    <t>b'\xf0\x9f\x87\xb0\xf0\x9f\x87\xb7'</t>
  </si>
  <si>
    <t>🇰🇷</t>
  </si>
  <si>
    <t xml:space="preserve"> South Korea </t>
  </si>
  <si>
    <t>861</t>
  </si>
  <si>
    <t>b'\xe2\x9e\xa1'</t>
  </si>
  <si>
    <t>➡</t>
  </si>
  <si>
    <t xml:space="preserve"> Right Arrow </t>
  </si>
  <si>
    <t>862</t>
  </si>
  <si>
    <t>b'\xe2\x98\xaf'</t>
  </si>
  <si>
    <t>☯</t>
  </si>
  <si>
    <t xml:space="preserve"> Yin Yang </t>
  </si>
  <si>
    <t>863</t>
  </si>
  <si>
    <t>b'\xf0\x9f\x97\xba'</t>
  </si>
  <si>
    <t>🗺</t>
  </si>
  <si>
    <t xml:space="preserve"> World Map </t>
  </si>
  <si>
    <t>864</t>
  </si>
  <si>
    <t>b'\xf0\x9f\xa5\x9c'</t>
  </si>
  <si>
    <t>🥜</t>
  </si>
  <si>
    <t xml:space="preserve"> Peanuts </t>
  </si>
  <si>
    <t>865</t>
  </si>
  <si>
    <t>b'\xf0\x9f\x8c\xb6'</t>
  </si>
  <si>
    <t>🌶</t>
  </si>
  <si>
    <t xml:space="preserve"> Hot Pepper </t>
  </si>
  <si>
    <t>866</t>
  </si>
  <si>
    <t>b'\xe2\x99\x80'</t>
  </si>
  <si>
    <t>♀</t>
  </si>
  <si>
    <t xml:space="preserve"> Female Sign </t>
  </si>
  <si>
    <t>867</t>
  </si>
  <si>
    <t>b'\xf0\x9f\x94\x89'</t>
  </si>
  <si>
    <t>🔉</t>
  </si>
  <si>
    <t xml:space="preserve"> Speaker Medium Volume </t>
  </si>
  <si>
    <t>868</t>
  </si>
  <si>
    <t>b'\xf0\x9f\x86\x95'</t>
  </si>
  <si>
    <t>🆕</t>
  </si>
  <si>
    <t xml:space="preserve"> New Button </t>
  </si>
  <si>
    <t>869</t>
  </si>
  <si>
    <t>b'\xf0\x9f\x94\xb3'</t>
  </si>
  <si>
    <t>🔳</t>
  </si>
  <si>
    <t xml:space="preserve"> White Square Button </t>
  </si>
  <si>
    <t>870</t>
  </si>
  <si>
    <t>b'\xe2\x8f\xa9'</t>
  </si>
  <si>
    <t>⏩</t>
  </si>
  <si>
    <t xml:space="preserve"> Fast-Forward Button </t>
  </si>
  <si>
    <t>b'\xe2\x98\xaa'</t>
  </si>
  <si>
    <t>☪</t>
  </si>
  <si>
    <t xml:space="preserve"> Star And Crescent </t>
  </si>
  <si>
    <t>872</t>
  </si>
  <si>
    <t>b'\xe2\xa4\xb4'</t>
  </si>
  <si>
    <t>⤴</t>
  </si>
  <si>
    <t xml:space="preserve"> Right Arrow Curving Up </t>
  </si>
  <si>
    <t>873</t>
  </si>
  <si>
    <t>b'\xf0\x9f\x85\xbe'</t>
  </si>
  <si>
    <t>🅾</t>
  </si>
  <si>
    <t xml:space="preserve"> O Button (Blood Type) </t>
  </si>
  <si>
    <t>b'\xe2\x99\x92'</t>
  </si>
  <si>
    <t>♒</t>
  </si>
  <si>
    <t xml:space="preserve"> Aquarius </t>
  </si>
  <si>
    <t>875</t>
  </si>
  <si>
    <t>b'\xe2\x86\x97'</t>
  </si>
  <si>
    <t>↗</t>
  </si>
  <si>
    <t xml:space="preserve"> Up-Right Arrow </t>
  </si>
  <si>
    <t>876</t>
  </si>
  <si>
    <t>b'\xe2\x99\xbe'</t>
  </si>
  <si>
    <t>♾</t>
  </si>
  <si>
    <t xml:space="preserve"> Infinity </t>
  </si>
  <si>
    <t>877</t>
  </si>
  <si>
    <t>b'\xf0\x9f\x86\x91'</t>
  </si>
  <si>
    <t>🆑</t>
  </si>
  <si>
    <t xml:space="preserve"> Cl Button </t>
  </si>
  <si>
    <t>878</t>
  </si>
  <si>
    <t>b'\xe2\x9a\x99'</t>
  </si>
  <si>
    <t>⚙</t>
  </si>
  <si>
    <t xml:space="preserve"> Gear </t>
  </si>
  <si>
    <t>879</t>
  </si>
  <si>
    <t>b'\xf0\x9f\x8d\xa2'</t>
  </si>
  <si>
    <t>🍢</t>
  </si>
  <si>
    <t xml:space="preserve"> Oden </t>
  </si>
  <si>
    <t>880</t>
  </si>
  <si>
    <t>b'\xf0\x9f\x92\xba'</t>
  </si>
  <si>
    <t>💺</t>
  </si>
  <si>
    <t xml:space="preserve"> Seat </t>
  </si>
  <si>
    <t>881</t>
  </si>
  <si>
    <t>b'\xf0\x9f\x90\xa2'</t>
  </si>
  <si>
    <t>🐢</t>
  </si>
  <si>
    <t xml:space="preserve"> Turtle </t>
  </si>
  <si>
    <t>882</t>
  </si>
  <si>
    <t>b'\xf0\x9f\x9b\xa1'</t>
  </si>
  <si>
    <t>🛡</t>
  </si>
  <si>
    <t xml:space="preserve"> Shield </t>
  </si>
  <si>
    <t>883</t>
  </si>
  <si>
    <t>b'\xf0\x9f\x8e\xb1'</t>
  </si>
  <si>
    <t>🎱</t>
  </si>
  <si>
    <t xml:space="preserve"> Pool 8 Ball </t>
  </si>
  <si>
    <t>884</t>
  </si>
  <si>
    <t>b'\xe2\x9a\xb1'</t>
  </si>
  <si>
    <t>⚱</t>
  </si>
  <si>
    <t xml:space="preserve"> Funeral Urn </t>
  </si>
  <si>
    <t>885</t>
  </si>
  <si>
    <t>b'\xf0\x9f\x9a\x84'</t>
  </si>
  <si>
    <t>🚄</t>
  </si>
  <si>
    <t xml:space="preserve"> High-Speed Train </t>
  </si>
  <si>
    <t>886</t>
  </si>
  <si>
    <t>b'\xf0\x9f\xa5\x88'</t>
  </si>
  <si>
    <t>🥈</t>
  </si>
  <si>
    <t xml:space="preserve"> 2Nd Place Medal </t>
  </si>
  <si>
    <t>887</t>
  </si>
  <si>
    <t>b'\xf0\x9f\x93\x80'</t>
  </si>
  <si>
    <t>📀</t>
  </si>
  <si>
    <t xml:space="preserve"> Dvd </t>
  </si>
  <si>
    <t>888</t>
  </si>
  <si>
    <t>b'\xf0\x9f\x9a\xa2'</t>
  </si>
  <si>
    <t>🚢</t>
  </si>
  <si>
    <t xml:space="preserve"> Ship </t>
  </si>
  <si>
    <t>889</t>
  </si>
  <si>
    <t>b'\xf0\x9f\x92\xbf'</t>
  </si>
  <si>
    <t>💿</t>
  </si>
  <si>
    <t xml:space="preserve"> Optical Disk </t>
  </si>
  <si>
    <t>890</t>
  </si>
  <si>
    <t>b'\xf0\x9f\x8f\xb8'</t>
  </si>
  <si>
    <t>🏸</t>
  </si>
  <si>
    <t xml:space="preserve"> Badminton </t>
  </si>
  <si>
    <t>891</t>
  </si>
  <si>
    <t>b'\xe2\x9b\xbd'</t>
  </si>
  <si>
    <t>⛽</t>
  </si>
  <si>
    <t xml:space="preserve"> Fuel Pump </t>
  </si>
  <si>
    <t>892</t>
  </si>
  <si>
    <t>b'\xf0\x9f\x83\x8f'</t>
  </si>
  <si>
    <t>🃏</t>
  </si>
  <si>
    <t xml:space="preserve"> Joker </t>
  </si>
  <si>
    <t>893</t>
  </si>
  <si>
    <t>b'\xf0\x9f\x90\x82'</t>
  </si>
  <si>
    <t>🐂</t>
  </si>
  <si>
    <t xml:space="preserve"> Ox </t>
  </si>
  <si>
    <t>894</t>
  </si>
  <si>
    <t>b'\xf0\x9f\x9a\x92'</t>
  </si>
  <si>
    <t>🚒</t>
  </si>
  <si>
    <t xml:space="preserve"> Fire Engine </t>
  </si>
  <si>
    <t>895</t>
  </si>
  <si>
    <t>b'\xf0\x9f\x9a\x9a'</t>
  </si>
  <si>
    <t>🚚</t>
  </si>
  <si>
    <t xml:space="preserve"> Delivery Truck </t>
  </si>
  <si>
    <t>896</t>
  </si>
  <si>
    <t>b'\xf0\x9f\x93\x94'</t>
  </si>
  <si>
    <t>📔</t>
  </si>
  <si>
    <t xml:space="preserve"> Notebook With Decorative Cover </t>
  </si>
  <si>
    <t>897</t>
  </si>
  <si>
    <t>b'\xf0\x9f\x97\xb3'</t>
  </si>
  <si>
    <t>🗳</t>
  </si>
  <si>
    <t xml:space="preserve"> Ballot Box With Ballot </t>
  </si>
  <si>
    <t>898</t>
  </si>
  <si>
    <t>b'\xf0\x9f\x9a\x96'</t>
  </si>
  <si>
    <t>🚖</t>
  </si>
  <si>
    <t xml:space="preserve"> Oncoming Taxi </t>
  </si>
  <si>
    <t>899</t>
  </si>
  <si>
    <t>b'\xf0\x9f\x93\x8f'</t>
  </si>
  <si>
    <t>📏</t>
  </si>
  <si>
    <t xml:space="preserve"> Straight Ruler </t>
  </si>
  <si>
    <t>900</t>
  </si>
  <si>
    <t>b'\xf0\x9f\x91\x9f'</t>
  </si>
  <si>
    <t>👟</t>
  </si>
  <si>
    <t xml:space="preserve"> Running Shoe </t>
  </si>
  <si>
    <t>901</t>
  </si>
  <si>
    <t>b'\xf0\x9f\x93\x82'</t>
  </si>
  <si>
    <t>📂</t>
  </si>
  <si>
    <t xml:space="preserve"> Open File Folder </t>
  </si>
  <si>
    <t>902</t>
  </si>
  <si>
    <t>b'\xf0\x9f\x9a\x90'</t>
  </si>
  <si>
    <t>🚐</t>
  </si>
  <si>
    <t xml:space="preserve"> Minibus </t>
  </si>
  <si>
    <t>903</t>
  </si>
  <si>
    <t>b'\xf0\x9f\x8e\x8d'</t>
  </si>
  <si>
    <t>🎍</t>
  </si>
  <si>
    <t xml:space="preserve"> Pine Decoration </t>
  </si>
  <si>
    <t>904</t>
  </si>
  <si>
    <t>b'\xf0\x9f\x8d\xa0'</t>
  </si>
  <si>
    <t>🍠</t>
  </si>
  <si>
    <t xml:space="preserve"> Roasted Sweet Potato </t>
  </si>
  <si>
    <t>905</t>
  </si>
  <si>
    <t>b'\xf0\x9f\x90\xbd'</t>
  </si>
  <si>
    <t>🐽</t>
  </si>
  <si>
    <t xml:space="preserve"> Pig Nose </t>
  </si>
  <si>
    <t>906</t>
  </si>
  <si>
    <t>b'\xf0\x9f\x8f\x95'</t>
  </si>
  <si>
    <t>🏕</t>
  </si>
  <si>
    <t xml:space="preserve"> Camping </t>
  </si>
  <si>
    <t>907</t>
  </si>
  <si>
    <t>b'\xf0\x9f\x9b\xb0'</t>
  </si>
  <si>
    <t>🛰</t>
  </si>
  <si>
    <t xml:space="preserve"> Satellite </t>
  </si>
  <si>
    <t>908</t>
  </si>
  <si>
    <t>b'\xf0\x9f\x95\xb9'</t>
  </si>
  <si>
    <t>🕹</t>
  </si>
  <si>
    <t xml:space="preserve"> Joystick </t>
  </si>
  <si>
    <t>909</t>
  </si>
  <si>
    <t>b'\xf0\x9f\x95\xb7'</t>
  </si>
  <si>
    <t>🕷</t>
  </si>
  <si>
    <t xml:space="preserve"> Spider </t>
  </si>
  <si>
    <t>b'\xf0\x9f\x8f\xa8'</t>
  </si>
  <si>
    <t>🏨</t>
  </si>
  <si>
    <t xml:space="preserve"> Hotel </t>
  </si>
  <si>
    <t>b'\xf0\x9f\x8f\xa6'</t>
  </si>
  <si>
    <t>🏦</t>
  </si>
  <si>
    <t xml:space="preserve"> Bank </t>
  </si>
  <si>
    <t>912</t>
  </si>
  <si>
    <t>b'\xf0\x9f\x97\xbc'</t>
  </si>
  <si>
    <t>🗼</t>
  </si>
  <si>
    <t xml:space="preserve"> Tokyo Tower </t>
  </si>
  <si>
    <t>913</t>
  </si>
  <si>
    <t>b'\xf0\x9f\x9a\xa4'</t>
  </si>
  <si>
    <t>🚤</t>
  </si>
  <si>
    <t xml:space="preserve"> Speedboat </t>
  </si>
  <si>
    <t>914</t>
  </si>
  <si>
    <t>b'\xf0\x9f\x9a\x8e'</t>
  </si>
  <si>
    <t>🚎</t>
  </si>
  <si>
    <t xml:space="preserve"> Trolleybus </t>
  </si>
  <si>
    <t>915</t>
  </si>
  <si>
    <t>b'\xf0\x9f\xa6\x90'</t>
  </si>
  <si>
    <t>🦐</t>
  </si>
  <si>
    <t xml:space="preserve"> Shrimp </t>
  </si>
  <si>
    <t>916</t>
  </si>
  <si>
    <t>b'\xf0\x9f\x90\xb2'</t>
  </si>
  <si>
    <t>🐲</t>
  </si>
  <si>
    <t xml:space="preserve"> Dragon Face </t>
  </si>
  <si>
    <t>917</t>
  </si>
  <si>
    <t>b'\xf0\x9f\x90\xaf'</t>
  </si>
  <si>
    <t>🐯</t>
  </si>
  <si>
    <t xml:space="preserve"> Tiger Face </t>
  </si>
  <si>
    <t>918</t>
  </si>
  <si>
    <t>b'\xf0\x9f\xa6\x84'</t>
  </si>
  <si>
    <t>🦄</t>
  </si>
  <si>
    <t xml:space="preserve"> Unicorn Face </t>
  </si>
  <si>
    <t>919</t>
  </si>
  <si>
    <t>b'\xf0\x9f\x8f\x99'</t>
  </si>
  <si>
    <t>🏙</t>
  </si>
  <si>
    <t xml:space="preserve"> Cityscape </t>
  </si>
  <si>
    <t>920</t>
  </si>
  <si>
    <t>b'\xf0\x9f\x8f\x9b'</t>
  </si>
  <si>
    <t>🏛</t>
  </si>
  <si>
    <t xml:space="preserve"> Classical Building </t>
  </si>
  <si>
    <t>921</t>
  </si>
  <si>
    <t>b'\xf0\x9f\x87\xbb\xf0\x9f\x87\xaa'</t>
  </si>
  <si>
    <t>🇻🇪</t>
  </si>
  <si>
    <t xml:space="preserve"> Venezuela </t>
  </si>
  <si>
    <t>922</t>
  </si>
  <si>
    <t>b'\xf0\x9f\x87\xa6\xf0\x9f\x87\xbf'</t>
  </si>
  <si>
    <t>🇦🇿</t>
  </si>
  <si>
    <t xml:space="preserve"> Azerbaijan </t>
  </si>
  <si>
    <t>923</t>
  </si>
  <si>
    <t>b'\xf0\x9f\x87\xac\xf0\x9f\x87\xac'</t>
  </si>
  <si>
    <t>🇬🇬</t>
  </si>
  <si>
    <t xml:space="preserve"> Guernsey </t>
  </si>
  <si>
    <t>924</t>
  </si>
  <si>
    <t>b'\xf0\x9f\x87\xb9\xf0\x9f\x87\xa9'</t>
  </si>
  <si>
    <t>🇹🇩</t>
  </si>
  <si>
    <t xml:space="preserve"> Chad </t>
  </si>
  <si>
    <t>925</t>
  </si>
  <si>
    <t>b'\xf0\x9f\x87\xb3\xf0\x9f\x87\xa6'</t>
  </si>
  <si>
    <t>🇳🇦</t>
  </si>
  <si>
    <t xml:space="preserve"> Namibia </t>
  </si>
  <si>
    <t>926</t>
  </si>
  <si>
    <t>b'\xf0\x9f\x87\xa6\xf0\x9f\x87\xb2'</t>
  </si>
  <si>
    <t>🇦🇲</t>
  </si>
  <si>
    <t xml:space="preserve"> Armenia </t>
  </si>
  <si>
    <t>927</t>
  </si>
  <si>
    <t>b'\xf0\x9f\x87\xba\xf0\x9f\x87\xa6'</t>
  </si>
  <si>
    <t>🇺🇦</t>
  </si>
  <si>
    <t xml:space="preserve"> Ukraine </t>
  </si>
  <si>
    <t>928</t>
  </si>
  <si>
    <t>b'\xf0\x9f\x87\xac\xf0\x9f\x87\xb8'</t>
  </si>
  <si>
    <t>🇬🇸</t>
  </si>
  <si>
    <t xml:space="preserve"> South Georgia &amp; South Sandwich Islands </t>
  </si>
  <si>
    <t>b'\xf0\x9f\x87\xae\xf0\x9f\x87\xb3'</t>
  </si>
  <si>
    <t>🇮🇳</t>
  </si>
  <si>
    <t xml:space="preserve"> India </t>
  </si>
  <si>
    <t>930</t>
  </si>
  <si>
    <t>b'\xf0\x9f\x87\xa8\xf0\x9f\x87\xb5'</t>
  </si>
  <si>
    <t>🇨🇵</t>
  </si>
  <si>
    <t xml:space="preserve"> Clipperton Island </t>
  </si>
  <si>
    <t>931</t>
  </si>
  <si>
    <t>b'\xf0\x9f\x8e\x8e'</t>
  </si>
  <si>
    <t>🎎</t>
  </si>
  <si>
    <t xml:space="preserve"> Japanese Dolls </t>
  </si>
  <si>
    <t>932</t>
  </si>
  <si>
    <t>b'\xf0\x9f\x95\xb4'</t>
  </si>
  <si>
    <t>🕴</t>
  </si>
  <si>
    <t xml:space="preserve"> Man In Suit Levitating </t>
  </si>
  <si>
    <t>933</t>
  </si>
  <si>
    <t>b'\xf0\x9f\x8f\xaf'</t>
  </si>
  <si>
    <t>🏯</t>
  </si>
  <si>
    <t xml:space="preserve"> Japanese Castle </t>
  </si>
  <si>
    <t>934</t>
  </si>
  <si>
    <t>b'\xf0\x9f\x9a\xaf'</t>
  </si>
  <si>
    <t>🚯</t>
  </si>
  <si>
    <t xml:space="preserve"> No Littering </t>
  </si>
  <si>
    <t>935</t>
  </si>
  <si>
    <t>b'\xf0\x9f\x9a\xba'</t>
  </si>
  <si>
    <t>🚺</t>
  </si>
  <si>
    <t xml:space="preserve"> Women’S Room </t>
  </si>
  <si>
    <t>936</t>
  </si>
  <si>
    <t>b'\xe3\x8a\x99'</t>
  </si>
  <si>
    <t>㊙</t>
  </si>
  <si>
    <t xml:space="preserve"> Japanese Secret Button </t>
  </si>
  <si>
    <t>937</t>
  </si>
  <si>
    <t>b'\xe2\x99\x91'</t>
  </si>
  <si>
    <t>♑</t>
  </si>
  <si>
    <t xml:space="preserve"> Capricorn </t>
  </si>
  <si>
    <t>938</t>
  </si>
  <si>
    <t>b'\xf0\x9f\x9a\xb0'</t>
  </si>
  <si>
    <t>🚰</t>
  </si>
  <si>
    <t xml:space="preserve"> Potable Water </t>
  </si>
  <si>
    <t>939</t>
  </si>
  <si>
    <t>b'2\xef\xb8\x8f\xe2\x83\xa3'</t>
  </si>
  <si>
    <t>2️⃣</t>
  </si>
  <si>
    <t xml:space="preserve"> Keycap 2 </t>
  </si>
  <si>
    <t>940</t>
  </si>
  <si>
    <t>b'\xf0\x9f\x8e\xaa'</t>
  </si>
  <si>
    <t>🎪</t>
  </si>
  <si>
    <t xml:space="preserve"> Circus Tent </t>
  </si>
  <si>
    <t>b'\xf0\x9f\x8f\xa5'</t>
  </si>
  <si>
    <t>🏥</t>
  </si>
  <si>
    <t xml:space="preserve"> Hospital </t>
  </si>
  <si>
    <t>942</t>
  </si>
  <si>
    <t>b'\xf0\x9f\x8f\xac'</t>
  </si>
  <si>
    <t>🏬</t>
  </si>
  <si>
    <t xml:space="preserve"> Department Store </t>
  </si>
  <si>
    <t>943</t>
  </si>
  <si>
    <t>b'\xf0\x9f\x9b\xa3'</t>
  </si>
  <si>
    <t>🛣</t>
  </si>
  <si>
    <t xml:space="preserve"> Motorway </t>
  </si>
  <si>
    <t>944</t>
  </si>
  <si>
    <t>b'\xf0\x9f\x9a\x95'</t>
  </si>
  <si>
    <t>🚕</t>
  </si>
  <si>
    <t xml:space="preserve"> Taxi </t>
  </si>
  <si>
    <t>945</t>
  </si>
  <si>
    <t>b'\xf0\x9f\x94\x9f'</t>
  </si>
  <si>
    <t>🔟</t>
  </si>
  <si>
    <t xml:space="preserve"> Keycap 10 </t>
  </si>
  <si>
    <t>946</t>
  </si>
  <si>
    <t>b'\xf0\x9f\x97\x9e'</t>
  </si>
  <si>
    <t>🗞</t>
  </si>
  <si>
    <t xml:space="preserve"> Rolled-Up Newspaper </t>
  </si>
  <si>
    <t>947</t>
  </si>
  <si>
    <t>b'\xf0\x9f\x95\xa2'</t>
  </si>
  <si>
    <t>🕢</t>
  </si>
  <si>
    <t xml:space="preserve"> Seven-Thirty </t>
  </si>
  <si>
    <t>948</t>
  </si>
  <si>
    <t>b'\xf0\x9f\x9a\x81'</t>
  </si>
  <si>
    <t>🚁</t>
  </si>
  <si>
    <t xml:space="preserve"> Helicopter </t>
  </si>
  <si>
    <t>949</t>
  </si>
  <si>
    <t>b'\xf0\x9f\x8c\x82'</t>
  </si>
  <si>
    <t>🌂</t>
  </si>
  <si>
    <t xml:space="preserve"> Closed Umbrella </t>
  </si>
  <si>
    <t>950</t>
  </si>
  <si>
    <t>b'\xf0\x9f\x8e\xb3'</t>
  </si>
  <si>
    <t>🎳</t>
  </si>
  <si>
    <t xml:space="preserve"> Bowling </t>
  </si>
  <si>
    <t>951</t>
  </si>
  <si>
    <t>b'\xf0\x9f\x9a\xa1'</t>
  </si>
  <si>
    <t>🚡</t>
  </si>
  <si>
    <t xml:space="preserve"> Aerial Tramway </t>
  </si>
  <si>
    <t>952</t>
  </si>
  <si>
    <t>b'\xf0\x9f\x8c\xa1'</t>
  </si>
  <si>
    <t>🌡</t>
  </si>
  <si>
    <t xml:space="preserve"> Thermometer </t>
  </si>
  <si>
    <t>953</t>
  </si>
  <si>
    <t>b'\xf0\x9f\x95\xa4'</t>
  </si>
  <si>
    <t>🕤</t>
  </si>
  <si>
    <t xml:space="preserve"> Nine-Thirty </t>
  </si>
  <si>
    <t>954</t>
  </si>
  <si>
    <t>b'\xf0\x9f\x95\x90'</t>
  </si>
  <si>
    <t>🕐</t>
  </si>
  <si>
    <t xml:space="preserve"> One O’Clock </t>
  </si>
  <si>
    <t>955</t>
  </si>
  <si>
    <t>b'\xf0\x9f\x95\x9a'</t>
  </si>
  <si>
    <t>🕚</t>
  </si>
  <si>
    <t xml:space="preserve"> Eleven O’Clock </t>
  </si>
  <si>
    <t>956</t>
  </si>
  <si>
    <t>b'\xe2\x99\x8a'</t>
  </si>
  <si>
    <t>♊</t>
  </si>
  <si>
    <t xml:space="preserve"> Gemini </t>
  </si>
  <si>
    <t>957</t>
  </si>
  <si>
    <t>b'\xf0\x9f\x95\x89'</t>
  </si>
  <si>
    <t>🕉</t>
  </si>
  <si>
    <t xml:space="preserve"> Om </t>
  </si>
  <si>
    <t>958</t>
  </si>
  <si>
    <t>b'\xe2\x9c\x88\xef\xb8\x8f'</t>
  </si>
  <si>
    <t>✈️</t>
  </si>
  <si>
    <t xml:space="preserve"> Airplane Selector </t>
  </si>
  <si>
    <t>959</t>
  </si>
  <si>
    <t>b'\xe2\x9d\x94'</t>
  </si>
  <si>
    <t>❔</t>
  </si>
  <si>
    <t xml:space="preserve"> White Question Mark </t>
  </si>
  <si>
    <t>960</t>
  </si>
  <si>
    <t>b'\xf0\x9f\x9a\xa3'</t>
  </si>
  <si>
    <t>🚣</t>
  </si>
  <si>
    <t xml:space="preserve"> Person Rowing Boat </t>
  </si>
  <si>
    <t>961</t>
  </si>
  <si>
    <t>b'\xf0\x9f\x91\xb2'</t>
  </si>
  <si>
    <t>👲</t>
  </si>
  <si>
    <t xml:space="preserve"> Man With Chinese Cap </t>
  </si>
  <si>
    <t>962</t>
  </si>
  <si>
    <t>b'\xf0\x9f\x8f\x82'</t>
  </si>
  <si>
    <t>🏂</t>
  </si>
  <si>
    <t xml:space="preserve"> Snowboarder </t>
  </si>
  <si>
    <t>963</t>
  </si>
  <si>
    <t>b'\xf0\x9f\xa4\xba'</t>
  </si>
  <si>
    <t>🤺</t>
  </si>
  <si>
    <t xml:space="preserve"> Person Fencing </t>
  </si>
  <si>
    <t>964</t>
  </si>
  <si>
    <t>b'\xf0\x9f\x9b\x80'</t>
  </si>
  <si>
    <t>🛀</t>
  </si>
  <si>
    <t xml:space="preserve"> Person Taking Bath </t>
  </si>
  <si>
    <t>b'\xe2\x9a\x92'</t>
  </si>
  <si>
    <t>⚒</t>
  </si>
  <si>
    <t xml:space="preserve"> Hammer And Pick </t>
  </si>
  <si>
    <t>966</t>
  </si>
  <si>
    <t>b'\xc2\xae'</t>
  </si>
  <si>
    <t>®</t>
  </si>
  <si>
    <t xml:space="preserve"> Registered </t>
  </si>
  <si>
    <t>967</t>
  </si>
  <si>
    <t>b'\xf0\x9f\x88\xb9'</t>
  </si>
  <si>
    <t>🈹</t>
  </si>
  <si>
    <t xml:space="preserve"> Japanese Discount Button </t>
  </si>
  <si>
    <t>968</t>
  </si>
  <si>
    <t>b'3\xef\xb8\x8f\xe2\x83\xa3'</t>
  </si>
  <si>
    <t>3️⃣</t>
  </si>
  <si>
    <t xml:space="preserve"> Keycap 3 </t>
  </si>
  <si>
    <t>969</t>
  </si>
  <si>
    <t>b'\xf0\x9f\x93\xb4'</t>
  </si>
  <si>
    <t>📴</t>
  </si>
  <si>
    <t xml:space="preserve"> Mobile Phone Off </t>
  </si>
  <si>
    <t>b'\xe2\x86\x94'</t>
  </si>
  <si>
    <t>↔</t>
  </si>
  <si>
    <t xml:space="preserve"> Left-Right Arrow </t>
  </si>
  <si>
    <t>971</t>
  </si>
  <si>
    <t>b'\xe2\x9c\x82'</t>
  </si>
  <si>
    <t>✂</t>
  </si>
  <si>
    <t xml:space="preserve"> Scissors </t>
  </si>
  <si>
    <t>972</t>
  </si>
  <si>
    <t>b'\xf0\x9f\x86\x93'</t>
  </si>
  <si>
    <t>🆓</t>
  </si>
  <si>
    <t xml:space="preserve"> Free Button </t>
  </si>
  <si>
    <t>973</t>
  </si>
  <si>
    <t>b'\xe2\x9c\xa1'</t>
  </si>
  <si>
    <t>✡</t>
  </si>
  <si>
    <t xml:space="preserve"> Star Of David </t>
  </si>
  <si>
    <t>b'\xf0\x9f\x94\x80'</t>
  </si>
  <si>
    <t>🔀</t>
  </si>
  <si>
    <t xml:space="preserve"> Shuffle Tracks Button </t>
  </si>
  <si>
    <t>975</t>
  </si>
  <si>
    <t>b'\xf0\x9f\x87\xbb'</t>
  </si>
  <si>
    <t>🇻</t>
  </si>
  <si>
    <t xml:space="preserve"> Regional Indicator Symbol Letter V </t>
  </si>
  <si>
    <t>b'\xe2\x99\x90'</t>
  </si>
  <si>
    <t>♐</t>
  </si>
  <si>
    <t xml:space="preserve"> Sagittarius </t>
  </si>
  <si>
    <t>977</t>
  </si>
  <si>
    <t>b'\xf0\x9f\x8e\x9a'</t>
  </si>
  <si>
    <t>🎚</t>
  </si>
  <si>
    <t xml:space="preserve"> Level Slider </t>
  </si>
  <si>
    <t>978</t>
  </si>
  <si>
    <t>b'\xf0\x9f\x94\x8f'</t>
  </si>
  <si>
    <t>🔏</t>
  </si>
  <si>
    <t xml:space="preserve"> Locked With Pen </t>
  </si>
  <si>
    <t>979</t>
  </si>
  <si>
    <t>b'\xe2\x8f\xba'</t>
  </si>
  <si>
    <t>⏺</t>
  </si>
  <si>
    <t xml:space="preserve"> Record Button </t>
  </si>
  <si>
    <t>980</t>
  </si>
  <si>
    <t>b'\xe2\x86\x98'</t>
  </si>
  <si>
    <t>↘</t>
  </si>
  <si>
    <t xml:space="preserve"> Down-Right Arrow </t>
  </si>
  <si>
    <t>981</t>
  </si>
  <si>
    <t>b'\xf0\x9f\x85\xb1'</t>
  </si>
  <si>
    <t>🅱</t>
  </si>
  <si>
    <t xml:space="preserve"> B Button (Blood Type) </t>
  </si>
  <si>
    <t>982</t>
  </si>
  <si>
    <t>b'\xf0\x9f\x80\x84'</t>
  </si>
  <si>
    <t>🀄</t>
  </si>
  <si>
    <t xml:space="preserve"> Mahjong Red Dragon </t>
  </si>
  <si>
    <t>983</t>
  </si>
  <si>
    <t>b'\xf0\x9f\x9b\xb4'</t>
  </si>
  <si>
    <t>🛴</t>
  </si>
  <si>
    <t xml:space="preserve"> Kick Scooter </t>
  </si>
  <si>
    <t>984</t>
  </si>
  <si>
    <t>b'\xf0\x9f\x90\xbf'</t>
  </si>
  <si>
    <t>🐿</t>
  </si>
  <si>
    <t xml:space="preserve"> Chipmunk </t>
  </si>
  <si>
    <t>985</t>
  </si>
  <si>
    <t>b'\xf0\x9f\x90\x97'</t>
  </si>
  <si>
    <t>🐗</t>
  </si>
  <si>
    <t xml:space="preserve"> Boar </t>
  </si>
  <si>
    <t>986</t>
  </si>
  <si>
    <t>b'\xf0\x9f\xa5\x91'</t>
  </si>
  <si>
    <t>🥑</t>
  </si>
  <si>
    <t xml:space="preserve"> Avocado </t>
  </si>
  <si>
    <t>b'\xf0\x9f\xa5\x90'</t>
  </si>
  <si>
    <t>🥐</t>
  </si>
  <si>
    <t xml:space="preserve"> Croissant </t>
  </si>
  <si>
    <t>988</t>
  </si>
  <si>
    <t>b'\xf0\x9f\xa5\x93'</t>
  </si>
  <si>
    <t>🥓</t>
  </si>
  <si>
    <t xml:space="preserve"> Bacon </t>
  </si>
  <si>
    <t>b'\xf0\x9f\xa5\x9d'</t>
  </si>
  <si>
    <t>🥝</t>
  </si>
  <si>
    <t xml:space="preserve"> Kiwi Fruit </t>
  </si>
  <si>
    <t>990</t>
  </si>
  <si>
    <t>b'\xf0\x9f\x8d\x99'</t>
  </si>
  <si>
    <t>🍙</t>
  </si>
  <si>
    <t xml:space="preserve"> Rice Ball </t>
  </si>
  <si>
    <t>991</t>
  </si>
  <si>
    <t>b'\xf0\x9f\x8d\x84'</t>
  </si>
  <si>
    <t>🍄</t>
  </si>
  <si>
    <t xml:space="preserve"> Mushroom </t>
  </si>
  <si>
    <t>992</t>
  </si>
  <si>
    <t>b'\xf0\x9f\xa6\x82'</t>
  </si>
  <si>
    <t>🦂</t>
  </si>
  <si>
    <t xml:space="preserve"> Scorpion </t>
  </si>
  <si>
    <t>993</t>
  </si>
  <si>
    <t>b'\xf0\x9f\xa6\x83'</t>
  </si>
  <si>
    <t>🦃</t>
  </si>
  <si>
    <t>994</t>
  </si>
  <si>
    <t>b'\xf0\x9f\x97\xbb'</t>
  </si>
  <si>
    <t>🗻</t>
  </si>
  <si>
    <t xml:space="preserve"> Mount Fuji </t>
  </si>
  <si>
    <t>995</t>
  </si>
  <si>
    <t>b'\xf0\x9f\x90\x99'</t>
  </si>
  <si>
    <t>🐙</t>
  </si>
  <si>
    <t xml:space="preserve"> Octopus </t>
  </si>
  <si>
    <t>996</t>
  </si>
  <si>
    <t>b'\xf0\x9f\x90\x83'</t>
  </si>
  <si>
    <t>🐃</t>
  </si>
  <si>
    <t xml:space="preserve"> Water Buffalo </t>
  </si>
  <si>
    <t>b'\xf0\x9f\x9a\x87'</t>
  </si>
  <si>
    <t>🚇</t>
  </si>
  <si>
    <t xml:space="preserve"> Metro </t>
  </si>
  <si>
    <t>998</t>
  </si>
  <si>
    <t>b'\xf0\x9f\xa6\x8a'</t>
  </si>
  <si>
    <t>🦊</t>
  </si>
  <si>
    <t xml:space="preserve"> Fox Face </t>
  </si>
  <si>
    <t>999</t>
  </si>
  <si>
    <t>b'\xf0\x9f\x90\x96'</t>
  </si>
  <si>
    <t>🐖</t>
  </si>
  <si>
    <t xml:space="preserve"> Pig </t>
  </si>
  <si>
    <t>1000</t>
  </si>
  <si>
    <t>b'\xf0\x9f\xa6\x89'</t>
  </si>
  <si>
    <t>🦉</t>
  </si>
  <si>
    <t xml:space="preserve"> Owl </t>
  </si>
  <si>
    <t>1001</t>
  </si>
  <si>
    <t>b'\xf0\x9f\xa6\x8e'</t>
  </si>
  <si>
    <t>🦎</t>
  </si>
  <si>
    <t xml:space="preserve"> Lizard </t>
  </si>
  <si>
    <t>1002</t>
  </si>
  <si>
    <t>b'\xf0\x9f\x8c\x86'</t>
  </si>
  <si>
    <t>🌆</t>
  </si>
  <si>
    <t xml:space="preserve"> Cityscape At Dusk </t>
  </si>
  <si>
    <t>1003</t>
  </si>
  <si>
    <t>b'\xf0\x9f\x90\x93'</t>
  </si>
  <si>
    <t>🐓</t>
  </si>
  <si>
    <t xml:space="preserve"> Rooster </t>
  </si>
  <si>
    <t>1004</t>
  </si>
  <si>
    <t>b'\xf0\x9f\xa6\x80'</t>
  </si>
  <si>
    <t>🦀</t>
  </si>
  <si>
    <t xml:space="preserve"> Crab </t>
  </si>
  <si>
    <t>1005</t>
  </si>
  <si>
    <t>b'\xf0\x9f\x8c\x92'</t>
  </si>
  <si>
    <t>🌒</t>
  </si>
  <si>
    <t xml:space="preserve"> Waxing Crescent Moon </t>
  </si>
  <si>
    <t>1006</t>
  </si>
  <si>
    <t>b'\xf0\x9f\x90\x9e'</t>
  </si>
  <si>
    <t>🐞</t>
  </si>
  <si>
    <t xml:space="preserve"> Lady Beetle </t>
  </si>
  <si>
    <t>1007</t>
  </si>
  <si>
    <t>b'\xf0\x9f\x90\x89'</t>
  </si>
  <si>
    <t>🐉</t>
  </si>
  <si>
    <t xml:space="preserve"> Dragon </t>
  </si>
  <si>
    <t>1008</t>
  </si>
  <si>
    <t>b'\xf0\x9f\x93\x90'</t>
  </si>
  <si>
    <t>📐</t>
  </si>
  <si>
    <t xml:space="preserve"> Triangular Ruler </t>
  </si>
  <si>
    <t>1009</t>
  </si>
  <si>
    <t>b'\xe2\x8f\xb2'</t>
  </si>
  <si>
    <t>⏲</t>
  </si>
  <si>
    <t xml:space="preserve"> Timer Clock </t>
  </si>
  <si>
    <t>1010</t>
  </si>
  <si>
    <t>b'\xe2\x9a\xbe'</t>
  </si>
  <si>
    <t>⚾</t>
  </si>
  <si>
    <t xml:space="preserve"> Baseball </t>
  </si>
  <si>
    <t>1011</t>
  </si>
  <si>
    <t>b'\xf0\x9f\x93\xad'</t>
  </si>
  <si>
    <t>📭</t>
  </si>
  <si>
    <t xml:space="preserve"> Open Mailbox With Lowered Flag </t>
  </si>
  <si>
    <t>1012</t>
  </si>
  <si>
    <t>🛵</t>
  </si>
  <si>
    <t xml:space="preserve"> Motor Scooter </t>
  </si>
  <si>
    <t>1013</t>
  </si>
  <si>
    <t>b'\xf0\x9f\x8e\xab'</t>
  </si>
  <si>
    <t>🎫</t>
  </si>
  <si>
    <t xml:space="preserve"> Ticket </t>
  </si>
  <si>
    <t>1014</t>
  </si>
  <si>
    <t>b'\xf0\x9f\x8f\x92'</t>
  </si>
  <si>
    <t>🏒</t>
  </si>
  <si>
    <t xml:space="preserve"> Ice Hockey </t>
  </si>
  <si>
    <t>1015</t>
  </si>
  <si>
    <t>b'\xf0\x9f\x94\xad'</t>
  </si>
  <si>
    <t>🔭</t>
  </si>
  <si>
    <t xml:space="preserve"> Telescope </t>
  </si>
  <si>
    <t>1016</t>
  </si>
  <si>
    <t>b'\xe2\x9b\xb4'</t>
  </si>
  <si>
    <t>⛴</t>
  </si>
  <si>
    <t xml:space="preserve"> Ferry </t>
  </si>
  <si>
    <t>b'\xf0\x9f\x9b\xa5'</t>
  </si>
  <si>
    <t>🛥</t>
  </si>
  <si>
    <t xml:space="preserve"> Motor Boat </t>
  </si>
  <si>
    <t>1018</t>
  </si>
  <si>
    <t>b'\xf0\x9f\x8e\x90'</t>
  </si>
  <si>
    <t>🎐</t>
  </si>
  <si>
    <t xml:space="preserve"> Wind Chime </t>
  </si>
  <si>
    <t>1019</t>
  </si>
  <si>
    <t>b'\xf0\x9f\x8f\x91'</t>
  </si>
  <si>
    <t>🏑</t>
  </si>
  <si>
    <t xml:space="preserve"> Field Hockey </t>
  </si>
  <si>
    <t>1020</t>
  </si>
  <si>
    <t>b'\xe2\x9b\x91'</t>
  </si>
  <si>
    <t>⛑</t>
  </si>
  <si>
    <t xml:space="preserve"> Rescue Worker’S Helmet </t>
  </si>
  <si>
    <t>1021</t>
  </si>
  <si>
    <t>b'\xf0\x9f\x8e\xb0'</t>
  </si>
  <si>
    <t>🎰</t>
  </si>
  <si>
    <t xml:space="preserve"> Slot Machine </t>
  </si>
  <si>
    <t>1022</t>
  </si>
  <si>
    <t>b'\xf0\x9f\x95\xa5'</t>
  </si>
  <si>
    <t>🕥</t>
  </si>
  <si>
    <t xml:space="preserve"> Ten-Thirty </t>
  </si>
  <si>
    <t>1023</t>
  </si>
  <si>
    <t>b'\xf0\x9f\x96\xb1'</t>
  </si>
  <si>
    <t>🖱</t>
  </si>
  <si>
    <t xml:space="preserve"> Computer Mouse </t>
  </si>
  <si>
    <t>1024</t>
  </si>
  <si>
    <t>b'\xf0\x9f\x92\xb9'</t>
  </si>
  <si>
    <t>💹</t>
  </si>
  <si>
    <t xml:space="preserve"> Chart Increasing With Yen </t>
  </si>
  <si>
    <t>1025</t>
  </si>
  <si>
    <t>b'\xf0\x9f\x8f\x89'</t>
  </si>
  <si>
    <t>🏉</t>
  </si>
  <si>
    <t xml:space="preserve"> Rugby Football </t>
  </si>
  <si>
    <t>b'\xf0\x9f\x94\xa9'</t>
  </si>
  <si>
    <t>🔩</t>
  </si>
  <si>
    <t xml:space="preserve"> Nut And Bolt </t>
  </si>
  <si>
    <t>1027</t>
  </si>
  <si>
    <t>b'\xe2\x9b\xb1'</t>
  </si>
  <si>
    <t>⛱</t>
  </si>
  <si>
    <t xml:space="preserve"> Umbrella On Ground </t>
  </si>
  <si>
    <t>1028</t>
  </si>
  <si>
    <t>b'\xe2\x99\x9f'</t>
  </si>
  <si>
    <t>♟</t>
  </si>
  <si>
    <t xml:space="preserve"> Chess Pawn </t>
  </si>
  <si>
    <t>1029</t>
  </si>
  <si>
    <t>b'\xf0\x9f\x9b\x8f'</t>
  </si>
  <si>
    <t>🛏</t>
  </si>
  <si>
    <t xml:space="preserve"> Bed </t>
  </si>
  <si>
    <t>1030</t>
  </si>
  <si>
    <t>b'\xf0\x9f\x93\x89'</t>
  </si>
  <si>
    <t>📉</t>
  </si>
  <si>
    <t xml:space="preserve"> Chart Decreasing </t>
  </si>
  <si>
    <t>1031</t>
  </si>
  <si>
    <t>b'\xf0\x9f\x8e\xbd'</t>
  </si>
  <si>
    <t>🎽</t>
  </si>
  <si>
    <t xml:space="preserve"> Running Shirt </t>
  </si>
  <si>
    <t>1032</t>
  </si>
  <si>
    <t>b'\xf0\x9f\x91\x98'</t>
  </si>
  <si>
    <t>👘</t>
  </si>
  <si>
    <t xml:space="preserve"> Kimono </t>
  </si>
  <si>
    <t>1033</t>
  </si>
  <si>
    <t>b'\xf0\x9f\x9a\x85'</t>
  </si>
  <si>
    <t>🚅</t>
  </si>
  <si>
    <t xml:space="preserve"> Bullet Train </t>
  </si>
  <si>
    <t>1034</t>
  </si>
  <si>
    <t>b'\xf0\x9f\x87\xb1\xf0\x9f\x87\xb7'</t>
  </si>
  <si>
    <t>🇱🇷</t>
  </si>
  <si>
    <t xml:space="preserve"> Liberia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</si>
</sst>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3" t="s">
        <v>16</v>
      </c>
      <c r="C2" s="3" t="s">
        <v>17</v>
      </c>
      <c r="D2" s="3" t="s">
        <v>18</v>
      </c>
      <c r="E2" s="3" t="str">
        <f>IFERROR(__xludf.DUMMYFUNCTION("GOOGLETRANSLATE($D2,""EN"",""RU"")")," Лицо со слезами радости")</f>
        <v> Лицо со слезами радости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>
        <v>2.0</v>
      </c>
    </row>
    <row r="3">
      <c r="A3" s="3" t="s">
        <v>28</v>
      </c>
      <c r="B3" s="3" t="s">
        <v>29</v>
      </c>
      <c r="C3" s="3" t="s">
        <v>30</v>
      </c>
      <c r="D3" s="3" t="s">
        <v>31</v>
      </c>
      <c r="E3" s="3" t="str">
        <f>IFERROR(__xludf.DUMMYFUNCTION("GOOGLETRANSLATE($D3,""EN"",""RU"")")," Разбитое сердце")</f>
        <v> Разбитое сердце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>
        <v>0.0</v>
      </c>
    </row>
    <row r="4">
      <c r="A4" s="3" t="s">
        <v>41</v>
      </c>
      <c r="B4" s="3" t="s">
        <v>42</v>
      </c>
      <c r="C4" s="3" t="s">
        <v>43</v>
      </c>
      <c r="D4" s="3" t="s">
        <v>44</v>
      </c>
      <c r="E4" s="3" t="str">
        <f>IFERROR(__xludf.DUMMYFUNCTION("GOOGLETRANSLATE($D4,""EN"",""RU"")")," Красное сердце")</f>
        <v> Красное сердце</v>
      </c>
      <c r="F4" s="3" t="s">
        <v>32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50</v>
      </c>
      <c r="M4" s="3" t="s">
        <v>51</v>
      </c>
      <c r="N4" s="3" t="s">
        <v>52</v>
      </c>
      <c r="O4" s="3">
        <v>2.0</v>
      </c>
    </row>
    <row r="5">
      <c r="A5" s="3" t="s">
        <v>53</v>
      </c>
      <c r="B5" s="3" t="s">
        <v>54</v>
      </c>
      <c r="C5" s="3" t="s">
        <v>55</v>
      </c>
      <c r="D5" s="3" t="s">
        <v>56</v>
      </c>
      <c r="E5" s="3" t="str">
        <f>IFERROR(__xludf.DUMMYFUNCTION("GOOGLETRANSLATE($D5,""EN"",""RU"")")," Громко плачущее лицо")</f>
        <v> Громко плачущее лицо</v>
      </c>
      <c r="F5" s="3" t="s">
        <v>19</v>
      </c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3" t="s">
        <v>62</v>
      </c>
      <c r="M5" s="3" t="s">
        <v>63</v>
      </c>
      <c r="N5" s="3" t="s">
        <v>64</v>
      </c>
      <c r="O5" s="3">
        <v>0.0</v>
      </c>
    </row>
    <row r="6">
      <c r="A6" s="3" t="s">
        <v>65</v>
      </c>
      <c r="B6" s="3" t="s">
        <v>66</v>
      </c>
      <c r="C6" s="3" t="s">
        <v>67</v>
      </c>
      <c r="D6" s="3" t="s">
        <v>68</v>
      </c>
      <c r="E6" s="3" t="str">
        <f>IFERROR(__xludf.DUMMYFUNCTION("GOOGLETRANSLATE($D6,""EN"",""RU"")")," Улыбающееся лицо с глазами-сердечками")</f>
        <v> Улыбающееся лицо с глазами-сердечками</v>
      </c>
      <c r="F6" s="3" t="s">
        <v>19</v>
      </c>
      <c r="G6" s="3" t="s">
        <v>69</v>
      </c>
      <c r="H6" s="3" t="s">
        <v>70</v>
      </c>
      <c r="I6" s="3" t="s">
        <v>71</v>
      </c>
      <c r="J6" s="3" t="s">
        <v>72</v>
      </c>
      <c r="K6" s="3" t="s">
        <v>73</v>
      </c>
      <c r="L6" s="3" t="s">
        <v>74</v>
      </c>
      <c r="M6" s="3" t="s">
        <v>75</v>
      </c>
      <c r="N6" s="3" t="s">
        <v>76</v>
      </c>
      <c r="O6" s="3">
        <v>2.0</v>
      </c>
    </row>
    <row r="7">
      <c r="A7" s="3" t="s">
        <v>77</v>
      </c>
      <c r="B7" s="3" t="s">
        <v>78</v>
      </c>
      <c r="C7" s="3" t="s">
        <v>79</v>
      </c>
      <c r="D7" s="3" t="s">
        <v>80</v>
      </c>
      <c r="E7" s="3" t="str">
        <f>IFERROR(__xludf.DUMMYFUNCTION("GOOGLETRANSLATE($D7,""EN"",""RU"")")," Роза")</f>
        <v> Роза</v>
      </c>
      <c r="F7" s="3" t="s">
        <v>81</v>
      </c>
      <c r="G7" s="3" t="s">
        <v>82</v>
      </c>
      <c r="H7" s="3" t="s">
        <v>83</v>
      </c>
      <c r="I7" s="3" t="s">
        <v>84</v>
      </c>
      <c r="J7" s="3" t="s">
        <v>85</v>
      </c>
      <c r="K7" s="3" t="s">
        <v>86</v>
      </c>
      <c r="L7" s="3" t="s">
        <v>87</v>
      </c>
      <c r="M7" s="3" t="s">
        <v>88</v>
      </c>
      <c r="N7" s="3" t="s">
        <v>89</v>
      </c>
      <c r="O7" s="3">
        <v>2.0</v>
      </c>
    </row>
    <row r="8">
      <c r="A8" s="3" t="s">
        <v>90</v>
      </c>
      <c r="B8" s="3" t="s">
        <v>91</v>
      </c>
      <c r="C8" s="3" t="s">
        <v>92</v>
      </c>
      <c r="D8" s="3" t="s">
        <v>93</v>
      </c>
      <c r="E8" s="3" t="str">
        <f>IFERROR(__xludf.DUMMYFUNCTION("GOOGLETRANSLATE($D8,""EN"",""RU"")")," Слегка улыбающееся лицо")</f>
        <v> Слегка улыбающееся лицо</v>
      </c>
      <c r="F8" s="3" t="s">
        <v>19</v>
      </c>
      <c r="G8" s="3" t="s">
        <v>94</v>
      </c>
      <c r="H8" s="3" t="s">
        <v>95</v>
      </c>
      <c r="I8" s="3" t="s">
        <v>96</v>
      </c>
      <c r="J8" s="3" t="s">
        <v>97</v>
      </c>
      <c r="K8" s="3" t="s">
        <v>98</v>
      </c>
      <c r="L8" s="3" t="s">
        <v>99</v>
      </c>
      <c r="M8" s="3" t="s">
        <v>100</v>
      </c>
      <c r="N8" s="3" t="s">
        <v>101</v>
      </c>
      <c r="O8" s="3">
        <v>2.0</v>
      </c>
    </row>
    <row r="9">
      <c r="A9" s="3" t="s">
        <v>102</v>
      </c>
      <c r="B9" s="3" t="s">
        <v>103</v>
      </c>
      <c r="C9" s="3" t="s">
        <v>104</v>
      </c>
      <c r="D9" s="3" t="s">
        <v>105</v>
      </c>
      <c r="E9" s="3" t="str">
        <f>IFERROR(__xludf.DUMMYFUNCTION("GOOGLETRANSLATE($D9,""EN"",""RU"")")," Два сердца")</f>
        <v> Два сердца</v>
      </c>
      <c r="F9" s="3" t="s">
        <v>32</v>
      </c>
      <c r="G9" s="3" t="s">
        <v>106</v>
      </c>
      <c r="H9" s="3" t="s">
        <v>107</v>
      </c>
      <c r="I9" s="3" t="s">
        <v>108</v>
      </c>
      <c r="J9" s="3" t="s">
        <v>109</v>
      </c>
      <c r="K9" s="3" t="s">
        <v>110</v>
      </c>
      <c r="L9" s="3" t="s">
        <v>111</v>
      </c>
      <c r="M9" s="3" t="s">
        <v>112</v>
      </c>
      <c r="N9" s="3" t="s">
        <v>113</v>
      </c>
      <c r="O9" s="3">
        <v>2.0</v>
      </c>
    </row>
    <row r="10">
      <c r="A10" s="3" t="s">
        <v>114</v>
      </c>
      <c r="B10" s="3" t="s">
        <v>115</v>
      </c>
      <c r="C10" s="3" t="s">
        <v>116</v>
      </c>
      <c r="D10" s="3" t="s">
        <v>117</v>
      </c>
      <c r="E10" s="3" t="str">
        <f>IFERROR(__xludf.DUMMYFUNCTION("GOOGLETRANSLATE($D10,""EN"",""RU"")")," Ухмыляющееся лицо в поту")</f>
        <v> Ухмыляющееся лицо в поту</v>
      </c>
      <c r="F10" s="3" t="s">
        <v>19</v>
      </c>
      <c r="G10" s="3" t="s">
        <v>118</v>
      </c>
      <c r="H10" s="3" t="s">
        <v>119</v>
      </c>
      <c r="I10" s="3" t="s">
        <v>120</v>
      </c>
      <c r="J10" s="3" t="s">
        <v>121</v>
      </c>
      <c r="K10" s="3" t="s">
        <v>122</v>
      </c>
      <c r="L10" s="3" t="s">
        <v>123</v>
      </c>
      <c r="M10" s="3" t="s">
        <v>124</v>
      </c>
      <c r="N10" s="3" t="s">
        <v>125</v>
      </c>
      <c r="O10" s="3">
        <v>2.0</v>
      </c>
    </row>
    <row r="11">
      <c r="A11" s="3" t="s">
        <v>126</v>
      </c>
      <c r="B11" s="3" t="s">
        <v>127</v>
      </c>
      <c r="C11" s="3" t="s">
        <v>128</v>
      </c>
      <c r="D11" s="3" t="s">
        <v>129</v>
      </c>
      <c r="E11" s="3" t="str">
        <f>IFERROR(__xludf.DUMMYFUNCTION("GOOGLETRANSLATE($D11,""EN"",""RU"")")," Голубое сердце")</f>
        <v> Голубое сердце</v>
      </c>
      <c r="F11" s="3" t="s">
        <v>32</v>
      </c>
      <c r="G11" s="3" t="s">
        <v>130</v>
      </c>
      <c r="H11" s="3" t="s">
        <v>131</v>
      </c>
      <c r="I11" s="3" t="s">
        <v>132</v>
      </c>
      <c r="J11" s="3" t="s">
        <v>133</v>
      </c>
      <c r="K11" s="3" t="s">
        <v>134</v>
      </c>
      <c r="L11" s="3" t="s">
        <v>135</v>
      </c>
      <c r="M11" s="3" t="s">
        <v>136</v>
      </c>
      <c r="N11" s="3" t="s">
        <v>137</v>
      </c>
      <c r="O11" s="3">
        <v>2.0</v>
      </c>
    </row>
    <row r="12">
      <c r="A12" s="3" t="s">
        <v>138</v>
      </c>
      <c r="B12" s="3" t="s">
        <v>139</v>
      </c>
      <c r="C12" s="3" t="s">
        <v>140</v>
      </c>
      <c r="D12" s="3" t="s">
        <v>141</v>
      </c>
      <c r="E12" s="3" t="str">
        <f>IFERROR(__xludf.DUMMYFUNCTION("GOOGLETRANSLATE($D12,""EN"",""RU"")")," Задумчивое лицо")</f>
        <v> Задумчивое лицо</v>
      </c>
      <c r="F12" s="3" t="s">
        <v>19</v>
      </c>
      <c r="G12" s="3" t="s">
        <v>142</v>
      </c>
      <c r="H12" s="3" t="s">
        <v>143</v>
      </c>
      <c r="I12" s="3" t="s">
        <v>144</v>
      </c>
      <c r="J12" s="3" t="s">
        <v>145</v>
      </c>
      <c r="K12" s="3" t="s">
        <v>146</v>
      </c>
      <c r="L12" s="3" t="s">
        <v>147</v>
      </c>
      <c r="M12" s="3" t="s">
        <v>148</v>
      </c>
      <c r="N12" s="3" t="s">
        <v>149</v>
      </c>
      <c r="O12" s="3">
        <v>0.0</v>
      </c>
    </row>
    <row r="13">
      <c r="A13" s="3" t="s">
        <v>150</v>
      </c>
      <c r="B13" s="3" t="s">
        <v>151</v>
      </c>
      <c r="C13" s="3" t="s">
        <v>152</v>
      </c>
      <c r="D13" s="3" t="s">
        <v>153</v>
      </c>
      <c r="E13" s="3" t="str">
        <f>IFERROR(__xludf.DUMMYFUNCTION("GOOGLETRANSLATE($D13,""EN"",""RU"")")," Сияющее лицо с улыбающимися глазами")</f>
        <v> Сияющее лицо с улыбающимися глазами</v>
      </c>
      <c r="F13" s="3" t="s">
        <v>19</v>
      </c>
      <c r="G13" s="3" t="s">
        <v>154</v>
      </c>
      <c r="H13" s="3" t="s">
        <v>155</v>
      </c>
      <c r="I13" s="3" t="s">
        <v>156</v>
      </c>
      <c r="J13" s="3" t="s">
        <v>157</v>
      </c>
      <c r="K13" s="3" t="s">
        <v>158</v>
      </c>
      <c r="L13" s="3" t="s">
        <v>159</v>
      </c>
      <c r="M13" s="3" t="s">
        <v>160</v>
      </c>
      <c r="N13" s="3" t="s">
        <v>161</v>
      </c>
      <c r="O13" s="3">
        <v>2.0</v>
      </c>
    </row>
    <row r="14">
      <c r="A14" s="3" t="s">
        <v>162</v>
      </c>
      <c r="B14" s="3" t="s">
        <v>163</v>
      </c>
      <c r="C14" s="3" t="s">
        <v>164</v>
      </c>
      <c r="D14" s="3" t="s">
        <v>165</v>
      </c>
      <c r="E14" s="3" t="str">
        <f>IFERROR(__xludf.DUMMYFUNCTION("GOOGLETRANSLATE($D14,""EN"",""RU"")")," Зеленое сердце")</f>
        <v> Зеленое сердце</v>
      </c>
      <c r="F14" s="3" t="s">
        <v>32</v>
      </c>
      <c r="G14" s="3" t="s">
        <v>166</v>
      </c>
      <c r="H14" s="3" t="s">
        <v>167</v>
      </c>
      <c r="I14" s="3" t="s">
        <v>168</v>
      </c>
      <c r="J14" s="3" t="s">
        <v>169</v>
      </c>
      <c r="K14" s="3" t="s">
        <v>170</v>
      </c>
      <c r="L14" s="3" t="s">
        <v>171</v>
      </c>
      <c r="M14" s="3" t="s">
        <v>172</v>
      </c>
      <c r="N14" s="3" t="s">
        <v>173</v>
      </c>
      <c r="O14" s="3">
        <v>2.0</v>
      </c>
    </row>
    <row r="15">
      <c r="A15" s="3" t="s">
        <v>174</v>
      </c>
      <c r="B15" s="3" t="s">
        <v>175</v>
      </c>
      <c r="C15" s="3" t="s">
        <v>176</v>
      </c>
      <c r="D15" s="3" t="s">
        <v>177</v>
      </c>
      <c r="E15" s="3" t="str">
        <f>IFERROR(__xludf.DUMMYFUNCTION("GOOGLETRANSLATE($D15,""EN"",""RU"")")," Хорошо, рука")</f>
        <v> Хорошо, рука</v>
      </c>
      <c r="F15" s="3" t="s">
        <v>178</v>
      </c>
      <c r="G15" s="3" t="s">
        <v>179</v>
      </c>
      <c r="H15" s="3" t="s">
        <v>180</v>
      </c>
      <c r="I15" s="3" t="s">
        <v>181</v>
      </c>
      <c r="J15" s="3" t="s">
        <v>182</v>
      </c>
      <c r="K15" s="3" t="s">
        <v>183</v>
      </c>
      <c r="L15" s="3" t="s">
        <v>184</v>
      </c>
      <c r="M15" s="3" t="s">
        <v>185</v>
      </c>
      <c r="N15" s="3" t="s">
        <v>186</v>
      </c>
      <c r="O15" s="3">
        <v>2.0</v>
      </c>
    </row>
    <row r="16">
      <c r="A16" s="3" t="s">
        <v>187</v>
      </c>
      <c r="B16" s="3" t="s">
        <v>188</v>
      </c>
      <c r="C16" s="3" t="s">
        <v>189</v>
      </c>
      <c r="D16" s="3" t="s">
        <v>190</v>
      </c>
      <c r="E16" s="3" t="str">
        <f>IFERROR(__xludf.DUMMYFUNCTION("GOOGLETRANSLATE($D16,""EN"",""RU"")")," Недурно")</f>
        <v> Недурно</v>
      </c>
      <c r="F16" s="3" t="s">
        <v>178</v>
      </c>
      <c r="G16" s="3" t="s">
        <v>191</v>
      </c>
      <c r="H16" s="3" t="s">
        <v>192</v>
      </c>
      <c r="I16" s="3" t="s">
        <v>193</v>
      </c>
      <c r="J16" s="3" t="s">
        <v>194</v>
      </c>
      <c r="K16" s="3" t="s">
        <v>195</v>
      </c>
      <c r="L16" s="3" t="s">
        <v>196</v>
      </c>
      <c r="M16" s="3" t="s">
        <v>197</v>
      </c>
      <c r="N16" s="3" t="s">
        <v>198</v>
      </c>
      <c r="O16" s="3">
        <v>2.0</v>
      </c>
    </row>
    <row r="17">
      <c r="A17" s="3" t="s">
        <v>199</v>
      </c>
      <c r="B17" s="3" t="s">
        <v>200</v>
      </c>
      <c r="C17" s="3" t="s">
        <v>201</v>
      </c>
      <c r="D17" s="3" t="s">
        <v>202</v>
      </c>
      <c r="E17" s="3" t="str">
        <f>IFERROR(__xludf.DUMMYFUNCTION("GOOGLETRANSLATE($D17,""EN"",""RU"")")," Желтое сердце")</f>
        <v> Желтое сердце</v>
      </c>
      <c r="F17" s="3" t="s">
        <v>32</v>
      </c>
      <c r="G17" s="3" t="s">
        <v>203</v>
      </c>
      <c r="H17" s="3" t="s">
        <v>204</v>
      </c>
      <c r="I17" s="3" t="s">
        <v>205</v>
      </c>
      <c r="J17" s="3" t="s">
        <v>206</v>
      </c>
      <c r="K17" s="3" t="s">
        <v>207</v>
      </c>
      <c r="L17" s="3" t="s">
        <v>208</v>
      </c>
      <c r="M17" s="3" t="s">
        <v>209</v>
      </c>
      <c r="N17" s="3" t="s">
        <v>210</v>
      </c>
      <c r="O17" s="3">
        <v>2.0</v>
      </c>
    </row>
    <row r="18">
      <c r="A18" s="3" t="s">
        <v>211</v>
      </c>
      <c r="B18" s="3" t="s">
        <v>212</v>
      </c>
      <c r="C18" s="3" t="s">
        <v>213</v>
      </c>
      <c r="D18" s="3" t="s">
        <v>214</v>
      </c>
      <c r="E18" s="3" t="str">
        <f>IFERROR(__xludf.DUMMYFUNCTION("GOOGLETRANSLATE($D18,""EN"",""RU"")")," Невеселое лицо")</f>
        <v> Невеселое лицо</v>
      </c>
      <c r="F18" s="3" t="s">
        <v>19</v>
      </c>
      <c r="G18" s="3" t="s">
        <v>215</v>
      </c>
      <c r="H18" s="3" t="s">
        <v>216</v>
      </c>
      <c r="I18" s="3" t="s">
        <v>217</v>
      </c>
      <c r="J18" s="3" t="s">
        <v>218</v>
      </c>
      <c r="K18" s="3" t="s">
        <v>219</v>
      </c>
      <c r="L18" s="3" t="s">
        <v>220</v>
      </c>
      <c r="M18" s="3" t="s">
        <v>221</v>
      </c>
      <c r="N18" s="3" t="s">
        <v>222</v>
      </c>
      <c r="O18" s="3">
        <v>0.0</v>
      </c>
    </row>
    <row r="19">
      <c r="A19" s="3" t="s">
        <v>223</v>
      </c>
      <c r="B19" s="3" t="s">
        <v>224</v>
      </c>
      <c r="C19" s="3" t="s">
        <v>225</v>
      </c>
      <c r="D19" s="3" t="s">
        <v>226</v>
      </c>
      <c r="E19" s="3" t="str">
        <f>IFERROR(__xludf.DUMMYFUNCTION("GOOGLETRANSLATE($D19,""EN"",""RU"")")," Плачущее лицо")</f>
        <v> Плачущее лицо</v>
      </c>
      <c r="F19" s="3" t="s">
        <v>19</v>
      </c>
      <c r="G19" s="3" t="s">
        <v>227</v>
      </c>
      <c r="H19" s="3" t="s">
        <v>228</v>
      </c>
      <c r="I19" s="3" t="s">
        <v>229</v>
      </c>
      <c r="J19" s="3" t="s">
        <v>230</v>
      </c>
      <c r="K19" s="3" t="s">
        <v>231</v>
      </c>
      <c r="L19" s="3" t="s">
        <v>232</v>
      </c>
      <c r="M19" s="3" t="s">
        <v>233</v>
      </c>
      <c r="N19" s="3" t="s">
        <v>234</v>
      </c>
      <c r="O19" s="3">
        <v>0.0</v>
      </c>
    </row>
    <row r="20">
      <c r="A20" s="3" t="s">
        <v>235</v>
      </c>
      <c r="B20" s="3" t="s">
        <v>236</v>
      </c>
      <c r="C20" s="3" t="s">
        <v>237</v>
      </c>
      <c r="D20" s="3" t="s">
        <v>238</v>
      </c>
      <c r="E20" s="3" t="str">
        <f>IFERROR(__xludf.DUMMYFUNCTION("GOOGLETRANSLATE($D20,""EN"",""RU"")")," Согнутый бицепс")</f>
        <v> Согнутый бицепс</v>
      </c>
      <c r="F20" s="3" t="s">
        <v>178</v>
      </c>
      <c r="G20" s="3" t="s">
        <v>239</v>
      </c>
      <c r="H20" s="3" t="s">
        <v>240</v>
      </c>
      <c r="I20" s="3" t="s">
        <v>241</v>
      </c>
      <c r="J20" s="3" t="s">
        <v>242</v>
      </c>
      <c r="K20" s="3" t="s">
        <v>243</v>
      </c>
      <c r="L20" s="3" t="s">
        <v>244</v>
      </c>
      <c r="M20" s="3" t="s">
        <v>245</v>
      </c>
      <c r="N20" s="3" t="s">
        <v>246</v>
      </c>
      <c r="O20" s="3">
        <v>2.0</v>
      </c>
    </row>
    <row r="21" ht="15.75" customHeight="1">
      <c r="A21" s="3" t="s">
        <v>247</v>
      </c>
      <c r="B21" s="3" t="s">
        <v>248</v>
      </c>
      <c r="C21" s="3" t="s">
        <v>249</v>
      </c>
      <c r="D21" s="3" t="s">
        <v>250</v>
      </c>
      <c r="E21" s="3" t="str">
        <f>IFERROR(__xludf.DUMMYFUNCTION("GOOGLETRANSLATE($D21,""EN"",""RU"")")," вишня в цвету")</f>
        <v> вишня в цвету</v>
      </c>
      <c r="F21" s="3" t="s">
        <v>81</v>
      </c>
      <c r="G21" s="3" t="s">
        <v>251</v>
      </c>
      <c r="H21" s="3" t="s">
        <v>252</v>
      </c>
      <c r="I21" s="3" t="s">
        <v>253</v>
      </c>
      <c r="J21" s="3" t="s">
        <v>254</v>
      </c>
      <c r="K21" s="3" t="s">
        <v>255</v>
      </c>
      <c r="L21" s="3" t="s">
        <v>256</v>
      </c>
      <c r="M21" s="3" t="s">
        <v>257</v>
      </c>
      <c r="N21" s="3" t="s">
        <v>258</v>
      </c>
      <c r="O21" s="3">
        <v>2.0</v>
      </c>
    </row>
    <row r="22" ht="15.75" customHeight="1">
      <c r="A22" s="3" t="s">
        <v>259</v>
      </c>
      <c r="B22" s="3" t="s">
        <v>260</v>
      </c>
      <c r="C22" s="3" t="s">
        <v>261</v>
      </c>
      <c r="D22" s="3" t="s">
        <v>262</v>
      </c>
      <c r="E22" s="3" t="str">
        <f>IFERROR(__xludf.DUMMYFUNCTION("GOOGLETRANSLATE($D22,""EN"",""RU"")")," Усталое лицо")</f>
        <v> Усталое лицо</v>
      </c>
      <c r="F22" s="3" t="s">
        <v>19</v>
      </c>
      <c r="G22" s="3" t="s">
        <v>263</v>
      </c>
      <c r="H22" s="3" t="s">
        <v>264</v>
      </c>
      <c r="I22" s="3" t="s">
        <v>265</v>
      </c>
      <c r="J22" s="3" t="s">
        <v>266</v>
      </c>
      <c r="K22" s="3" t="s">
        <v>267</v>
      </c>
      <c r="L22" s="3" t="s">
        <v>268</v>
      </c>
      <c r="M22" s="3" t="s">
        <v>269</v>
      </c>
      <c r="N22" s="3" t="s">
        <v>270</v>
      </c>
      <c r="O22" s="3">
        <v>0.0</v>
      </c>
    </row>
    <row r="23" ht="15.75" customHeight="1">
      <c r="A23" s="3" t="s">
        <v>271</v>
      </c>
      <c r="B23" s="3" t="s">
        <v>272</v>
      </c>
      <c r="C23" s="3" t="s">
        <v>273</v>
      </c>
      <c r="D23" s="3" t="s">
        <v>274</v>
      </c>
      <c r="E23" s="3" t="str">
        <f>IFERROR(__xludf.DUMMYFUNCTION("GOOGLETRANSLATE($D23,""EN"",""RU"")")," Фиолетовое сердце")</f>
        <v> Фиолетовое сердце</v>
      </c>
      <c r="F23" s="3" t="s">
        <v>32</v>
      </c>
      <c r="G23" s="3" t="s">
        <v>275</v>
      </c>
      <c r="H23" s="3" t="s">
        <v>276</v>
      </c>
      <c r="I23" s="3" t="s">
        <v>277</v>
      </c>
      <c r="J23" s="3" t="s">
        <v>278</v>
      </c>
      <c r="K23" s="3" t="s">
        <v>279</v>
      </c>
      <c r="L23" s="3" t="s">
        <v>280</v>
      </c>
      <c r="M23" s="3" t="s">
        <v>281</v>
      </c>
      <c r="N23" s="3" t="s">
        <v>282</v>
      </c>
      <c r="O23" s="3">
        <v>2.0</v>
      </c>
    </row>
    <row r="24" ht="15.75" customHeight="1">
      <c r="A24" s="3" t="s">
        <v>283</v>
      </c>
      <c r="B24" s="3" t="s">
        <v>284</v>
      </c>
      <c r="C24" s="3" t="s">
        <v>285</v>
      </c>
      <c r="D24" s="3" t="s">
        <v>286</v>
      </c>
      <c r="E24" s="3" t="str">
        <f>IFERROR(__xludf.DUMMYFUNCTION("GOOGLETRANSLATE($D24,""EN"",""RU"")")," Улыбающееся лицо с улыбающимися глазами")</f>
        <v> Улыбающееся лицо с улыбающимися глазами</v>
      </c>
      <c r="F24" s="3" t="s">
        <v>19</v>
      </c>
      <c r="G24" s="3" t="s">
        <v>287</v>
      </c>
      <c r="H24" s="3" t="s">
        <v>288</v>
      </c>
      <c r="I24" s="3" t="s">
        <v>289</v>
      </c>
      <c r="J24" s="3" t="s">
        <v>290</v>
      </c>
      <c r="K24" s="3" t="s">
        <v>291</v>
      </c>
      <c r="L24" s="3" t="s">
        <v>292</v>
      </c>
      <c r="M24" s="3" t="s">
        <v>293</v>
      </c>
      <c r="N24" s="3" t="s">
        <v>294</v>
      </c>
      <c r="O24" s="3">
        <v>2.0</v>
      </c>
    </row>
    <row r="25" ht="15.75" customHeight="1">
      <c r="A25" s="3" t="s">
        <v>295</v>
      </c>
      <c r="B25" s="3" t="s">
        <v>296</v>
      </c>
      <c r="C25" s="3" t="s">
        <v>297</v>
      </c>
      <c r="D25" s="3" t="s">
        <v>298</v>
      </c>
      <c r="E25" s="3" t="str">
        <f>IFERROR(__xludf.DUMMYFUNCTION("GOOGLETRANSLATE($D25,""EN"",""RU"")")," Сердечный костюм")</f>
        <v> Сердечный костюм</v>
      </c>
      <c r="F25" s="3" t="s">
        <v>32</v>
      </c>
      <c r="G25" s="3" t="s">
        <v>299</v>
      </c>
      <c r="H25" s="3" t="s">
        <v>300</v>
      </c>
      <c r="I25" s="3" t="s">
        <v>301</v>
      </c>
      <c r="J25" s="3" t="s">
        <v>302</v>
      </c>
      <c r="K25" s="3" t="s">
        <v>303</v>
      </c>
      <c r="L25" s="3" t="s">
        <v>304</v>
      </c>
      <c r="M25" s="3" t="s">
        <v>305</v>
      </c>
      <c r="N25" s="3" t="s">
        <v>306</v>
      </c>
      <c r="O25" s="3">
        <v>2.0</v>
      </c>
    </row>
    <row r="26" ht="15.75" customHeight="1">
      <c r="A26" s="3" t="s">
        <v>307</v>
      </c>
      <c r="B26" s="3" t="s">
        <v>308</v>
      </c>
      <c r="C26" s="3" t="s">
        <v>309</v>
      </c>
      <c r="D26" s="3" t="s">
        <v>310</v>
      </c>
      <c r="E26" s="3" t="str">
        <f>IFERROR(__xludf.DUMMYFUNCTION("GOOGLETRANSLATE($D26,""EN"",""RU"")")," Лицо, посылающее воздушный поцелуй")</f>
        <v> Лицо, посылающее воздушный поцелуй</v>
      </c>
      <c r="F26" s="3" t="s">
        <v>19</v>
      </c>
      <c r="G26" s="3" t="s">
        <v>311</v>
      </c>
      <c r="H26" s="3" t="s">
        <v>312</v>
      </c>
      <c r="I26" s="3" t="s">
        <v>313</v>
      </c>
      <c r="J26" s="3" t="s">
        <v>314</v>
      </c>
      <c r="K26" s="3" t="s">
        <v>315</v>
      </c>
      <c r="L26" s="3" t="s">
        <v>316</v>
      </c>
      <c r="M26" s="3" t="s">
        <v>317</v>
      </c>
      <c r="N26" s="3" t="s">
        <v>318</v>
      </c>
      <c r="O26" s="3">
        <v>2.0</v>
      </c>
    </row>
    <row r="27" ht="15.75" customHeight="1">
      <c r="A27" s="3" t="s">
        <v>319</v>
      </c>
      <c r="B27" s="3" t="s">
        <v>320</v>
      </c>
      <c r="C27" s="3" t="s">
        <v>321</v>
      </c>
      <c r="D27" s="3" t="s">
        <v>322</v>
      </c>
      <c r="E27" s="3" t="str">
        <f>IFERROR(__xludf.DUMMYFUNCTION("GOOGLETRANSLATE($D27,""EN"",""RU"")")," Думающее лицо")</f>
        <v> Думающее лицо</v>
      </c>
      <c r="F27" s="3" t="s">
        <v>178</v>
      </c>
      <c r="G27" s="3" t="s">
        <v>311</v>
      </c>
      <c r="H27" s="3" t="s">
        <v>323</v>
      </c>
      <c r="I27" s="3" t="s">
        <v>324</v>
      </c>
      <c r="J27" s="3" t="s">
        <v>325</v>
      </c>
      <c r="K27" s="3" t="s">
        <v>326</v>
      </c>
      <c r="L27" s="3" t="s">
        <v>327</v>
      </c>
      <c r="M27" s="3" t="s">
        <v>328</v>
      </c>
      <c r="N27" s="3" t="s">
        <v>329</v>
      </c>
      <c r="O27" s="3">
        <v>0.0</v>
      </c>
    </row>
    <row r="28" ht="15.75" customHeight="1">
      <c r="A28" s="3" t="s">
        <v>330</v>
      </c>
      <c r="B28" s="3" t="s">
        <v>331</v>
      </c>
      <c r="C28" s="3" t="s">
        <v>332</v>
      </c>
      <c r="D28" s="3" t="s">
        <v>333</v>
      </c>
      <c r="E28" s="3" t="str">
        <f>IFERROR(__xludf.DUMMYFUNCTION("GOOGLETRANSLATE($D28,""EN"",""RU"")")," Поднятая рука")</f>
        <v> Поднятая рука</v>
      </c>
      <c r="F28" s="3" t="s">
        <v>178</v>
      </c>
      <c r="G28" s="3" t="s">
        <v>334</v>
      </c>
      <c r="H28" s="3" t="s">
        <v>335</v>
      </c>
      <c r="I28" s="3" t="s">
        <v>336</v>
      </c>
      <c r="J28" s="3" t="s">
        <v>337</v>
      </c>
      <c r="K28" s="3" t="s">
        <v>338</v>
      </c>
      <c r="L28" s="3" t="s">
        <v>339</v>
      </c>
      <c r="M28" s="3" t="s">
        <v>340</v>
      </c>
      <c r="N28" s="3" t="s">
        <v>341</v>
      </c>
      <c r="O28" s="3">
        <v>2.0</v>
      </c>
    </row>
    <row r="29" ht="15.75" customHeight="1">
      <c r="A29" s="3" t="s">
        <v>342</v>
      </c>
      <c r="B29" s="3" t="s">
        <v>343</v>
      </c>
      <c r="C29" s="3" t="s">
        <v>344</v>
      </c>
      <c r="D29" s="3" t="s">
        <v>345</v>
      </c>
      <c r="E29" s="3" t="str">
        <f>IFERROR(__xludf.DUMMYFUNCTION("GOOGLETRANSLATE($D29,""EN"",""RU"")")," Кататься по полу от смеха")</f>
        <v> Кататься по полу от смеха</v>
      </c>
      <c r="F29" s="3" t="s">
        <v>19</v>
      </c>
      <c r="G29" s="3" t="s">
        <v>346</v>
      </c>
      <c r="H29" s="3" t="s">
        <v>347</v>
      </c>
      <c r="I29" s="3" t="s">
        <v>348</v>
      </c>
      <c r="J29" s="3" t="s">
        <v>349</v>
      </c>
      <c r="K29" s="3" t="s">
        <v>350</v>
      </c>
      <c r="L29" s="3" t="s">
        <v>351</v>
      </c>
      <c r="M29" s="3" t="s">
        <v>352</v>
      </c>
      <c r="N29" s="3" t="s">
        <v>353</v>
      </c>
      <c r="O29" s="3">
        <v>1.0</v>
      </c>
    </row>
    <row r="30" ht="15.75" customHeight="1">
      <c r="A30" s="3" t="s">
        <v>354</v>
      </c>
      <c r="B30" s="3" t="s">
        <v>355</v>
      </c>
      <c r="C30" s="3" t="s">
        <v>356</v>
      </c>
      <c r="D30" s="3" t="s">
        <v>357</v>
      </c>
      <c r="E30" s="3" t="str">
        <f>IFERROR(__xludf.DUMMYFUNCTION("GOOGLETRANSLATE($D30,""EN"",""RU"")")," блестки")</f>
        <v> блестки</v>
      </c>
      <c r="F30" s="3" t="s">
        <v>358</v>
      </c>
      <c r="G30" s="3" t="s">
        <v>359</v>
      </c>
      <c r="H30" s="3" t="s">
        <v>360</v>
      </c>
      <c r="I30" s="3" t="s">
        <v>361</v>
      </c>
      <c r="J30" s="3" t="s">
        <v>362</v>
      </c>
      <c r="K30" s="3" t="s">
        <v>363</v>
      </c>
      <c r="L30" s="3" t="s">
        <v>364</v>
      </c>
      <c r="M30" s="3" t="s">
        <v>365</v>
      </c>
      <c r="N30" s="3" t="s">
        <v>366</v>
      </c>
      <c r="O30" s="3">
        <v>2.0</v>
      </c>
    </row>
    <row r="31" ht="15.75" customHeight="1">
      <c r="A31" s="3" t="s">
        <v>367</v>
      </c>
      <c r="B31" s="3" t="s">
        <v>368</v>
      </c>
      <c r="C31" s="3" t="s">
        <v>369</v>
      </c>
      <c r="D31" s="3" t="s">
        <v>370</v>
      </c>
      <c r="E31" s="3" t="str">
        <f>IFERROR(__xludf.DUMMYFUNCTION("GOOGLETRANSLATE($D31,""EN"",""RU"")")," Надутое лицо")</f>
        <v> Надутое лицо</v>
      </c>
      <c r="F31" s="3" t="s">
        <v>19</v>
      </c>
      <c r="G31" s="3" t="s">
        <v>371</v>
      </c>
      <c r="H31" s="3" t="s">
        <v>372</v>
      </c>
      <c r="I31" s="3" t="s">
        <v>373</v>
      </c>
      <c r="J31" s="3" t="s">
        <v>374</v>
      </c>
      <c r="K31" s="3" t="s">
        <v>375</v>
      </c>
      <c r="L31" s="3" t="s">
        <v>376</v>
      </c>
      <c r="M31" s="3" t="s">
        <v>377</v>
      </c>
      <c r="N31" s="3" t="s">
        <v>378</v>
      </c>
      <c r="O31" s="3">
        <v>0.0</v>
      </c>
    </row>
    <row r="32" ht="15.75" customHeight="1">
      <c r="A32" s="3" t="s">
        <v>379</v>
      </c>
      <c r="B32" s="3" t="s">
        <v>380</v>
      </c>
      <c r="C32" s="3" t="s">
        <v>381</v>
      </c>
      <c r="D32" s="3" t="s">
        <v>382</v>
      </c>
      <c r="E32" s="3" t="str">
        <f>IFERROR(__xludf.DUMMYFUNCTION("GOOGLETRANSLATE($D32,""EN"",""RU"")")," Подмигивающее лицо")</f>
        <v> Подмигивающее лицо</v>
      </c>
      <c r="F32" s="3" t="s">
        <v>19</v>
      </c>
      <c r="G32" s="3" t="s">
        <v>383</v>
      </c>
      <c r="H32" s="3" t="s">
        <v>384</v>
      </c>
      <c r="I32" s="3" t="s">
        <v>385</v>
      </c>
      <c r="J32" s="3" t="s">
        <v>386</v>
      </c>
      <c r="K32" s="3" t="s">
        <v>387</v>
      </c>
      <c r="L32" s="3" t="s">
        <v>388</v>
      </c>
      <c r="M32" s="3" t="s">
        <v>389</v>
      </c>
      <c r="N32" s="3" t="s">
        <v>390</v>
      </c>
      <c r="O32" s="3">
        <v>0.0</v>
      </c>
    </row>
    <row r="33" ht="15.75" customHeight="1">
      <c r="A33" s="3" t="s">
        <v>391</v>
      </c>
      <c r="B33" s="3" t="s">
        <v>392</v>
      </c>
      <c r="C33" s="3" t="s">
        <v>393</v>
      </c>
      <c r="D33" s="3" t="s">
        <v>394</v>
      </c>
      <c r="E33" s="3" t="str">
        <f>IFERROR(__xludf.DUMMYFUNCTION("GOOGLETRANSLATE($D33,""EN"",""RU"")")," Невыразительное лицо")</f>
        <v> Невыразительное лицо</v>
      </c>
      <c r="F33" s="3" t="s">
        <v>19</v>
      </c>
      <c r="G33" s="3" t="s">
        <v>395</v>
      </c>
      <c r="H33" s="3" t="s">
        <v>396</v>
      </c>
      <c r="I33" s="3" t="s">
        <v>397</v>
      </c>
      <c r="J33" s="3" t="s">
        <v>336</v>
      </c>
      <c r="K33" s="3" t="s">
        <v>398</v>
      </c>
      <c r="L33" s="3" t="s">
        <v>399</v>
      </c>
      <c r="M33" s="3" t="s">
        <v>400</v>
      </c>
      <c r="N33" s="3" t="s">
        <v>401</v>
      </c>
      <c r="O33" s="3">
        <v>0.0</v>
      </c>
    </row>
    <row r="34" ht="15.75" customHeight="1">
      <c r="A34" s="3" t="s">
        <v>402</v>
      </c>
      <c r="B34" s="3" t="s">
        <v>403</v>
      </c>
      <c r="C34" s="3" t="s">
        <v>404</v>
      </c>
      <c r="D34" s="3" t="s">
        <v>405</v>
      </c>
      <c r="E34" s="3" t="str">
        <f>IFERROR(__xludf.DUMMYFUNCTION("GOOGLETRANSLATE($D34,""EN"",""RU"")")," Улыбающееся лицо в солнцезащитных очках")</f>
        <v> Улыбающееся лицо в солнцезащитных очках</v>
      </c>
      <c r="F34" s="3" t="s">
        <v>19</v>
      </c>
      <c r="G34" s="3" t="s">
        <v>406</v>
      </c>
      <c r="H34" s="3" t="s">
        <v>407</v>
      </c>
      <c r="I34" s="3" t="s">
        <v>408</v>
      </c>
      <c r="J34" s="3" t="s">
        <v>409</v>
      </c>
      <c r="K34" s="3" t="s">
        <v>410</v>
      </c>
      <c r="L34" s="3" t="s">
        <v>411</v>
      </c>
      <c r="M34" s="3" t="s">
        <v>412</v>
      </c>
      <c r="N34" s="3" t="s">
        <v>413</v>
      </c>
      <c r="O34" s="3">
        <v>2.0</v>
      </c>
    </row>
    <row r="35" ht="15.75" customHeight="1">
      <c r="A35" s="3" t="s">
        <v>414</v>
      </c>
      <c r="B35" s="3" t="s">
        <v>415</v>
      </c>
      <c r="C35" s="3" t="s">
        <v>416</v>
      </c>
      <c r="D35" s="3" t="s">
        <v>417</v>
      </c>
      <c r="E35" s="3" t="str">
        <f>IFERROR(__xludf.DUMMYFUNCTION("GOOGLETRANSLATE($D35,""EN"",""RU"")")," Ухмыляющееся лицо")</f>
        <v> Ухмыляющееся лицо</v>
      </c>
      <c r="F35" s="3" t="s">
        <v>19</v>
      </c>
      <c r="G35" s="3" t="s">
        <v>418</v>
      </c>
      <c r="H35" s="3" t="s">
        <v>419</v>
      </c>
      <c r="I35" s="3" t="s">
        <v>420</v>
      </c>
      <c r="J35" s="3" t="s">
        <v>421</v>
      </c>
      <c r="K35" s="3" t="s">
        <v>422</v>
      </c>
      <c r="L35" s="3" t="s">
        <v>423</v>
      </c>
      <c r="M35" s="3" t="s">
        <v>424</v>
      </c>
      <c r="N35" s="3" t="s">
        <v>425</v>
      </c>
      <c r="O35" s="3">
        <v>0.0</v>
      </c>
    </row>
    <row r="36" ht="15.75" customHeight="1">
      <c r="A36" s="3" t="s">
        <v>426</v>
      </c>
      <c r="B36" s="3" t="s">
        <v>427</v>
      </c>
      <c r="C36" s="3" t="s">
        <v>428</v>
      </c>
      <c r="D36" s="3" t="s">
        <v>429</v>
      </c>
      <c r="E36" s="3" t="str">
        <f>IFERROR(__xludf.DUMMYFUNCTION("GOOGLETRANSLATE($D36,""EN"",""RU"")")," Ухмыляющееся лицо")</f>
        <v> Ухмыляющееся лицо</v>
      </c>
      <c r="F36" s="3" t="s">
        <v>19</v>
      </c>
      <c r="G36" s="3" t="s">
        <v>430</v>
      </c>
      <c r="H36" s="3" t="s">
        <v>431</v>
      </c>
      <c r="I36" s="3" t="s">
        <v>432</v>
      </c>
      <c r="J36" s="3" t="s">
        <v>433</v>
      </c>
      <c r="K36" s="3" t="s">
        <v>434</v>
      </c>
      <c r="L36" s="3" t="s">
        <v>435</v>
      </c>
      <c r="M36" s="3" t="s">
        <v>436</v>
      </c>
      <c r="N36" s="3" t="s">
        <v>437</v>
      </c>
      <c r="O36" s="3">
        <v>0.0</v>
      </c>
    </row>
    <row r="37" ht="15.75" customHeight="1">
      <c r="A37" s="3" t="s">
        <v>438</v>
      </c>
      <c r="B37" s="3" t="s">
        <v>439</v>
      </c>
      <c r="C37" s="3" t="s">
        <v>440</v>
      </c>
      <c r="D37" s="3" t="s">
        <v>441</v>
      </c>
      <c r="E37" s="3" t="str">
        <f>IFERROR(__xludf.DUMMYFUNCTION("GOOGLETRANSLATE($D37,""EN"",""RU"")")," Сложенные руки")</f>
        <v> Сложенные руки</v>
      </c>
      <c r="F37" s="3" t="s">
        <v>178</v>
      </c>
      <c r="G37" s="3" t="s">
        <v>430</v>
      </c>
      <c r="H37" s="3" t="s">
        <v>442</v>
      </c>
      <c r="I37" s="3" t="s">
        <v>443</v>
      </c>
      <c r="J37" s="3" t="s">
        <v>444</v>
      </c>
      <c r="K37" s="3" t="s">
        <v>445</v>
      </c>
      <c r="L37" s="3" t="s">
        <v>446</v>
      </c>
      <c r="M37" s="3" t="s">
        <v>447</v>
      </c>
      <c r="N37" s="3" t="s">
        <v>448</v>
      </c>
      <c r="O37" s="3">
        <v>2.0</v>
      </c>
    </row>
    <row r="38" ht="15.75" customHeight="1">
      <c r="A38" s="3" t="s">
        <v>449</v>
      </c>
      <c r="B38" s="3" t="s">
        <v>450</v>
      </c>
      <c r="C38" s="3" t="s">
        <v>451</v>
      </c>
      <c r="D38" s="3" t="s">
        <v>452</v>
      </c>
      <c r="E38" s="3" t="str">
        <f>IFERROR(__xludf.DUMMYFUNCTION("GOOGLETRANSLATE($D38,""EN"",""RU"")")," Тюльпан")</f>
        <v> Тюльпан</v>
      </c>
      <c r="F38" s="3" t="s">
        <v>81</v>
      </c>
      <c r="G38" s="3" t="s">
        <v>453</v>
      </c>
      <c r="H38" s="3" t="s">
        <v>454</v>
      </c>
      <c r="I38" s="3" t="s">
        <v>455</v>
      </c>
      <c r="J38" s="3" t="s">
        <v>456</v>
      </c>
      <c r="K38" s="3" t="s">
        <v>457</v>
      </c>
      <c r="L38" s="3" t="s">
        <v>458</v>
      </c>
      <c r="M38" s="3" t="s">
        <v>459</v>
      </c>
      <c r="N38" s="3" t="s">
        <v>460</v>
      </c>
      <c r="O38" s="3">
        <v>2.0</v>
      </c>
    </row>
    <row r="39" ht="15.75" customHeight="1">
      <c r="A39" s="3" t="s">
        <v>461</v>
      </c>
      <c r="B39" s="3" t="s">
        <v>462</v>
      </c>
      <c r="C39" s="3" t="s">
        <v>463</v>
      </c>
      <c r="D39" s="3" t="s">
        <v>464</v>
      </c>
      <c r="E39" s="3" t="str">
        <f>IFERROR(__xludf.DUMMYFUNCTION("GOOGLETRANSLATE($D39,""EN"",""RU"")")," Указатель наотмашь, направленный вниз")</f>
        <v> Указатель наотмашь, направленный вниз</v>
      </c>
      <c r="F39" s="3" t="s">
        <v>178</v>
      </c>
      <c r="G39" s="3" t="s">
        <v>465</v>
      </c>
      <c r="H39" s="3" t="s">
        <v>466</v>
      </c>
      <c r="I39" s="3" t="s">
        <v>467</v>
      </c>
      <c r="J39" s="3" t="s">
        <v>468</v>
      </c>
      <c r="K39" s="3" t="s">
        <v>469</v>
      </c>
      <c r="L39" s="3" t="s">
        <v>470</v>
      </c>
      <c r="M39" s="3" t="s">
        <v>471</v>
      </c>
      <c r="N39" s="3" t="s">
        <v>472</v>
      </c>
      <c r="O39" s="3">
        <v>1.0</v>
      </c>
    </row>
    <row r="40" ht="15.75" customHeight="1">
      <c r="A40" s="3" t="s">
        <v>473</v>
      </c>
      <c r="B40" s="3" t="s">
        <v>474</v>
      </c>
      <c r="C40" s="3" t="s">
        <v>475</v>
      </c>
      <c r="D40" s="3" t="s">
        <v>476</v>
      </c>
      <c r="E40" s="3" t="str">
        <f>IFERROR(__xludf.DUMMYFUNCTION("GOOGLETRANSLATE($D40,""EN"",""RU"")")," Улыбающееся лицо")</f>
        <v> Улыбающееся лицо</v>
      </c>
      <c r="F40" s="3" t="s">
        <v>19</v>
      </c>
      <c r="G40" s="3" t="s">
        <v>477</v>
      </c>
      <c r="H40" s="3" t="s">
        <v>478</v>
      </c>
      <c r="I40" s="3" t="s">
        <v>479</v>
      </c>
      <c r="J40" s="3" t="s">
        <v>480</v>
      </c>
      <c r="K40" s="3" t="s">
        <v>481</v>
      </c>
      <c r="L40" s="3" t="s">
        <v>482</v>
      </c>
      <c r="M40" s="3" t="s">
        <v>483</v>
      </c>
      <c r="N40" s="3" t="s">
        <v>484</v>
      </c>
      <c r="O40" s="3">
        <v>2.0</v>
      </c>
    </row>
    <row r="41" ht="15.75" customHeight="1">
      <c r="A41" s="3" t="s">
        <v>485</v>
      </c>
      <c r="B41" s="3" t="s">
        <v>486</v>
      </c>
      <c r="C41" s="3" t="s">
        <v>487</v>
      </c>
      <c r="D41" s="3" t="s">
        <v>488</v>
      </c>
      <c r="E41" s="3" t="str">
        <f>IFERROR(__xludf.DUMMYFUNCTION("GOOGLETRANSLATE($D41,""EN"",""RU"")")," Нейтральное лицо")</f>
        <v> Нейтральное лицо</v>
      </c>
      <c r="F41" s="3" t="s">
        <v>19</v>
      </c>
      <c r="G41" s="3" t="s">
        <v>489</v>
      </c>
      <c r="H41" s="3" t="s">
        <v>490</v>
      </c>
      <c r="I41" s="3" t="s">
        <v>491</v>
      </c>
      <c r="J41" s="3" t="s">
        <v>492</v>
      </c>
      <c r="K41" s="3" t="s">
        <v>493</v>
      </c>
      <c r="L41" s="3" t="s">
        <v>494</v>
      </c>
      <c r="M41" s="3" t="s">
        <v>495</v>
      </c>
      <c r="N41" s="3" t="s">
        <v>496</v>
      </c>
      <c r="O41" s="3">
        <v>0.0</v>
      </c>
    </row>
    <row r="42" ht="15.75" customHeight="1">
      <c r="A42" s="3" t="s">
        <v>497</v>
      </c>
      <c r="B42" s="3" t="s">
        <v>498</v>
      </c>
      <c r="C42" s="3" t="s">
        <v>499</v>
      </c>
      <c r="D42" s="3" t="s">
        <v>500</v>
      </c>
      <c r="E42" s="3" t="str">
        <f>IFERROR(__xludf.DUMMYFUNCTION("GOOGLETRANSLATE($D42,""EN"",""RU"")")," Хлопки в ладоши")</f>
        <v> Хлопки в ладоши</v>
      </c>
      <c r="F42" s="3" t="s">
        <v>178</v>
      </c>
      <c r="G42" s="3" t="s">
        <v>501</v>
      </c>
      <c r="H42" s="3" t="s">
        <v>502</v>
      </c>
      <c r="I42" s="3" t="s">
        <v>503</v>
      </c>
      <c r="J42" s="3" t="s">
        <v>504</v>
      </c>
      <c r="K42" s="3" t="s">
        <v>505</v>
      </c>
      <c r="L42" s="3" t="s">
        <v>506</v>
      </c>
      <c r="M42" s="3" t="s">
        <v>507</v>
      </c>
      <c r="N42" s="3" t="s">
        <v>508</v>
      </c>
      <c r="O42" s="3">
        <v>2.0</v>
      </c>
    </row>
    <row r="43" ht="15.75" customHeight="1">
      <c r="A43" s="3" t="s">
        <v>509</v>
      </c>
      <c r="B43" s="3" t="s">
        <v>510</v>
      </c>
      <c r="C43" s="3" t="s">
        <v>511</v>
      </c>
      <c r="D43" s="3" t="s">
        <v>512</v>
      </c>
      <c r="E43" s="3" t="str">
        <f>IFERROR(__xludf.DUMMYFUNCTION("GOOGLETRANSLATE($D43,""EN"",""RU"")")," Сердце со стрелой")</f>
        <v> Сердце со стрелой</v>
      </c>
      <c r="F43" s="3" t="s">
        <v>32</v>
      </c>
      <c r="G43" s="3" t="s">
        <v>513</v>
      </c>
      <c r="H43" s="3" t="s">
        <v>205</v>
      </c>
      <c r="I43" s="3" t="s">
        <v>514</v>
      </c>
      <c r="J43" s="3" t="s">
        <v>515</v>
      </c>
      <c r="K43" s="3" t="s">
        <v>516</v>
      </c>
      <c r="L43" s="3" t="s">
        <v>517</v>
      </c>
      <c r="M43" s="3" t="s">
        <v>518</v>
      </c>
      <c r="N43" s="3" t="s">
        <v>519</v>
      </c>
      <c r="O43" s="3">
        <v>2.0</v>
      </c>
    </row>
    <row r="44" ht="15.75" customHeight="1">
      <c r="A44" s="3" t="s">
        <v>520</v>
      </c>
      <c r="B44" s="3" t="s">
        <v>521</v>
      </c>
      <c r="C44" s="3" t="s">
        <v>522</v>
      </c>
      <c r="D44" s="3" t="s">
        <v>523</v>
      </c>
      <c r="E44" s="3" t="str">
        <f>IFERROR(__xludf.DUMMYFUNCTION("GOOGLETRANSLATE($D44,""EN"",""RU"")")," Сверкающее сердце")</f>
        <v> Сверкающее сердце</v>
      </c>
      <c r="F44" s="3" t="s">
        <v>32</v>
      </c>
      <c r="G44" s="3" t="s">
        <v>524</v>
      </c>
      <c r="H44" s="3" t="s">
        <v>525</v>
      </c>
      <c r="I44" s="3" t="s">
        <v>526</v>
      </c>
      <c r="J44" s="3" t="s">
        <v>192</v>
      </c>
      <c r="K44" s="3" t="s">
        <v>527</v>
      </c>
      <c r="L44" s="3" t="s">
        <v>528</v>
      </c>
      <c r="M44" s="3" t="s">
        <v>529</v>
      </c>
      <c r="N44" s="3" t="s">
        <v>530</v>
      </c>
      <c r="O44" s="3">
        <v>2.0</v>
      </c>
    </row>
    <row r="45" ht="15.75" customHeight="1">
      <c r="A45" s="3" t="s">
        <v>531</v>
      </c>
      <c r="B45" s="3" t="s">
        <v>532</v>
      </c>
      <c r="C45" s="3" t="s">
        <v>533</v>
      </c>
      <c r="D45" s="3" t="s">
        <v>534</v>
      </c>
      <c r="E45" s="3" t="str">
        <f>IFERROR(__xludf.DUMMYFUNCTION("GOOGLETRANSLATE($D45,""EN"",""RU"")")," Огонь")</f>
        <v> Огонь</v>
      </c>
      <c r="F45" s="3" t="s">
        <v>81</v>
      </c>
      <c r="G45" s="3" t="s">
        <v>535</v>
      </c>
      <c r="H45" s="3" t="s">
        <v>536</v>
      </c>
      <c r="I45" s="3" t="s">
        <v>537</v>
      </c>
      <c r="J45" s="3" t="s">
        <v>538</v>
      </c>
      <c r="K45" s="3" t="s">
        <v>539</v>
      </c>
      <c r="L45" s="3" t="s">
        <v>540</v>
      </c>
      <c r="M45" s="3" t="s">
        <v>541</v>
      </c>
      <c r="N45" s="3" t="s">
        <v>542</v>
      </c>
      <c r="O45" s="3">
        <v>2.0</v>
      </c>
    </row>
    <row r="46" ht="15.75" customHeight="1">
      <c r="A46" s="3" t="s">
        <v>543</v>
      </c>
      <c r="B46" s="3" t="s">
        <v>544</v>
      </c>
      <c r="C46" s="3" t="s">
        <v>545</v>
      </c>
      <c r="D46" s="3" t="s">
        <v>546</v>
      </c>
      <c r="E46" s="3" t="str">
        <f>IFERROR(__xludf.DUMMYFUNCTION("GOOGLETRANSLATE($D46,""EN"",""RU"")")," Новолуние Лицо")</f>
        <v> Новолуние Лицо</v>
      </c>
      <c r="F46" s="3" t="s">
        <v>19</v>
      </c>
      <c r="G46" s="3" t="s">
        <v>547</v>
      </c>
      <c r="H46" s="3" t="s">
        <v>548</v>
      </c>
      <c r="I46" s="3" t="s">
        <v>549</v>
      </c>
      <c r="J46" s="3" t="s">
        <v>550</v>
      </c>
      <c r="K46" s="3" t="s">
        <v>551</v>
      </c>
      <c r="L46" s="3" t="s">
        <v>552</v>
      </c>
      <c r="M46" s="3" t="s">
        <v>553</v>
      </c>
      <c r="N46" s="3" t="s">
        <v>554</v>
      </c>
      <c r="O46" s="3">
        <v>2.0</v>
      </c>
    </row>
    <row r="47" ht="15.75" customHeight="1">
      <c r="A47" s="3" t="s">
        <v>555</v>
      </c>
      <c r="B47" s="3" t="s">
        <v>556</v>
      </c>
      <c r="C47" s="3" t="s">
        <v>557</v>
      </c>
      <c r="D47" s="3" t="s">
        <v>558</v>
      </c>
      <c r="E47" s="3" t="str">
        <f>IFERROR(__xludf.DUMMYFUNCTION("GOOGLETRANSLATE($D47,""EN"",""RU"")")," Саудовская Аравия")</f>
        <v> Саудовская Аравия</v>
      </c>
      <c r="F47" s="3" t="s">
        <v>559</v>
      </c>
      <c r="G47" s="3" t="s">
        <v>560</v>
      </c>
      <c r="H47" s="3" t="s">
        <v>373</v>
      </c>
      <c r="I47" s="3" t="s">
        <v>561</v>
      </c>
      <c r="J47" s="3" t="s">
        <v>562</v>
      </c>
      <c r="K47" s="3" t="s">
        <v>563</v>
      </c>
      <c r="L47" s="3" t="s">
        <v>564</v>
      </c>
      <c r="M47" s="3" t="s">
        <v>565</v>
      </c>
      <c r="N47" s="3" t="s">
        <v>566</v>
      </c>
      <c r="O47" s="3">
        <v>2.0</v>
      </c>
    </row>
    <row r="48" ht="15.75" customHeight="1">
      <c r="A48" s="3" t="s">
        <v>526</v>
      </c>
      <c r="B48" s="3" t="s">
        <v>567</v>
      </c>
      <c r="C48" s="3" t="s">
        <v>568</v>
      </c>
      <c r="D48" s="3" t="s">
        <v>569</v>
      </c>
      <c r="E48" s="3" t="str">
        <f>IFERROR(__xludf.DUMMYFUNCTION("GOOGLETRANSLATE($D48,""EN"",""RU"")")," Гибискус")</f>
        <v> Гибискус</v>
      </c>
      <c r="F48" s="3" t="s">
        <v>81</v>
      </c>
      <c r="G48" s="3" t="s">
        <v>570</v>
      </c>
      <c r="H48" s="3" t="s">
        <v>571</v>
      </c>
      <c r="I48" s="3" t="s">
        <v>572</v>
      </c>
      <c r="J48" s="3" t="s">
        <v>573</v>
      </c>
      <c r="K48" s="3" t="s">
        <v>574</v>
      </c>
      <c r="L48" s="3" t="s">
        <v>575</v>
      </c>
      <c r="M48" s="3" t="s">
        <v>576</v>
      </c>
      <c r="N48" s="3" t="s">
        <v>577</v>
      </c>
      <c r="O48" s="3">
        <v>2.0</v>
      </c>
    </row>
    <row r="49" ht="15.75" customHeight="1">
      <c r="A49" s="3" t="s">
        <v>374</v>
      </c>
      <c r="B49" s="3" t="s">
        <v>578</v>
      </c>
      <c r="C49" s="3" t="s">
        <v>579</v>
      </c>
      <c r="D49" s="3" t="s">
        <v>580</v>
      </c>
      <c r="E49" s="3" t="str">
        <f>IFERROR(__xludf.DUMMYFUNCTION("GOOGLETRANSLATE($D49,""EN"",""RU"")")," Лист развевается на ветру")</f>
        <v> Лист развевается на ветру</v>
      </c>
      <c r="F49" s="3" t="s">
        <v>81</v>
      </c>
      <c r="G49" s="3" t="s">
        <v>192</v>
      </c>
      <c r="H49" s="3" t="s">
        <v>581</v>
      </c>
      <c r="I49" s="3" t="s">
        <v>582</v>
      </c>
      <c r="J49" s="3" t="s">
        <v>583</v>
      </c>
      <c r="K49" s="3" t="s">
        <v>584</v>
      </c>
      <c r="L49" s="3" t="s">
        <v>585</v>
      </c>
      <c r="M49" s="3" t="s">
        <v>586</v>
      </c>
      <c r="N49" s="3" t="s">
        <v>587</v>
      </c>
      <c r="O49" s="3">
        <v>2.0</v>
      </c>
    </row>
    <row r="50" ht="15.75" customHeight="1">
      <c r="A50" s="3" t="s">
        <v>588</v>
      </c>
      <c r="B50" s="3" t="s">
        <v>589</v>
      </c>
      <c r="C50" s="3" t="s">
        <v>590</v>
      </c>
      <c r="D50" s="3" t="s">
        <v>591</v>
      </c>
      <c r="E50" s="3" t="str">
        <f>IFERROR(__xludf.DUMMYFUNCTION("GOOGLETRANSLATE($D50,""EN"",""RU"")")," Лицо, наслаждающееся едой")</f>
        <v> Лицо, наслаждающееся едой</v>
      </c>
      <c r="F50" s="3" t="s">
        <v>19</v>
      </c>
      <c r="G50" s="3" t="s">
        <v>592</v>
      </c>
      <c r="H50" s="3" t="s">
        <v>593</v>
      </c>
      <c r="I50" s="3" t="s">
        <v>594</v>
      </c>
      <c r="J50" s="3" t="s">
        <v>595</v>
      </c>
      <c r="K50" s="3" t="s">
        <v>596</v>
      </c>
      <c r="L50" s="3" t="s">
        <v>597</v>
      </c>
      <c r="M50" s="3" t="s">
        <v>598</v>
      </c>
      <c r="N50" s="3" t="s">
        <v>599</v>
      </c>
      <c r="O50" s="3">
        <v>0.0</v>
      </c>
    </row>
    <row r="51" ht="15.75" customHeight="1">
      <c r="A51" s="3" t="s">
        <v>600</v>
      </c>
      <c r="B51" s="3" t="s">
        <v>601</v>
      </c>
      <c r="C51" s="3" t="s">
        <v>602</v>
      </c>
      <c r="D51" s="3" t="s">
        <v>603</v>
      </c>
      <c r="E51" s="3" t="str">
        <f>IFERROR(__xludf.DUMMYFUNCTION("GOOGLETRANSLATE($D51,""EN"",""RU"")")," Разочарованное лицо")</f>
        <v> Разочарованное лицо</v>
      </c>
      <c r="F51" s="3" t="s">
        <v>19</v>
      </c>
      <c r="G51" s="3" t="s">
        <v>604</v>
      </c>
      <c r="H51" s="3" t="s">
        <v>605</v>
      </c>
      <c r="I51" s="3" t="s">
        <v>606</v>
      </c>
      <c r="J51" s="3" t="s">
        <v>607</v>
      </c>
      <c r="K51" s="3" t="s">
        <v>608</v>
      </c>
      <c r="L51" s="3" t="s">
        <v>609</v>
      </c>
      <c r="M51" s="3" t="s">
        <v>610</v>
      </c>
      <c r="N51" s="3" t="s">
        <v>611</v>
      </c>
      <c r="O51" s="3">
        <v>0.0</v>
      </c>
    </row>
    <row r="52" ht="15.75" customHeight="1">
      <c r="A52" s="3" t="s">
        <v>612</v>
      </c>
      <c r="B52" s="3" t="s">
        <v>613</v>
      </c>
      <c r="C52" s="3" t="s">
        <v>614</v>
      </c>
      <c r="D52" s="3" t="s">
        <v>615</v>
      </c>
      <c r="E52" s="3" t="str">
        <f>IFERROR(__xludf.DUMMYFUNCTION("GOOGLETRANSLATE($D52,""EN"",""RU"")")," Лицо с паром из носа")</f>
        <v> Лицо с паром из носа</v>
      </c>
      <c r="F52" s="3" t="s">
        <v>19</v>
      </c>
      <c r="G52" s="3" t="s">
        <v>616</v>
      </c>
      <c r="H52" s="3" t="s">
        <v>617</v>
      </c>
      <c r="I52" s="3" t="s">
        <v>420</v>
      </c>
      <c r="J52" s="3" t="s">
        <v>618</v>
      </c>
      <c r="K52" s="3" t="s">
        <v>619</v>
      </c>
      <c r="L52" s="3" t="s">
        <v>620</v>
      </c>
      <c r="M52" s="3" t="s">
        <v>621</v>
      </c>
      <c r="N52" s="3" t="s">
        <v>622</v>
      </c>
      <c r="O52" s="3">
        <v>0.0</v>
      </c>
    </row>
    <row r="53" ht="15.75" customHeight="1">
      <c r="A53" s="3" t="s">
        <v>623</v>
      </c>
      <c r="B53" s="3" t="s">
        <v>624</v>
      </c>
      <c r="C53" s="3" t="s">
        <v>625</v>
      </c>
      <c r="D53" s="3" t="s">
        <v>626</v>
      </c>
      <c r="E53" s="3" t="str">
        <f>IFERROR(__xludf.DUMMYFUNCTION("GOOGLETRANSLATE($D53,""EN"",""RU"")")," Злое сердце")</f>
        <v> Злое сердце</v>
      </c>
      <c r="F53" s="3" t="s">
        <v>32</v>
      </c>
      <c r="G53" s="3" t="s">
        <v>120</v>
      </c>
      <c r="H53" s="3" t="s">
        <v>627</v>
      </c>
      <c r="I53" s="3" t="s">
        <v>628</v>
      </c>
      <c r="J53" s="3" t="s">
        <v>536</v>
      </c>
      <c r="K53" s="3" t="s">
        <v>629</v>
      </c>
      <c r="L53" s="3" t="s">
        <v>630</v>
      </c>
      <c r="M53" s="3" t="s">
        <v>631</v>
      </c>
      <c r="N53" s="3" t="s">
        <v>632</v>
      </c>
      <c r="O53" s="3">
        <v>0.0</v>
      </c>
    </row>
    <row r="54" ht="15.75" customHeight="1">
      <c r="A54" s="3" t="s">
        <v>633</v>
      </c>
      <c r="B54" s="3" t="s">
        <v>634</v>
      </c>
      <c r="C54" s="3" t="s">
        <v>635</v>
      </c>
      <c r="D54" s="3" t="s">
        <v>636</v>
      </c>
      <c r="E54" s="3" t="str">
        <f>IFERROR(__xludf.DUMMYFUNCTION("GOOGLETRANSLATE($D54,""EN"",""RU"")")," Красный круг")</f>
        <v> Красный круг</v>
      </c>
      <c r="F54" s="3" t="s">
        <v>637</v>
      </c>
      <c r="G54" s="3" t="s">
        <v>638</v>
      </c>
      <c r="H54" s="3" t="s">
        <v>639</v>
      </c>
      <c r="I54" s="3" t="s">
        <v>640</v>
      </c>
      <c r="J54" s="3" t="s">
        <v>641</v>
      </c>
      <c r="K54" s="3" t="s">
        <v>642</v>
      </c>
      <c r="L54" s="3" t="s">
        <v>643</v>
      </c>
      <c r="M54" s="3" t="s">
        <v>644</v>
      </c>
      <c r="N54" s="3" t="s">
        <v>645</v>
      </c>
      <c r="O54" s="3">
        <v>0.0</v>
      </c>
    </row>
    <row r="55" ht="15.75" customHeight="1">
      <c r="A55" s="3" t="s">
        <v>607</v>
      </c>
      <c r="B55" s="3" t="s">
        <v>646</v>
      </c>
      <c r="C55" s="3" t="s">
        <v>647</v>
      </c>
      <c r="D55" s="3" t="s">
        <v>648</v>
      </c>
      <c r="E55" s="3" t="str">
        <f>IFERROR(__xludf.DUMMYFUNCTION("GOOGLETRANSLATE($D55,""EN"",""RU"")")," Растущее сердце")</f>
        <v> Растущее сердце</v>
      </c>
      <c r="F55" s="3" t="s">
        <v>32</v>
      </c>
      <c r="G55" s="3" t="s">
        <v>649</v>
      </c>
      <c r="H55" s="3" t="s">
        <v>650</v>
      </c>
      <c r="I55" s="3" t="s">
        <v>651</v>
      </c>
      <c r="J55" s="3" t="s">
        <v>652</v>
      </c>
      <c r="K55" s="3" t="s">
        <v>653</v>
      </c>
      <c r="L55" s="3" t="s">
        <v>654</v>
      </c>
      <c r="M55" s="3" t="s">
        <v>655</v>
      </c>
      <c r="N55" s="3" t="s">
        <v>656</v>
      </c>
      <c r="O55" s="3">
        <v>2.0</v>
      </c>
    </row>
    <row r="56" ht="15.75" customHeight="1">
      <c r="A56" s="3" t="s">
        <v>657</v>
      </c>
      <c r="B56" s="3" t="s">
        <v>658</v>
      </c>
      <c r="C56" s="3" t="s">
        <v>659</v>
      </c>
      <c r="D56" s="3" t="s">
        <v>660</v>
      </c>
      <c r="E56" s="3" t="str">
        <f>IFERROR(__xludf.DUMMYFUNCTION("GOOGLETRANSLATE($D56,""EN"",""RU"")")," Облегченное лицо")</f>
        <v> Облегченное лицо</v>
      </c>
      <c r="F56" s="3" t="s">
        <v>19</v>
      </c>
      <c r="G56" s="3" t="s">
        <v>384</v>
      </c>
      <c r="H56" s="3" t="s">
        <v>661</v>
      </c>
      <c r="I56" s="3" t="s">
        <v>662</v>
      </c>
      <c r="J56" s="3" t="s">
        <v>347</v>
      </c>
      <c r="K56" s="3" t="s">
        <v>663</v>
      </c>
      <c r="L56" s="3" t="s">
        <v>664</v>
      </c>
      <c r="M56" s="3" t="s">
        <v>665</v>
      </c>
      <c r="N56" s="3" t="s">
        <v>666</v>
      </c>
      <c r="O56" s="3">
        <v>2.0</v>
      </c>
    </row>
    <row r="57" ht="15.75" customHeight="1">
      <c r="A57" s="3" t="s">
        <v>606</v>
      </c>
      <c r="B57" s="3" t="s">
        <v>667</v>
      </c>
      <c r="C57" s="3" t="s">
        <v>668</v>
      </c>
      <c r="D57" s="3" t="s">
        <v>669</v>
      </c>
      <c r="E57" s="3" t="str">
        <f>IFERROR(__xludf.DUMMYFUNCTION("GOOGLETRANSLATE($D57,""EN"",""RU"")")," Человек, идущий")</f>
        <v> Человек, идущий</v>
      </c>
      <c r="F57" s="3" t="s">
        <v>178</v>
      </c>
      <c r="G57" s="3" t="s">
        <v>670</v>
      </c>
      <c r="H57" s="3" t="s">
        <v>671</v>
      </c>
      <c r="I57" s="3" t="s">
        <v>672</v>
      </c>
      <c r="J57" s="3" t="s">
        <v>673</v>
      </c>
      <c r="K57" s="3" t="s">
        <v>674</v>
      </c>
      <c r="L57" s="3" t="s">
        <v>675</v>
      </c>
      <c r="M57" s="3" t="s">
        <v>676</v>
      </c>
      <c r="N57" s="3" t="s">
        <v>677</v>
      </c>
      <c r="O57" s="3">
        <v>0.0</v>
      </c>
    </row>
    <row r="58" ht="15.75" customHeight="1">
      <c r="A58" s="3" t="s">
        <v>678</v>
      </c>
      <c r="B58" s="3" t="s">
        <v>679</v>
      </c>
      <c r="C58" s="3" t="s">
        <v>680</v>
      </c>
      <c r="D58" s="3" t="s">
        <v>681</v>
      </c>
      <c r="E58" s="3" t="str">
        <f>IFERROR(__xludf.DUMMYFUNCTION("GOOGLETRANSLATE($D58,""EN"",""RU"")")," Букет")</f>
        <v> Букет</v>
      </c>
      <c r="F58" s="3" t="s">
        <v>81</v>
      </c>
      <c r="G58" s="3" t="s">
        <v>682</v>
      </c>
      <c r="H58" s="3" t="s">
        <v>283</v>
      </c>
      <c r="I58" s="3" t="s">
        <v>628</v>
      </c>
      <c r="J58" s="3" t="s">
        <v>683</v>
      </c>
      <c r="K58" s="3" t="s">
        <v>684</v>
      </c>
      <c r="L58" s="3" t="s">
        <v>685</v>
      </c>
      <c r="M58" s="3" t="s">
        <v>686</v>
      </c>
      <c r="N58" s="3" t="s">
        <v>687</v>
      </c>
      <c r="O58" s="3">
        <v>2.0</v>
      </c>
    </row>
    <row r="59" ht="15.75" customHeight="1">
      <c r="A59" s="3" t="s">
        <v>688</v>
      </c>
      <c r="B59" s="3" t="s">
        <v>689</v>
      </c>
      <c r="C59" s="3" t="s">
        <v>690</v>
      </c>
      <c r="D59" s="3" t="s">
        <v>691</v>
      </c>
      <c r="E59" s="3" t="str">
        <f>IFERROR(__xludf.DUMMYFUNCTION("GOOGLETRANSLATE($D59,""EN"",""RU"")")," Вращающиеся сердца")</f>
        <v> Вращающиеся сердца</v>
      </c>
      <c r="F59" s="3" t="s">
        <v>32</v>
      </c>
      <c r="G59" s="3" t="s">
        <v>692</v>
      </c>
      <c r="H59" s="3" t="s">
        <v>693</v>
      </c>
      <c r="I59" s="3" t="s">
        <v>694</v>
      </c>
      <c r="J59" s="3" t="s">
        <v>695</v>
      </c>
      <c r="K59" s="3" t="s">
        <v>696</v>
      </c>
      <c r="L59" s="3" t="s">
        <v>697</v>
      </c>
      <c r="M59" s="3" t="s">
        <v>698</v>
      </c>
      <c r="N59" s="3" t="s">
        <v>699</v>
      </c>
      <c r="O59" s="3">
        <v>2.0</v>
      </c>
    </row>
    <row r="60" ht="15.75" customHeight="1">
      <c r="A60" s="3" t="s">
        <v>700</v>
      </c>
      <c r="B60" s="3" t="s">
        <v>701</v>
      </c>
      <c r="C60" s="3" t="s">
        <v>702</v>
      </c>
      <c r="D60" s="3" t="s">
        <v>703</v>
      </c>
      <c r="E60" s="3" t="str">
        <f>IFERROR(__xludf.DUMMYFUNCTION("GOOGLETRANSLATE($D60,""EN"",""RU"")")," Спящее лицо")</f>
        <v> Спящее лицо</v>
      </c>
      <c r="F60" s="3" t="s">
        <v>19</v>
      </c>
      <c r="G60" s="3" t="s">
        <v>704</v>
      </c>
      <c r="H60" s="3" t="s">
        <v>705</v>
      </c>
      <c r="I60" s="3" t="s">
        <v>706</v>
      </c>
      <c r="J60" s="3" t="s">
        <v>707</v>
      </c>
      <c r="K60" s="3" t="s">
        <v>708</v>
      </c>
      <c r="L60" s="3" t="s">
        <v>709</v>
      </c>
      <c r="M60" s="3" t="s">
        <v>710</v>
      </c>
      <c r="N60" s="3" t="s">
        <v>711</v>
      </c>
      <c r="O60" s="3">
        <v>0.0</v>
      </c>
    </row>
    <row r="61" ht="15.75" customHeight="1">
      <c r="A61" s="3" t="s">
        <v>712</v>
      </c>
      <c r="B61" s="3" t="s">
        <v>713</v>
      </c>
      <c r="C61" s="3" t="s">
        <v>714</v>
      </c>
      <c r="D61" s="3" t="s">
        <v>715</v>
      </c>
      <c r="E61" s="3" t="str">
        <f>IFERROR(__xludf.DUMMYFUNCTION("GOOGLETRANSLATE($D61,""EN"",""RU"")")," Увядший цветок")</f>
        <v> Увядший цветок</v>
      </c>
      <c r="F61" s="3" t="s">
        <v>81</v>
      </c>
      <c r="G61" s="3" t="s">
        <v>716</v>
      </c>
      <c r="H61" s="3" t="s">
        <v>536</v>
      </c>
      <c r="I61" s="3" t="s">
        <v>717</v>
      </c>
      <c r="J61" s="3" t="s">
        <v>718</v>
      </c>
      <c r="K61" s="3" t="s">
        <v>719</v>
      </c>
      <c r="L61" s="3" t="s">
        <v>720</v>
      </c>
      <c r="M61" s="3" t="s">
        <v>721</v>
      </c>
      <c r="N61" s="3" t="s">
        <v>722</v>
      </c>
      <c r="O61" s="3">
        <v>2.0</v>
      </c>
    </row>
    <row r="62" ht="15.75" customHeight="1">
      <c r="A62" s="3" t="s">
        <v>723</v>
      </c>
      <c r="B62" s="3" t="s">
        <v>724</v>
      </c>
      <c r="C62" s="3" t="s">
        <v>725</v>
      </c>
      <c r="D62" s="3" t="s">
        <v>726</v>
      </c>
      <c r="E62" s="3" t="str">
        <f>IFERROR(__xludf.DUMMYFUNCTION("GOOGLETRANSLATE($D62,""EN"",""RU"")")," Гримасничающее лицо")</f>
        <v> Гримасничающее лицо</v>
      </c>
      <c r="F62" s="3" t="s">
        <v>19</v>
      </c>
      <c r="G62" s="3" t="s">
        <v>727</v>
      </c>
      <c r="H62" s="3" t="s">
        <v>349</v>
      </c>
      <c r="I62" s="3" t="s">
        <v>728</v>
      </c>
      <c r="J62" s="3" t="s">
        <v>588</v>
      </c>
      <c r="K62" s="3" t="s">
        <v>729</v>
      </c>
      <c r="L62" s="3" t="s">
        <v>730</v>
      </c>
      <c r="M62" s="3" t="s">
        <v>731</v>
      </c>
      <c r="N62" s="3" t="s">
        <v>732</v>
      </c>
      <c r="O62" s="3">
        <v>0.0</v>
      </c>
    </row>
    <row r="63" ht="15.75" customHeight="1">
      <c r="A63" s="3" t="s">
        <v>733</v>
      </c>
      <c r="B63" s="3" t="s">
        <v>734</v>
      </c>
      <c r="C63" s="3" t="s">
        <v>735</v>
      </c>
      <c r="D63" s="3" t="s">
        <v>736</v>
      </c>
      <c r="E63" s="3" t="str">
        <f>IFERROR(__xludf.DUMMYFUNCTION("GOOGLETRANSLATE($D63,""EN"",""RU"")")," Рука Победы")</f>
        <v> Рука Победы</v>
      </c>
      <c r="F63" s="3" t="s">
        <v>178</v>
      </c>
      <c r="G63" s="3" t="s">
        <v>737</v>
      </c>
      <c r="H63" s="3" t="s">
        <v>738</v>
      </c>
      <c r="I63" s="3" t="s">
        <v>739</v>
      </c>
      <c r="J63" s="3" t="s">
        <v>740</v>
      </c>
      <c r="K63" s="3" t="s">
        <v>741</v>
      </c>
      <c r="L63" s="3" t="s">
        <v>742</v>
      </c>
      <c r="M63" s="3" t="s">
        <v>743</v>
      </c>
      <c r="N63" s="3" t="s">
        <v>744</v>
      </c>
      <c r="O63" s="3">
        <v>2.0</v>
      </c>
    </row>
    <row r="64" ht="15.75" customHeight="1">
      <c r="A64" s="3" t="s">
        <v>745</v>
      </c>
      <c r="B64" s="3" t="s">
        <v>746</v>
      </c>
      <c r="C64" s="3" t="s">
        <v>747</v>
      </c>
      <c r="D64" s="3" t="s">
        <v>748</v>
      </c>
      <c r="E64" s="3" t="str">
        <f>IFERROR(__xludf.DUMMYFUNCTION("GOOGLETRANSLATE($D64,""EN"",""RU"")")," Прилив крови к лицу")</f>
        <v> Прилив крови к лицу</v>
      </c>
      <c r="F64" s="3" t="s">
        <v>19</v>
      </c>
      <c r="G64" s="3" t="s">
        <v>749</v>
      </c>
      <c r="H64" s="3" t="s">
        <v>750</v>
      </c>
      <c r="I64" s="3" t="s">
        <v>751</v>
      </c>
      <c r="J64" s="3" t="s">
        <v>492</v>
      </c>
      <c r="K64" s="3" t="s">
        <v>752</v>
      </c>
      <c r="L64" s="3" t="s">
        <v>753</v>
      </c>
      <c r="M64" s="3" t="s">
        <v>754</v>
      </c>
      <c r="N64" s="3" t="s">
        <v>755</v>
      </c>
      <c r="O64" s="3">
        <v>0.0</v>
      </c>
    </row>
    <row r="65" ht="15.75" customHeight="1">
      <c r="A65" s="3" t="s">
        <v>756</v>
      </c>
      <c r="B65" s="3" t="s">
        <v>757</v>
      </c>
      <c r="C65" s="3" t="s">
        <v>758</v>
      </c>
      <c r="D65" s="3" t="s">
        <v>759</v>
      </c>
      <c r="E65" s="3" t="str">
        <f>IFERROR(__xludf.DUMMYFUNCTION("GOOGLETRANSLATE($D65,""EN"",""RU"")")," Растерянное лицо")</f>
        <v> Растерянное лицо</v>
      </c>
      <c r="F65" s="3" t="s">
        <v>19</v>
      </c>
      <c r="G65" s="3" t="s">
        <v>760</v>
      </c>
      <c r="H65" s="3" t="s">
        <v>761</v>
      </c>
      <c r="I65" s="3" t="s">
        <v>623</v>
      </c>
      <c r="J65" s="3" t="s">
        <v>414</v>
      </c>
      <c r="K65" s="3" t="s">
        <v>762</v>
      </c>
      <c r="L65" s="3" t="s">
        <v>763</v>
      </c>
      <c r="M65" s="3" t="s">
        <v>764</v>
      </c>
      <c r="N65" s="3" t="s">
        <v>765</v>
      </c>
      <c r="O65" s="3">
        <v>0.0</v>
      </c>
    </row>
    <row r="66" ht="15.75" customHeight="1">
      <c r="A66" s="3" t="s">
        <v>525</v>
      </c>
      <c r="B66" s="3" t="s">
        <v>766</v>
      </c>
      <c r="C66" s="3" t="s">
        <v>767</v>
      </c>
      <c r="D66" s="3" t="s">
        <v>768</v>
      </c>
      <c r="E66" s="3" t="str">
        <f>IFERROR(__xludf.DUMMYFUNCTION("GOOGLETRANSLATE($D66,""EN"",""RU"")")," Невидимая злая обезьяна")</f>
        <v> Невидимая злая обезьяна</v>
      </c>
      <c r="F66" s="3" t="s">
        <v>178</v>
      </c>
      <c r="G66" s="3" t="s">
        <v>769</v>
      </c>
      <c r="H66" s="3" t="s">
        <v>770</v>
      </c>
      <c r="I66" s="3" t="s">
        <v>771</v>
      </c>
      <c r="J66" s="3" t="s">
        <v>772</v>
      </c>
      <c r="K66" s="3" t="s">
        <v>773</v>
      </c>
      <c r="L66" s="3" t="s">
        <v>774</v>
      </c>
      <c r="M66" s="3" t="s">
        <v>775</v>
      </c>
      <c r="N66" s="3" t="s">
        <v>776</v>
      </c>
      <c r="O66" s="3">
        <v>0.0</v>
      </c>
    </row>
    <row r="67" ht="15.75" customHeight="1">
      <c r="A67" s="3" t="s">
        <v>777</v>
      </c>
      <c r="B67" s="3" t="s">
        <v>778</v>
      </c>
      <c r="C67" s="3" t="s">
        <v>779</v>
      </c>
      <c r="D67" s="3" t="s">
        <v>780</v>
      </c>
      <c r="E67" s="3" t="str">
        <f>IFERROR(__xludf.DUMMYFUNCTION("GOOGLETRANSLATE($D67,""EN"",""RU"")")," Трава")</f>
        <v> Трава</v>
      </c>
      <c r="F67" s="3" t="s">
        <v>81</v>
      </c>
      <c r="G67" s="3" t="s">
        <v>583</v>
      </c>
      <c r="H67" s="3" t="s">
        <v>781</v>
      </c>
      <c r="I67" s="3" t="s">
        <v>661</v>
      </c>
      <c r="J67" s="3" t="s">
        <v>782</v>
      </c>
      <c r="K67" s="3" t="s">
        <v>783</v>
      </c>
      <c r="L67" s="3" t="s">
        <v>784</v>
      </c>
      <c r="M67" s="3" t="s">
        <v>785</v>
      </c>
      <c r="N67" s="3" t="s">
        <v>786</v>
      </c>
      <c r="O67" s="3">
        <v>2.0</v>
      </c>
    </row>
    <row r="68" ht="15.75" customHeight="1">
      <c r="A68" s="3" t="s">
        <v>787</v>
      </c>
      <c r="B68" s="3" t="s">
        <v>788</v>
      </c>
      <c r="C68" s="3" t="s">
        <v>789</v>
      </c>
      <c r="D68" s="3" t="s">
        <v>790</v>
      </c>
      <c r="E68" s="3" t="str">
        <f>IFERROR(__xludf.DUMMYFUNCTION("GOOGLETRANSLATE($D68,""EN"",""RU"")")," Человек пожимает плечами")</f>
        <v> Человек пожимает плечами</v>
      </c>
      <c r="F68" s="3" t="s">
        <v>178</v>
      </c>
      <c r="G68" s="3" t="s">
        <v>791</v>
      </c>
      <c r="H68" s="3" t="s">
        <v>792</v>
      </c>
      <c r="I68" s="3" t="s">
        <v>793</v>
      </c>
      <c r="J68" s="3" t="s">
        <v>794</v>
      </c>
      <c r="K68" s="3" t="s">
        <v>795</v>
      </c>
      <c r="L68" s="3" t="s">
        <v>796</v>
      </c>
      <c r="M68" s="3" t="s">
        <v>797</v>
      </c>
      <c r="N68" s="3" t="s">
        <v>798</v>
      </c>
      <c r="O68" s="3">
        <v>1.0</v>
      </c>
    </row>
    <row r="69" ht="15.75" customHeight="1">
      <c r="A69" s="3" t="s">
        <v>799</v>
      </c>
      <c r="B69" s="3" t="s">
        <v>800</v>
      </c>
      <c r="C69" s="3" t="s">
        <v>801</v>
      </c>
      <c r="D69" s="3" t="s">
        <v>802</v>
      </c>
      <c r="E69" s="3" t="str">
        <f>IFERROR(__xludf.DUMMYFUNCTION("GOOGLETRANSLATE($D69,""EN"",""RU"")")," Слегка нахмуренное лицо")</f>
        <v> Слегка нахмуренное лицо</v>
      </c>
      <c r="F69" s="3" t="s">
        <v>19</v>
      </c>
      <c r="G69" s="3" t="s">
        <v>803</v>
      </c>
      <c r="H69" s="3" t="s">
        <v>804</v>
      </c>
      <c r="I69" s="3" t="s">
        <v>588</v>
      </c>
      <c r="J69" s="3" t="s">
        <v>543</v>
      </c>
      <c r="K69" s="3" t="s">
        <v>805</v>
      </c>
      <c r="L69" s="3" t="s">
        <v>806</v>
      </c>
      <c r="M69" s="3" t="s">
        <v>807</v>
      </c>
      <c r="N69" s="3" t="s">
        <v>808</v>
      </c>
      <c r="O69" s="3">
        <v>0.0</v>
      </c>
    </row>
    <row r="70" ht="15.75" customHeight="1">
      <c r="A70" s="3" t="s">
        <v>809</v>
      </c>
      <c r="B70" s="3" t="s">
        <v>810</v>
      </c>
      <c r="C70" s="3" t="s">
        <v>811</v>
      </c>
      <c r="D70" s="3" t="s">
        <v>812</v>
      </c>
      <c r="E70" s="3" t="str">
        <f>IFERROR(__xludf.DUMMYFUNCTION("GOOGLETRANSLATE($D70,""EN"",""RU"")")," Грустное, но облегченное лицо")</f>
        <v> Грустное, но облегченное лицо</v>
      </c>
      <c r="F70" s="3" t="s">
        <v>19</v>
      </c>
      <c r="G70" s="3" t="s">
        <v>813</v>
      </c>
      <c r="H70" s="3" t="s">
        <v>814</v>
      </c>
      <c r="I70" s="3" t="s">
        <v>815</v>
      </c>
      <c r="J70" s="3" t="s">
        <v>391</v>
      </c>
      <c r="K70" s="3" t="s">
        <v>816</v>
      </c>
      <c r="L70" s="3" t="s">
        <v>817</v>
      </c>
      <c r="M70" s="3" t="s">
        <v>818</v>
      </c>
      <c r="N70" s="3" t="s">
        <v>819</v>
      </c>
      <c r="O70" s="3">
        <v>0.0</v>
      </c>
    </row>
    <row r="71" ht="15.75" customHeight="1">
      <c r="A71" s="3" t="s">
        <v>781</v>
      </c>
      <c r="B71" s="3" t="s">
        <v>820</v>
      </c>
      <c r="C71" s="3" t="s">
        <v>821</v>
      </c>
      <c r="D71" s="3" t="s">
        <v>822</v>
      </c>
      <c r="E71" s="3" t="str">
        <f>IFERROR(__xludf.DUMMYFUNCTION("GOOGLETRANSLATE($D71,""EN"",""RU"")")," Бьющееся сердце")</f>
        <v> Бьющееся сердце</v>
      </c>
      <c r="F71" s="3" t="s">
        <v>32</v>
      </c>
      <c r="G71" s="3" t="s">
        <v>823</v>
      </c>
      <c r="H71" s="3" t="s">
        <v>733</v>
      </c>
      <c r="I71" s="3" t="s">
        <v>449</v>
      </c>
      <c r="J71" s="3" t="s">
        <v>824</v>
      </c>
      <c r="K71" s="3" t="s">
        <v>825</v>
      </c>
      <c r="L71" s="3" t="s">
        <v>826</v>
      </c>
      <c r="M71" s="3" t="s">
        <v>827</v>
      </c>
      <c r="N71" s="3" t="s">
        <v>828</v>
      </c>
      <c r="O71" s="3">
        <v>2.0</v>
      </c>
    </row>
    <row r="72" ht="15.75" customHeight="1">
      <c r="A72" s="3" t="s">
        <v>829</v>
      </c>
      <c r="B72" s="3" t="s">
        <v>830</v>
      </c>
      <c r="C72" s="3" t="s">
        <v>831</v>
      </c>
      <c r="D72" s="3" t="s">
        <v>832</v>
      </c>
      <c r="E72" s="3" t="str">
        <f>IFERROR(__xludf.DUMMYFUNCTION("GOOGLETRANSLATE($D72,""EN"",""RU"")")," Символ регионального индикатора, буква A")</f>
        <v> Символ регионального индикатора, буква A</v>
      </c>
      <c r="F72" s="3" t="s">
        <v>637</v>
      </c>
      <c r="G72" s="3" t="s">
        <v>84</v>
      </c>
      <c r="H72" s="3" t="s">
        <v>600</v>
      </c>
      <c r="I72" s="3" t="s">
        <v>833</v>
      </c>
      <c r="J72" s="3" t="s">
        <v>834</v>
      </c>
      <c r="K72" s="3" t="s">
        <v>835</v>
      </c>
      <c r="L72" s="3" t="s">
        <v>836</v>
      </c>
      <c r="M72" s="3" t="s">
        <v>837</v>
      </c>
      <c r="N72" s="3" t="s">
        <v>838</v>
      </c>
      <c r="O72" s="3">
        <v>2.0</v>
      </c>
    </row>
    <row r="73" ht="15.75" customHeight="1">
      <c r="A73" s="3" t="s">
        <v>839</v>
      </c>
      <c r="B73" s="3" t="s">
        <v>840</v>
      </c>
      <c r="C73" s="3" t="s">
        <v>841</v>
      </c>
      <c r="D73" s="3" t="s">
        <v>842</v>
      </c>
      <c r="E73" s="3" t="str">
        <f>IFERROR(__xludf.DUMMYFUNCTION("GOOGLETRANSLATE($D73,""EN"",""RU"")")," Цвести")</f>
        <v> Цвести</v>
      </c>
      <c r="F73" s="3" t="s">
        <v>81</v>
      </c>
      <c r="G73" s="3" t="s">
        <v>843</v>
      </c>
      <c r="H73" s="3" t="s">
        <v>295</v>
      </c>
      <c r="I73" s="3" t="s">
        <v>844</v>
      </c>
      <c r="J73" s="3" t="s">
        <v>845</v>
      </c>
      <c r="K73" s="3" t="s">
        <v>846</v>
      </c>
      <c r="L73" s="3" t="s">
        <v>847</v>
      </c>
      <c r="M73" s="3" t="s">
        <v>848</v>
      </c>
      <c r="N73" s="3" t="s">
        <v>849</v>
      </c>
      <c r="O73" s="3">
        <v>2.0</v>
      </c>
    </row>
    <row r="74" ht="15.75" customHeight="1">
      <c r="A74" s="3" t="s">
        <v>850</v>
      </c>
      <c r="B74" s="3" t="s">
        <v>851</v>
      </c>
      <c r="C74" s="3" t="s">
        <v>852</v>
      </c>
      <c r="D74" s="3" t="s">
        <v>853</v>
      </c>
      <c r="E74" s="3" t="str">
        <f>IFERROR(__xludf.DUMMYFUNCTION("GOOGLETRANSLATE($D74,""EN"",""RU"")")," Женщина танцует")</f>
        <v> Женщина танцует</v>
      </c>
      <c r="F74" s="3" t="s">
        <v>178</v>
      </c>
      <c r="G74" s="3" t="s">
        <v>854</v>
      </c>
      <c r="H74" s="3" t="s">
        <v>373</v>
      </c>
      <c r="I74" s="3" t="s">
        <v>855</v>
      </c>
      <c r="J74" s="3" t="s">
        <v>639</v>
      </c>
      <c r="K74" s="3" t="s">
        <v>856</v>
      </c>
      <c r="L74" s="3" t="s">
        <v>857</v>
      </c>
      <c r="M74" s="3" t="s">
        <v>858</v>
      </c>
      <c r="N74" s="3" t="s">
        <v>859</v>
      </c>
      <c r="O74" s="3">
        <v>2.0</v>
      </c>
    </row>
    <row r="75" ht="15.75" customHeight="1">
      <c r="A75" s="3" t="s">
        <v>860</v>
      </c>
      <c r="B75" s="3" t="s">
        <v>861</v>
      </c>
      <c r="C75" s="3" t="s">
        <v>862</v>
      </c>
      <c r="D75" s="3" t="s">
        <v>863</v>
      </c>
      <c r="E75" s="3" t="str">
        <f>IFERROR(__xludf.DUMMYFUNCTION("GOOGLETRANSLATE($D75,""EN"",""RU"")")," Человек Фейспалминг")</f>
        <v> Человек Фейспалминг</v>
      </c>
      <c r="F75" s="3" t="s">
        <v>178</v>
      </c>
      <c r="G75" s="3" t="s">
        <v>864</v>
      </c>
      <c r="H75" s="3" t="s">
        <v>865</v>
      </c>
      <c r="I75" s="3" t="s">
        <v>866</v>
      </c>
      <c r="J75" s="3" t="s">
        <v>867</v>
      </c>
      <c r="K75" s="3" t="s">
        <v>868</v>
      </c>
      <c r="L75" s="3" t="s">
        <v>869</v>
      </c>
      <c r="M75" s="3" t="s">
        <v>870</v>
      </c>
      <c r="N75" s="3" t="s">
        <v>871</v>
      </c>
      <c r="O75" s="3">
        <v>0.0</v>
      </c>
    </row>
    <row r="76" ht="15.75" customHeight="1">
      <c r="A76" s="3" t="s">
        <v>872</v>
      </c>
      <c r="B76" s="3" t="s">
        <v>873</v>
      </c>
      <c r="C76" s="3" t="s">
        <v>874</v>
      </c>
      <c r="D76" s="3" t="s">
        <v>875</v>
      </c>
      <c r="E76" s="3" t="str">
        <f>IFERROR(__xludf.DUMMYFUNCTION("GOOGLETRANSLATE($D76,""EN"",""RU"")")," Подмигивающее лицо с языком")</f>
        <v> Подмигивающее лицо с языком</v>
      </c>
      <c r="F76" s="3" t="s">
        <v>19</v>
      </c>
      <c r="G76" s="3" t="s">
        <v>876</v>
      </c>
      <c r="H76" s="3" t="s">
        <v>877</v>
      </c>
      <c r="I76" s="3" t="s">
        <v>561</v>
      </c>
      <c r="J76" s="3" t="s">
        <v>878</v>
      </c>
      <c r="K76" s="3" t="s">
        <v>879</v>
      </c>
      <c r="L76" s="3" t="s">
        <v>880</v>
      </c>
      <c r="M76" s="3" t="s">
        <v>881</v>
      </c>
      <c r="N76" s="3" t="s">
        <v>882</v>
      </c>
      <c r="O76" s="3">
        <v>0.0</v>
      </c>
    </row>
    <row r="77" ht="15.75" customHeight="1">
      <c r="A77" s="3" t="s">
        <v>883</v>
      </c>
      <c r="B77" s="3" t="s">
        <v>884</v>
      </c>
      <c r="C77" s="3" t="s">
        <v>885</v>
      </c>
      <c r="D77" s="3" t="s">
        <v>886</v>
      </c>
      <c r="E77" s="3" t="str">
        <f>IFERROR(__xludf.DUMMYFUNCTION("GOOGLETRANSLATE($D77,""EN"",""RU"")")," Светящаяся звезда")</f>
        <v> Светящаяся звезда</v>
      </c>
      <c r="F77" s="3" t="s">
        <v>81</v>
      </c>
      <c r="G77" s="3" t="s">
        <v>887</v>
      </c>
      <c r="H77" s="3" t="s">
        <v>473</v>
      </c>
      <c r="I77" s="3" t="s">
        <v>694</v>
      </c>
      <c r="J77" s="3" t="s">
        <v>888</v>
      </c>
      <c r="K77" s="3" t="s">
        <v>889</v>
      </c>
      <c r="L77" s="3" t="s">
        <v>890</v>
      </c>
      <c r="M77" s="3" t="s">
        <v>891</v>
      </c>
      <c r="N77" s="3" t="s">
        <v>892</v>
      </c>
      <c r="O77" s="3">
        <v>2.0</v>
      </c>
    </row>
    <row r="78" ht="15.75" customHeight="1">
      <c r="A78" s="3" t="s">
        <v>893</v>
      </c>
      <c r="B78" s="3" t="s">
        <v>894</v>
      </c>
      <c r="C78" s="3" t="s">
        <v>895</v>
      </c>
      <c r="D78" s="3" t="s">
        <v>896</v>
      </c>
      <c r="E78" s="3" t="str">
        <f>IFERROR(__xludf.DUMMYFUNCTION("GOOGLETRANSLATE($D78,""EN"",""RU"")")," Голубь")</f>
        <v> Голубь</v>
      </c>
      <c r="F78" s="3" t="s">
        <v>81</v>
      </c>
      <c r="G78" s="3" t="s">
        <v>897</v>
      </c>
      <c r="H78" s="3" t="s">
        <v>454</v>
      </c>
      <c r="I78" s="3" t="s">
        <v>781</v>
      </c>
      <c r="J78" s="3" t="s">
        <v>898</v>
      </c>
      <c r="K78" s="3" t="s">
        <v>899</v>
      </c>
      <c r="L78" s="3" t="s">
        <v>900</v>
      </c>
      <c r="M78" s="3" t="s">
        <v>901</v>
      </c>
      <c r="N78" s="3" t="s">
        <v>902</v>
      </c>
      <c r="O78" s="3">
        <v>2.0</v>
      </c>
    </row>
    <row r="79" ht="15.75" customHeight="1">
      <c r="A79" s="3" t="s">
        <v>728</v>
      </c>
      <c r="B79" s="3" t="s">
        <v>903</v>
      </c>
      <c r="C79" s="3" t="s">
        <v>904</v>
      </c>
      <c r="D79" s="3" t="s">
        <v>905</v>
      </c>
      <c r="E79" s="3" t="str">
        <f>IFERROR(__xludf.DUMMYFUNCTION("GOOGLETRANSLATE($D79,""EN"",""RU"")")," Символ регионального индикатора, буква S")</f>
        <v> Символ регионального индикатора, буква S</v>
      </c>
      <c r="F79" s="3" t="s">
        <v>637</v>
      </c>
      <c r="G79" s="3" t="s">
        <v>550</v>
      </c>
      <c r="H79" s="3" t="s">
        <v>555</v>
      </c>
      <c r="I79" s="3" t="s">
        <v>906</v>
      </c>
      <c r="J79" s="3" t="s">
        <v>907</v>
      </c>
      <c r="K79" s="3" t="s">
        <v>908</v>
      </c>
      <c r="L79" s="3" t="s">
        <v>909</v>
      </c>
      <c r="M79" s="3" t="s">
        <v>910</v>
      </c>
      <c r="N79" s="3" t="s">
        <v>911</v>
      </c>
      <c r="O79" s="3">
        <v>2.0</v>
      </c>
    </row>
    <row r="80" ht="15.75" customHeight="1">
      <c r="A80" s="3" t="s">
        <v>912</v>
      </c>
      <c r="B80" s="3" t="s">
        <v>913</v>
      </c>
      <c r="C80" s="3" t="s">
        <v>914</v>
      </c>
      <c r="D80" s="3" t="s">
        <v>915</v>
      </c>
      <c r="E80" s="3" t="str">
        <f>IFERROR(__xludf.DUMMYFUNCTION("GOOGLETRANSLATE($D80,""EN"",""RU"")")," Белая тяжелая галочка")</f>
        <v> Белая тяжелая галочка</v>
      </c>
      <c r="F80" s="3" t="s">
        <v>637</v>
      </c>
      <c r="G80" s="3" t="s">
        <v>916</v>
      </c>
      <c r="H80" s="3" t="s">
        <v>829</v>
      </c>
      <c r="I80" s="3" t="s">
        <v>917</v>
      </c>
      <c r="J80" s="3" t="s">
        <v>918</v>
      </c>
      <c r="K80" s="3" t="s">
        <v>919</v>
      </c>
      <c r="L80" s="3" t="s">
        <v>920</v>
      </c>
      <c r="M80" s="3" t="s">
        <v>921</v>
      </c>
      <c r="N80" s="3" t="s">
        <v>919</v>
      </c>
      <c r="O80" s="3">
        <v>2.0</v>
      </c>
    </row>
    <row r="81" ht="15.75" customHeight="1">
      <c r="A81" s="3" t="s">
        <v>922</v>
      </c>
      <c r="B81" s="3" t="s">
        <v>923</v>
      </c>
      <c r="C81" s="3" t="s">
        <v>924</v>
      </c>
      <c r="D81" s="3" t="s">
        <v>925</v>
      </c>
      <c r="E81" s="3" t="str">
        <f>IFERROR(__xludf.DUMMYFUNCTION("GOOGLETRANSLATE($D81,""EN"",""RU"")")," Сонное лицо")</f>
        <v> Сонное лицо</v>
      </c>
      <c r="F81" s="3" t="s">
        <v>19</v>
      </c>
      <c r="G81" s="3" t="s">
        <v>926</v>
      </c>
      <c r="H81" s="3" t="s">
        <v>927</v>
      </c>
      <c r="I81" s="3" t="s">
        <v>162</v>
      </c>
      <c r="J81" s="3" t="s">
        <v>283</v>
      </c>
      <c r="K81" s="3" t="s">
        <v>928</v>
      </c>
      <c r="L81" s="3" t="s">
        <v>929</v>
      </c>
      <c r="M81" s="3" t="s">
        <v>930</v>
      </c>
      <c r="N81" s="3" t="s">
        <v>931</v>
      </c>
      <c r="O81" s="3">
        <v>0.0</v>
      </c>
    </row>
    <row r="82" ht="15.75" customHeight="1">
      <c r="A82" s="3" t="s">
        <v>932</v>
      </c>
      <c r="B82" s="3" t="s">
        <v>933</v>
      </c>
      <c r="C82" s="3" t="s">
        <v>934</v>
      </c>
      <c r="D82" s="3" t="s">
        <v>935</v>
      </c>
      <c r="E82" s="3" t="str">
        <f>IFERROR(__xludf.DUMMYFUNCTION("GOOGLETRANSLATE($D82,""EN"",""RU"")")," Футбольный мяч")</f>
        <v> Футбольный мяч</v>
      </c>
      <c r="F82" s="3" t="s">
        <v>358</v>
      </c>
      <c r="G82" s="3" t="s">
        <v>421</v>
      </c>
      <c r="H82" s="3" t="s">
        <v>354</v>
      </c>
      <c r="I82" s="3" t="s">
        <v>936</v>
      </c>
      <c r="J82" s="3" t="s">
        <v>628</v>
      </c>
      <c r="K82" s="3" t="s">
        <v>937</v>
      </c>
      <c r="L82" s="3" t="s">
        <v>938</v>
      </c>
      <c r="M82" s="3" t="s">
        <v>939</v>
      </c>
      <c r="N82" s="3" t="s">
        <v>940</v>
      </c>
      <c r="O82" s="3">
        <v>2.0</v>
      </c>
    </row>
    <row r="83" ht="15.75" customHeight="1">
      <c r="A83" s="3" t="s">
        <v>941</v>
      </c>
      <c r="B83" s="3" t="s">
        <v>942</v>
      </c>
      <c r="C83" s="3" t="s">
        <v>943</v>
      </c>
      <c r="D83" s="3" t="s">
        <v>944</v>
      </c>
      <c r="E83" s="3" t="str">
        <f>IFERROR(__xludf.DUMMYFUNCTION("GOOGLETRANSLATE($D83,""EN"",""RU"")")," Настойчивое лицо")</f>
        <v> Настойчивое лицо</v>
      </c>
      <c r="F83" s="3" t="s">
        <v>19</v>
      </c>
      <c r="G83" s="3" t="s">
        <v>167</v>
      </c>
      <c r="H83" s="3" t="s">
        <v>945</v>
      </c>
      <c r="I83" s="3" t="s">
        <v>531</v>
      </c>
      <c r="J83" s="3" t="s">
        <v>497</v>
      </c>
      <c r="K83" s="3" t="s">
        <v>946</v>
      </c>
      <c r="L83" s="3" t="s">
        <v>947</v>
      </c>
      <c r="M83" s="3" t="s">
        <v>948</v>
      </c>
      <c r="N83" s="3" t="s">
        <v>949</v>
      </c>
      <c r="O83" s="3">
        <v>0.0</v>
      </c>
    </row>
    <row r="84" ht="15.75" customHeight="1">
      <c r="A84" s="3" t="s">
        <v>815</v>
      </c>
      <c r="B84" s="3" t="s">
        <v>950</v>
      </c>
      <c r="C84" s="3" t="s">
        <v>951</v>
      </c>
      <c r="D84" s="3" t="s">
        <v>952</v>
      </c>
      <c r="E84" s="3" t="str">
        <f>IFERROR(__xludf.DUMMYFUNCTION("GOOGLETRANSLATE($D84,""EN"",""RU"")")," Музыкальные ноты")</f>
        <v> Музыкальные ноты</v>
      </c>
      <c r="F84" s="3" t="s">
        <v>637</v>
      </c>
      <c r="G84" s="3" t="s">
        <v>953</v>
      </c>
      <c r="H84" s="3" t="s">
        <v>866</v>
      </c>
      <c r="I84" s="3" t="s">
        <v>954</v>
      </c>
      <c r="J84" s="3" t="s">
        <v>955</v>
      </c>
      <c r="K84" s="3" t="s">
        <v>956</v>
      </c>
      <c r="L84" s="3" t="s">
        <v>957</v>
      </c>
      <c r="M84" s="3" t="s">
        <v>958</v>
      </c>
      <c r="N84" s="3" t="s">
        <v>959</v>
      </c>
      <c r="O84" s="3">
        <v>2.0</v>
      </c>
    </row>
    <row r="85" ht="15.75" customHeight="1">
      <c r="A85" s="3" t="s">
        <v>960</v>
      </c>
      <c r="B85" s="3" t="s">
        <v>961</v>
      </c>
      <c r="C85" s="3" t="s">
        <v>962</v>
      </c>
      <c r="D85" s="3" t="s">
        <v>963</v>
      </c>
      <c r="E85" s="3" t="str">
        <f>IFERROR(__xludf.DUMMYFUNCTION("GOOGLETRANSLATE($D85,""EN"",""RU"")")," Человек, бегущий")</f>
        <v> Человек, бегущий</v>
      </c>
      <c r="F85" s="3" t="s">
        <v>178</v>
      </c>
      <c r="G85" s="3" t="s">
        <v>953</v>
      </c>
      <c r="H85" s="3" t="s">
        <v>964</v>
      </c>
      <c r="I85" s="3" t="s">
        <v>965</v>
      </c>
      <c r="J85" s="3" t="s">
        <v>966</v>
      </c>
      <c r="K85" s="3" t="s">
        <v>967</v>
      </c>
      <c r="L85" s="3" t="s">
        <v>968</v>
      </c>
      <c r="M85" s="3" t="s">
        <v>969</v>
      </c>
      <c r="N85" s="3" t="s">
        <v>970</v>
      </c>
      <c r="O85" s="3">
        <v>1.0</v>
      </c>
    </row>
    <row r="86" ht="15.75" customHeight="1">
      <c r="A86" s="3" t="s">
        <v>694</v>
      </c>
      <c r="B86" s="3" t="s">
        <v>971</v>
      </c>
      <c r="C86" s="3" t="s">
        <v>972</v>
      </c>
      <c r="D86" s="3" t="s">
        <v>973</v>
      </c>
      <c r="E86" s="3" t="str">
        <f>IFERROR(__xludf.DUMMYFUNCTION("GOOGLETRANSLATE($D86,""EN"",""RU"")")," Нахмуренное лицо")</f>
        <v> Нахмуренное лицо</v>
      </c>
      <c r="F86" s="3" t="s">
        <v>19</v>
      </c>
      <c r="G86" s="3" t="s">
        <v>974</v>
      </c>
      <c r="H86" s="3" t="s">
        <v>265</v>
      </c>
      <c r="I86" s="3" t="s">
        <v>414</v>
      </c>
      <c r="J86" s="3" t="s">
        <v>588</v>
      </c>
      <c r="K86" s="3" t="s">
        <v>975</v>
      </c>
      <c r="L86" s="3" t="s">
        <v>976</v>
      </c>
      <c r="M86" s="3" t="s">
        <v>977</v>
      </c>
      <c r="N86" s="3" t="s">
        <v>978</v>
      </c>
      <c r="O86" s="3">
        <v>0.0</v>
      </c>
    </row>
    <row r="87" ht="15.75" customHeight="1">
      <c r="A87" s="3" t="s">
        <v>844</v>
      </c>
      <c r="B87" s="3" t="s">
        <v>979</v>
      </c>
      <c r="C87" s="3" t="s">
        <v>980</v>
      </c>
      <c r="D87" s="3" t="s">
        <v>981</v>
      </c>
      <c r="E87" s="3" t="str">
        <f>IFERROR(__xludf.DUMMYFUNCTION("GOOGLETRANSLATE($D87,""EN"",""RU"")")," Целующееся лицо с закрытыми глазами")</f>
        <v> Целующееся лицо с закрытыми глазами</v>
      </c>
      <c r="F87" s="3" t="s">
        <v>19</v>
      </c>
      <c r="G87" s="3" t="s">
        <v>927</v>
      </c>
      <c r="H87" s="3" t="s">
        <v>982</v>
      </c>
      <c r="I87" s="3" t="s">
        <v>983</v>
      </c>
      <c r="J87" s="3" t="s">
        <v>984</v>
      </c>
      <c r="K87" s="3" t="s">
        <v>985</v>
      </c>
      <c r="L87" s="3" t="s">
        <v>986</v>
      </c>
      <c r="M87" s="3" t="s">
        <v>987</v>
      </c>
      <c r="N87" s="3" t="s">
        <v>988</v>
      </c>
      <c r="O87" s="3">
        <v>2.0</v>
      </c>
    </row>
    <row r="88" ht="15.75" customHeight="1">
      <c r="A88" s="3" t="s">
        <v>514</v>
      </c>
      <c r="B88" s="3" t="s">
        <v>989</v>
      </c>
      <c r="C88" s="3" t="s">
        <v>990</v>
      </c>
      <c r="D88" s="3" t="s">
        <v>991</v>
      </c>
      <c r="E88" s="3" t="str">
        <f>IFERROR(__xludf.DUMMYFUNCTION("GOOGLETRANSLATE($D88,""EN"",""RU"")")," Лицо с закатывающими глазами")</f>
        <v> Лицо с закатывающими глазами</v>
      </c>
      <c r="F88" s="3" t="s">
        <v>19</v>
      </c>
      <c r="G88" s="3" t="s">
        <v>992</v>
      </c>
      <c r="H88" s="3" t="s">
        <v>993</v>
      </c>
      <c r="I88" s="3" t="s">
        <v>694</v>
      </c>
      <c r="J88" s="3" t="s">
        <v>397</v>
      </c>
      <c r="K88" s="3" t="s">
        <v>994</v>
      </c>
      <c r="L88" s="3" t="s">
        <v>995</v>
      </c>
      <c r="M88" s="3" t="s">
        <v>996</v>
      </c>
      <c r="N88" s="3" t="s">
        <v>997</v>
      </c>
      <c r="O88" s="3">
        <v>0.0</v>
      </c>
    </row>
    <row r="89" ht="15.75" customHeight="1">
      <c r="A89" s="3" t="s">
        <v>855</v>
      </c>
      <c r="B89" s="3" t="s">
        <v>998</v>
      </c>
      <c r="C89" s="3" t="s">
        <v>999</v>
      </c>
      <c r="D89" s="3" t="s">
        <v>1000</v>
      </c>
      <c r="E89" s="3" t="str">
        <f>IFERROR(__xludf.DUMMYFUNCTION("GOOGLETRANSLATE($D89,""EN"",""RU"")")," Большой палец вниз")</f>
        <v> Большой палец вниз</v>
      </c>
      <c r="F89" s="3" t="s">
        <v>178</v>
      </c>
      <c r="G89" s="3" t="s">
        <v>466</v>
      </c>
      <c r="H89" s="3" t="s">
        <v>324</v>
      </c>
      <c r="I89" s="3" t="s">
        <v>781</v>
      </c>
      <c r="J89" s="3" t="s">
        <v>526</v>
      </c>
      <c r="K89" s="3" t="s">
        <v>1001</v>
      </c>
      <c r="L89" s="3" t="s">
        <v>1002</v>
      </c>
      <c r="M89" s="3" t="s">
        <v>1003</v>
      </c>
      <c r="N89" s="3" t="s">
        <v>1004</v>
      </c>
      <c r="O89" s="3">
        <v>0.0</v>
      </c>
    </row>
    <row r="90" ht="15.75" customHeight="1">
      <c r="A90" s="3" t="s">
        <v>1005</v>
      </c>
      <c r="B90" s="3" t="s">
        <v>1006</v>
      </c>
      <c r="C90" s="3" t="s">
        <v>1007</v>
      </c>
      <c r="D90" s="3" t="s">
        <v>1008</v>
      </c>
      <c r="E90" s="3" t="str">
        <f>IFERROR(__xludf.DUMMYFUNCTION("GOOGLETRANSLATE($D90,""EN"",""RU"")")," Ухмыляющееся лицо с улыбающимися глазами")</f>
        <v> Ухмыляющееся лицо с улыбающимися глазами</v>
      </c>
      <c r="F90" s="3" t="s">
        <v>19</v>
      </c>
      <c r="G90" s="3" t="s">
        <v>640</v>
      </c>
      <c r="H90" s="3" t="s">
        <v>860</v>
      </c>
      <c r="I90" s="3" t="s">
        <v>525</v>
      </c>
      <c r="J90" s="3" t="s">
        <v>1009</v>
      </c>
      <c r="K90" s="3" t="s">
        <v>1010</v>
      </c>
      <c r="L90" s="3" t="s">
        <v>1011</v>
      </c>
      <c r="M90" s="3" t="s">
        <v>1012</v>
      </c>
      <c r="N90" s="3" t="s">
        <v>1013</v>
      </c>
      <c r="O90" s="3">
        <v>2.0</v>
      </c>
    </row>
    <row r="91" ht="15.75" customHeight="1">
      <c r="A91" s="3" t="s">
        <v>954</v>
      </c>
      <c r="B91" s="3" t="s">
        <v>1014</v>
      </c>
      <c r="C91" s="3" t="s">
        <v>1015</v>
      </c>
      <c r="D91" s="3" t="s">
        <v>1016</v>
      </c>
      <c r="E91" s="3" t="str">
        <f>IFERROR(__xludf.DUMMYFUNCTION("GOOGLETRANSLATE($D91,""EN"",""RU"")")," Указательный знак слева, указывающий влево")</f>
        <v> Указательный знак слева, указывающий влево</v>
      </c>
      <c r="F91" s="3" t="s">
        <v>178</v>
      </c>
      <c r="G91" s="3" t="s">
        <v>1017</v>
      </c>
      <c r="H91" s="3" t="s">
        <v>1018</v>
      </c>
      <c r="I91" s="3" t="s">
        <v>1019</v>
      </c>
      <c r="J91" s="3" t="s">
        <v>1020</v>
      </c>
      <c r="K91" s="3" t="s">
        <v>1021</v>
      </c>
      <c r="L91" s="3" t="s">
        <v>1022</v>
      </c>
      <c r="M91" s="3" t="s">
        <v>1023</v>
      </c>
      <c r="N91" s="3" t="s">
        <v>1024</v>
      </c>
      <c r="O91" s="3">
        <v>0.0</v>
      </c>
    </row>
    <row r="92" ht="15.75" customHeight="1">
      <c r="A92" s="3" t="s">
        <v>1025</v>
      </c>
      <c r="B92" s="3" t="s">
        <v>1026</v>
      </c>
      <c r="C92" s="3" t="s">
        <v>1027</v>
      </c>
      <c r="D92" s="3" t="s">
        <v>1028</v>
      </c>
      <c r="E92" s="3" t="str">
        <f>IFERROR(__xludf.DUMMYFUNCTION("GOOGLETRANSLATE($D92,""EN"",""RU"")")," Канцелярская кнопка")</f>
        <v> Канцелярская кнопка</v>
      </c>
      <c r="F92" s="3" t="s">
        <v>358</v>
      </c>
      <c r="G92" s="3" t="s">
        <v>1029</v>
      </c>
      <c r="H92" s="3" t="s">
        <v>492</v>
      </c>
      <c r="I92" s="3" t="s">
        <v>1030</v>
      </c>
      <c r="J92" s="3" t="s">
        <v>733</v>
      </c>
      <c r="K92" s="3" t="s">
        <v>1031</v>
      </c>
      <c r="L92" s="3" t="s">
        <v>1032</v>
      </c>
      <c r="M92" s="3" t="s">
        <v>1033</v>
      </c>
      <c r="N92" s="3" t="s">
        <v>1034</v>
      </c>
      <c r="O92" s="3">
        <v>0.0</v>
      </c>
    </row>
    <row r="93" ht="15.75" customHeight="1">
      <c r="A93" s="3" t="s">
        <v>717</v>
      </c>
      <c r="B93" s="3" t="s">
        <v>1035</v>
      </c>
      <c r="C93" s="3" t="s">
        <v>1036</v>
      </c>
      <c r="D93" s="3" t="s">
        <v>1037</v>
      </c>
      <c r="E93" s="3" t="str">
        <f>IFERROR(__xludf.DUMMYFUNCTION("GOOGLETRANSLATE($D93,""EN"",""RU"")")," Лицо кричит от страха")</f>
        <v> Лицо кричит от страха</v>
      </c>
      <c r="F93" s="3" t="s">
        <v>19</v>
      </c>
      <c r="G93" s="3" t="s">
        <v>1038</v>
      </c>
      <c r="H93" s="3" t="s">
        <v>253</v>
      </c>
      <c r="I93" s="3" t="s">
        <v>1039</v>
      </c>
      <c r="J93" s="3" t="s">
        <v>588</v>
      </c>
      <c r="K93" s="3" t="s">
        <v>1040</v>
      </c>
      <c r="L93" s="3" t="s">
        <v>1041</v>
      </c>
      <c r="M93" s="3" t="s">
        <v>1042</v>
      </c>
      <c r="N93" s="3" t="s">
        <v>1043</v>
      </c>
      <c r="O93" s="3">
        <v>0.0</v>
      </c>
    </row>
    <row r="94" ht="15.75" customHeight="1">
      <c r="A94" s="3" t="s">
        <v>492</v>
      </c>
      <c r="B94" s="3" t="s">
        <v>1044</v>
      </c>
      <c r="C94" s="3" t="s">
        <v>1045</v>
      </c>
      <c r="D94" s="3" t="s">
        <v>1046</v>
      </c>
      <c r="E94" s="3" t="str">
        <f>IFERROR(__xludf.DUMMYFUNCTION("GOOGLETRANSLATE($D94,""EN"",""RU"")")," Обнимающее лицо")</f>
        <v> Обнимающее лицо</v>
      </c>
      <c r="F94" s="3" t="s">
        <v>178</v>
      </c>
      <c r="G94" s="3" t="s">
        <v>1047</v>
      </c>
      <c r="H94" s="3" t="s">
        <v>571</v>
      </c>
      <c r="I94" s="3" t="s">
        <v>461</v>
      </c>
      <c r="J94" s="3" t="s">
        <v>1048</v>
      </c>
      <c r="K94" s="3" t="s">
        <v>1049</v>
      </c>
      <c r="L94" s="3" t="s">
        <v>1050</v>
      </c>
      <c r="M94" s="3" t="s">
        <v>1051</v>
      </c>
      <c r="N94" s="3" t="s">
        <v>1052</v>
      </c>
      <c r="O94" s="3">
        <v>2.0</v>
      </c>
    </row>
    <row r="95" ht="15.75" customHeight="1">
      <c r="A95" s="3" t="s">
        <v>1053</v>
      </c>
      <c r="B95" s="3" t="s">
        <v>1054</v>
      </c>
      <c r="C95" s="3" t="s">
        <v>1055</v>
      </c>
      <c r="D95" s="3" t="s">
        <v>1056</v>
      </c>
      <c r="E95" s="3" t="str">
        <f>IFERROR(__xludf.DUMMYFUNCTION("GOOGLETRANSLATE($D95,""EN"",""RU"")")," Корона")</f>
        <v> Корона</v>
      </c>
      <c r="F95" s="3" t="s">
        <v>358</v>
      </c>
      <c r="G95" s="3" t="s">
        <v>1057</v>
      </c>
      <c r="H95" s="3" t="s">
        <v>426</v>
      </c>
      <c r="I95" s="3" t="s">
        <v>526</v>
      </c>
      <c r="J95" s="3" t="s">
        <v>1058</v>
      </c>
      <c r="K95" s="3" t="s">
        <v>1059</v>
      </c>
      <c r="L95" s="3" t="s">
        <v>1060</v>
      </c>
      <c r="M95" s="3" t="s">
        <v>1061</v>
      </c>
      <c r="N95" s="3" t="s">
        <v>1062</v>
      </c>
      <c r="O95" s="3">
        <v>2.0</v>
      </c>
    </row>
    <row r="96" ht="15.75" customHeight="1">
      <c r="A96" s="3" t="s">
        <v>454</v>
      </c>
      <c r="B96" s="3" t="s">
        <v>1063</v>
      </c>
      <c r="C96" s="3" t="s">
        <v>1064</v>
      </c>
      <c r="D96" s="3" t="s">
        <v>1065</v>
      </c>
      <c r="E96" s="3" t="str">
        <f>IFERROR(__xludf.DUMMYFUNCTION("GOOGLETRANSLATE($D96,""EN"",""RU"")")," Лицо на молнии")</f>
        <v> Лицо на молнии</v>
      </c>
      <c r="F96" s="3" t="s">
        <v>19</v>
      </c>
      <c r="G96" s="3" t="s">
        <v>1066</v>
      </c>
      <c r="H96" s="3" t="s">
        <v>230</v>
      </c>
      <c r="I96" s="3" t="s">
        <v>1020</v>
      </c>
      <c r="J96" s="3" t="s">
        <v>307</v>
      </c>
      <c r="K96" s="3" t="s">
        <v>1067</v>
      </c>
      <c r="L96" s="3" t="s">
        <v>1068</v>
      </c>
      <c r="M96" s="3" t="s">
        <v>1069</v>
      </c>
      <c r="N96" s="3" t="s">
        <v>1070</v>
      </c>
      <c r="O96" s="3">
        <v>0.0</v>
      </c>
    </row>
    <row r="97" ht="15.75" customHeight="1">
      <c r="A97" s="3" t="s">
        <v>1071</v>
      </c>
      <c r="B97" s="3" t="s">
        <v>1072</v>
      </c>
      <c r="C97" s="3" t="s">
        <v>1073</v>
      </c>
      <c r="D97" s="3" t="s">
        <v>1074</v>
      </c>
      <c r="E97" s="3" t="str">
        <f>IFERROR(__xludf.DUMMYFUNCTION("GOOGLETRANSLATE($D97,""EN"",""RU"")")," Кошачье лицо со слезами радости")</f>
        <v> Кошачье лицо со слезами радости</v>
      </c>
      <c r="F97" s="3" t="s">
        <v>19</v>
      </c>
      <c r="G97" s="3" t="s">
        <v>1075</v>
      </c>
      <c r="H97" s="3" t="s">
        <v>1076</v>
      </c>
      <c r="I97" s="3" t="s">
        <v>678</v>
      </c>
      <c r="J97" s="3" t="s">
        <v>984</v>
      </c>
      <c r="K97" s="3" t="s">
        <v>1077</v>
      </c>
      <c r="L97" s="3" t="s">
        <v>1078</v>
      </c>
      <c r="M97" s="3" t="s">
        <v>1079</v>
      </c>
      <c r="N97" s="3" t="s">
        <v>1080</v>
      </c>
      <c r="O97" s="3">
        <v>2.0</v>
      </c>
    </row>
    <row r="98" ht="15.75" customHeight="1">
      <c r="A98" s="3" t="s">
        <v>1081</v>
      </c>
      <c r="B98" s="3" t="s">
        <v>1082</v>
      </c>
      <c r="C98" s="3" t="s">
        <v>1083</v>
      </c>
      <c r="D98" s="3" t="s">
        <v>1084</v>
      </c>
      <c r="E98" s="3" t="str">
        <f>IFERROR(__xludf.DUMMYFUNCTION("GOOGLETRANSLATE($D98,""EN"",""RU"")")," Встречный кулак")</f>
        <v> Встречный кулак</v>
      </c>
      <c r="F98" s="3" t="s">
        <v>178</v>
      </c>
      <c r="G98" s="3" t="s">
        <v>1085</v>
      </c>
      <c r="H98" s="3" t="s">
        <v>966</v>
      </c>
      <c r="I98" s="3" t="s">
        <v>815</v>
      </c>
      <c r="J98" s="3" t="s">
        <v>1086</v>
      </c>
      <c r="K98" s="3" t="s">
        <v>1087</v>
      </c>
      <c r="L98" s="3" t="s">
        <v>1088</v>
      </c>
      <c r="M98" s="3" t="s">
        <v>1089</v>
      </c>
      <c r="N98" s="3" t="s">
        <v>1090</v>
      </c>
      <c r="O98" s="3">
        <v>0.0</v>
      </c>
    </row>
    <row r="99" ht="15.75" customHeight="1">
      <c r="A99" s="3" t="s">
        <v>1091</v>
      </c>
      <c r="B99" s="3" t="s">
        <v>1092</v>
      </c>
      <c r="C99" s="3" t="s">
        <v>1093</v>
      </c>
      <c r="D99" s="3" t="s">
        <v>1094</v>
      </c>
      <c r="E99" s="3" t="str">
        <f>IFERROR(__xludf.DUMMYFUNCTION("GOOGLETRANSLATE($D99,""EN"",""RU"")")," Злое лицо")</f>
        <v> Злое лицо</v>
      </c>
      <c r="F99" s="3" t="s">
        <v>19</v>
      </c>
      <c r="G99" s="3" t="s">
        <v>1095</v>
      </c>
      <c r="H99" s="3" t="s">
        <v>1096</v>
      </c>
      <c r="I99" s="3" t="s">
        <v>438</v>
      </c>
      <c r="J99" s="3" t="s">
        <v>138</v>
      </c>
      <c r="K99" s="3" t="s">
        <v>1097</v>
      </c>
      <c r="L99" s="3" t="s">
        <v>1098</v>
      </c>
      <c r="M99" s="3" t="s">
        <v>1099</v>
      </c>
      <c r="N99" s="3" t="s">
        <v>1100</v>
      </c>
      <c r="O99" s="3">
        <v>0.0</v>
      </c>
    </row>
    <row r="100" ht="15.75" customHeight="1">
      <c r="A100" s="3" t="s">
        <v>1039</v>
      </c>
      <c r="B100" s="3" t="s">
        <v>1101</v>
      </c>
      <c r="C100" s="3" t="s">
        <v>1102</v>
      </c>
      <c r="D100" s="3" t="s">
        <v>1103</v>
      </c>
      <c r="E100" s="3" t="str">
        <f>IFERROR(__xludf.DUMMYFUNCTION("GOOGLETRANSLATE($D100,""EN"",""RU"")")," Потухшее лицо в поту")</f>
        <v> Потухшее лицо в поту</v>
      </c>
      <c r="F100" s="3" t="s">
        <v>19</v>
      </c>
      <c r="G100" s="3" t="s">
        <v>1104</v>
      </c>
      <c r="H100" s="3" t="s">
        <v>1105</v>
      </c>
      <c r="I100" s="3" t="s">
        <v>473</v>
      </c>
      <c r="J100" s="3" t="s">
        <v>555</v>
      </c>
      <c r="K100" s="3" t="s">
        <v>1106</v>
      </c>
      <c r="L100" s="3" t="s">
        <v>1107</v>
      </c>
      <c r="M100" s="3" t="s">
        <v>1108</v>
      </c>
      <c r="N100" s="3" t="s">
        <v>1109</v>
      </c>
      <c r="O100" s="3">
        <v>0.0</v>
      </c>
    </row>
    <row r="101" ht="15.75" customHeight="1">
      <c r="A101" s="3" t="s">
        <v>1020</v>
      </c>
      <c r="B101" s="3" t="s">
        <v>1110</v>
      </c>
      <c r="C101" s="3" t="s">
        <v>1111</v>
      </c>
      <c r="D101" s="3" t="s">
        <v>1112</v>
      </c>
      <c r="E101" s="3" t="str">
        <f>IFERROR(__xludf.DUMMYFUNCTION("GOOGLETRANSLATE($D101,""EN"",""RU"")")," Лицо с медицинской маской")</f>
        <v> Лицо с медицинской маской</v>
      </c>
      <c r="F101" s="3" t="s">
        <v>19</v>
      </c>
      <c r="G101" s="3" t="s">
        <v>1113</v>
      </c>
      <c r="H101" s="3" t="s">
        <v>650</v>
      </c>
      <c r="I101" s="3" t="s">
        <v>815</v>
      </c>
      <c r="J101" s="3" t="s">
        <v>330</v>
      </c>
      <c r="K101" s="3" t="s">
        <v>1114</v>
      </c>
      <c r="L101" s="3" t="s">
        <v>1115</v>
      </c>
      <c r="M101" s="3" t="s">
        <v>1116</v>
      </c>
      <c r="N101" s="3" t="s">
        <v>1117</v>
      </c>
      <c r="O101" s="3">
        <v>0.0</v>
      </c>
    </row>
    <row r="102" ht="15.75" customHeight="1">
      <c r="A102" s="3" t="s">
        <v>866</v>
      </c>
      <c r="B102" s="3" t="s">
        <v>1118</v>
      </c>
      <c r="C102" s="3" t="s">
        <v>1119</v>
      </c>
      <c r="D102" s="3" t="s">
        <v>1120</v>
      </c>
      <c r="E102" s="3" t="str">
        <f>IFERROR(__xludf.DUMMYFUNCTION("GOOGLETRANSLATE($D102,""EN"",""RU"")")," Подсолнух")</f>
        <v> Подсолнух</v>
      </c>
      <c r="F102" s="3" t="s">
        <v>81</v>
      </c>
      <c r="G102" s="3" t="s">
        <v>537</v>
      </c>
      <c r="H102" s="3" t="s">
        <v>295</v>
      </c>
      <c r="I102" s="3" t="s">
        <v>1121</v>
      </c>
      <c r="J102" s="3" t="s">
        <v>1122</v>
      </c>
      <c r="K102" s="3" t="s">
        <v>1123</v>
      </c>
      <c r="L102" s="3" t="s">
        <v>1124</v>
      </c>
      <c r="M102" s="3" t="s">
        <v>1125</v>
      </c>
      <c r="N102" s="3" t="s">
        <v>1126</v>
      </c>
      <c r="O102" s="3">
        <v>2.0</v>
      </c>
    </row>
    <row r="103" ht="15.75" customHeight="1">
      <c r="A103" s="3" t="s">
        <v>1127</v>
      </c>
      <c r="B103" s="3" t="s">
        <v>1128</v>
      </c>
      <c r="C103" s="3" t="s">
        <v>1129</v>
      </c>
      <c r="D103" s="3" t="s">
        <v>1130</v>
      </c>
      <c r="E103" s="3" t="str">
        <f>IFERROR(__xludf.DUMMYFUNCTION("GOOGLETRANSLATE($D103,""EN"",""RU"")")," Испытывающий головокружение")</f>
        <v> Испытывающий головокружение</v>
      </c>
      <c r="F103" s="3" t="s">
        <v>81</v>
      </c>
      <c r="G103" s="3" t="s">
        <v>1131</v>
      </c>
      <c r="H103" s="3" t="s">
        <v>1071</v>
      </c>
      <c r="I103" s="3" t="s">
        <v>1132</v>
      </c>
      <c r="J103" s="3" t="s">
        <v>1133</v>
      </c>
      <c r="K103" s="3" t="s">
        <v>1134</v>
      </c>
      <c r="L103" s="3" t="s">
        <v>1135</v>
      </c>
      <c r="M103" s="3" t="s">
        <v>1136</v>
      </c>
      <c r="N103" s="3" t="s">
        <v>1137</v>
      </c>
      <c r="O103" s="3">
        <v>2.0</v>
      </c>
    </row>
    <row r="104" ht="15.75" customHeight="1">
      <c r="A104" s="3" t="s">
        <v>571</v>
      </c>
      <c r="B104" s="3" t="s">
        <v>1138</v>
      </c>
      <c r="C104" s="3" t="s">
        <v>1139</v>
      </c>
      <c r="D104" s="3" t="s">
        <v>1140</v>
      </c>
      <c r="E104" s="3" t="str">
        <f>IFERROR(__xludf.DUMMYFUNCTION("GOOGLETRANSLATE($D104,""EN"",""RU"")")," Тяжелая галочка")</f>
        <v> Тяжелая галочка</v>
      </c>
      <c r="F104" s="3" t="s">
        <v>637</v>
      </c>
      <c r="G104" s="3" t="s">
        <v>1141</v>
      </c>
      <c r="H104" s="3" t="s">
        <v>728</v>
      </c>
      <c r="I104" s="3" t="s">
        <v>549</v>
      </c>
      <c r="J104" s="3" t="s">
        <v>1142</v>
      </c>
      <c r="K104" s="3" t="s">
        <v>1143</v>
      </c>
      <c r="L104" s="3" t="s">
        <v>1144</v>
      </c>
      <c r="M104" s="3" t="s">
        <v>1145</v>
      </c>
      <c r="N104" s="3" t="s">
        <v>1146</v>
      </c>
      <c r="O104" s="3">
        <v>2.0</v>
      </c>
    </row>
    <row r="105" ht="15.75" customHeight="1">
      <c r="A105" s="3" t="s">
        <v>1147</v>
      </c>
      <c r="B105" s="3" t="s">
        <v>1148</v>
      </c>
      <c r="C105" s="3" t="s">
        <v>1149</v>
      </c>
      <c r="D105" s="3" t="s">
        <v>1150</v>
      </c>
      <c r="E105" s="3" t="str">
        <f>IFERROR(__xludf.DUMMYFUNCTION("GOOGLETRANSLATE($D105,""EN"",""RU"")")," Ухмыляющееся лицо с большими глазами")</f>
        <v> Ухмыляющееся лицо с большими глазами</v>
      </c>
      <c r="F105" s="3" t="s">
        <v>19</v>
      </c>
      <c r="G105" s="3" t="s">
        <v>865</v>
      </c>
      <c r="H105" s="3" t="s">
        <v>612</v>
      </c>
      <c r="I105" s="3" t="s">
        <v>414</v>
      </c>
      <c r="J105" s="3" t="s">
        <v>1151</v>
      </c>
      <c r="K105" s="3" t="s">
        <v>1152</v>
      </c>
      <c r="L105" s="3" t="s">
        <v>1153</v>
      </c>
      <c r="M105" s="3" t="s">
        <v>1154</v>
      </c>
      <c r="N105" s="3" t="s">
        <v>1155</v>
      </c>
      <c r="O105" s="3">
        <v>2.0</v>
      </c>
    </row>
    <row r="106" ht="15.75" customHeight="1">
      <c r="A106" s="3" t="s">
        <v>1121</v>
      </c>
      <c r="B106" s="3" t="s">
        <v>1156</v>
      </c>
      <c r="C106" s="3" t="s">
        <v>1157</v>
      </c>
      <c r="D106" s="3" t="s">
        <v>1158</v>
      </c>
      <c r="E106" s="3" t="str">
        <f>IFERROR(__xludf.DUMMYFUNCTION("GOOGLETRANSLATE($D106,""EN"",""RU"")")," Столкновение")</f>
        <v> Столкновение</v>
      </c>
      <c r="F106" s="3" t="s">
        <v>637</v>
      </c>
      <c r="G106" s="3" t="s">
        <v>1159</v>
      </c>
      <c r="H106" s="3" t="s">
        <v>672</v>
      </c>
      <c r="I106" s="3" t="s">
        <v>867</v>
      </c>
      <c r="J106" s="3" t="s">
        <v>728</v>
      </c>
      <c r="K106" s="3" t="s">
        <v>1160</v>
      </c>
      <c r="L106" s="3" t="s">
        <v>1161</v>
      </c>
      <c r="M106" s="3" t="s">
        <v>1162</v>
      </c>
      <c r="N106" s="3" t="s">
        <v>1163</v>
      </c>
      <c r="O106" s="3">
        <v>0.0</v>
      </c>
    </row>
    <row r="107" ht="15.75" customHeight="1">
      <c r="A107" s="3" t="s">
        <v>662</v>
      </c>
      <c r="B107" s="3" t="s">
        <v>1164</v>
      </c>
      <c r="C107" s="3" t="s">
        <v>1165</v>
      </c>
      <c r="D107" s="3" t="s">
        <v>1166</v>
      </c>
      <c r="E107" s="3" t="str">
        <f>IFERROR(__xludf.DUMMYFUNCTION("GOOGLETRANSLATE($D107,""EN"",""RU"")")," Тревожное лицо с потом")</f>
        <v> Тревожное лицо с потом</v>
      </c>
      <c r="F107" s="3" t="s">
        <v>19</v>
      </c>
      <c r="G107" s="3" t="s">
        <v>1167</v>
      </c>
      <c r="H107" s="3" t="s">
        <v>794</v>
      </c>
      <c r="I107" s="3" t="s">
        <v>514</v>
      </c>
      <c r="J107" s="3" t="s">
        <v>438</v>
      </c>
      <c r="K107" s="3" t="s">
        <v>1168</v>
      </c>
      <c r="L107" s="3" t="s">
        <v>1169</v>
      </c>
      <c r="M107" s="3" t="s">
        <v>1170</v>
      </c>
      <c r="N107" s="3" t="s">
        <v>1171</v>
      </c>
      <c r="O107" s="3">
        <v>0.0</v>
      </c>
    </row>
    <row r="108" ht="15.75" customHeight="1">
      <c r="A108" s="3" t="s">
        <v>1172</v>
      </c>
      <c r="B108" s="3" t="s">
        <v>1173</v>
      </c>
      <c r="C108" s="3" t="s">
        <v>1174</v>
      </c>
      <c r="D108" s="3" t="s">
        <v>1175</v>
      </c>
      <c r="E108" s="3" t="str">
        <f>IFERROR(__xludf.DUMMYFUNCTION("GOOGLETRANSLATE($D108,""EN"",""RU"")")," Лицо без рта")</f>
        <v> Лицо без рта</v>
      </c>
      <c r="F108" s="3" t="s">
        <v>19</v>
      </c>
      <c r="G108" s="3" t="s">
        <v>1176</v>
      </c>
      <c r="H108" s="3" t="s">
        <v>1177</v>
      </c>
      <c r="I108" s="3" t="s">
        <v>809</v>
      </c>
      <c r="J108" s="3" t="s">
        <v>787</v>
      </c>
      <c r="K108" s="3" t="s">
        <v>1178</v>
      </c>
      <c r="L108" s="3" t="s">
        <v>1179</v>
      </c>
      <c r="M108" s="3" t="s">
        <v>1180</v>
      </c>
      <c r="N108" s="3" t="s">
        <v>1181</v>
      </c>
      <c r="O108" s="3">
        <v>0.0</v>
      </c>
    </row>
    <row r="109" ht="15.75" customHeight="1">
      <c r="A109" s="3" t="s">
        <v>1182</v>
      </c>
      <c r="B109" s="3" t="s">
        <v>1183</v>
      </c>
      <c r="C109" s="3" t="s">
        <v>1184</v>
      </c>
      <c r="D109" s="3" t="s">
        <v>1185</v>
      </c>
      <c r="E109" s="3" t="str">
        <f>IFERROR(__xludf.DUMMYFUNCTION("GOOGLETRANSLATE($D109,""EN"",""RU"")")," Усталое лицо")</f>
        <v> Усталое лицо</v>
      </c>
      <c r="F109" s="3" t="s">
        <v>19</v>
      </c>
      <c r="G109" s="3" t="s">
        <v>1186</v>
      </c>
      <c r="H109" s="3" t="s">
        <v>217</v>
      </c>
      <c r="I109" s="3" t="s">
        <v>354</v>
      </c>
      <c r="J109" s="3" t="s">
        <v>739</v>
      </c>
      <c r="K109" s="3" t="s">
        <v>1187</v>
      </c>
      <c r="L109" s="3" t="s">
        <v>1188</v>
      </c>
      <c r="M109" s="3" t="s">
        <v>1189</v>
      </c>
      <c r="N109" s="3" t="s">
        <v>1190</v>
      </c>
      <c r="O109" s="3">
        <v>0.0</v>
      </c>
    </row>
    <row r="110" ht="15.75" customHeight="1">
      <c r="A110" s="3" t="s">
        <v>1191</v>
      </c>
      <c r="B110" s="3" t="s">
        <v>1192</v>
      </c>
      <c r="C110" s="3" t="s">
        <v>1193</v>
      </c>
      <c r="D110" s="3" t="s">
        <v>1194</v>
      </c>
      <c r="E110" s="3" t="str">
        <f>IFERROR(__xludf.DUMMYFUNCTION("GOOGLETRANSLATE($D110,""EN"",""RU"")")," Тошнота лица")</f>
        <v> Тошнота лица</v>
      </c>
      <c r="F110" s="3" t="s">
        <v>19</v>
      </c>
      <c r="G110" s="3" t="s">
        <v>907</v>
      </c>
      <c r="H110" s="3" t="s">
        <v>1195</v>
      </c>
      <c r="I110" s="3" t="s">
        <v>211</v>
      </c>
      <c r="J110" s="3" t="s">
        <v>319</v>
      </c>
      <c r="K110" s="3" t="s">
        <v>1196</v>
      </c>
      <c r="L110" s="3" t="s">
        <v>1197</v>
      </c>
      <c r="M110" s="3" t="s">
        <v>1198</v>
      </c>
      <c r="N110" s="3" t="s">
        <v>1199</v>
      </c>
      <c r="O110" s="3">
        <v>0.0</v>
      </c>
    </row>
    <row r="111" ht="15.75" customHeight="1">
      <c r="A111" s="3" t="s">
        <v>1200</v>
      </c>
      <c r="B111" s="3" t="s">
        <v>1201</v>
      </c>
      <c r="C111" s="3" t="s">
        <v>1202</v>
      </c>
      <c r="D111" s="3" t="s">
        <v>1203</v>
      </c>
      <c r="E111" s="3" t="str">
        <f>IFERROR(__xludf.DUMMYFUNCTION("GOOGLETRANSLATE($D111,""EN"",""RU"")")," Египет")</f>
        <v> Египет</v>
      </c>
      <c r="F111" s="3" t="s">
        <v>559</v>
      </c>
      <c r="G111" s="3" t="s">
        <v>1204</v>
      </c>
      <c r="H111" s="3" t="s">
        <v>211</v>
      </c>
      <c r="I111" s="3" t="s">
        <v>1121</v>
      </c>
      <c r="J111" s="3" t="s">
        <v>1205</v>
      </c>
      <c r="K111" s="3" t="s">
        <v>1206</v>
      </c>
      <c r="L111" s="3" t="s">
        <v>1207</v>
      </c>
      <c r="M111" s="3" t="s">
        <v>1208</v>
      </c>
      <c r="N111" s="3" t="s">
        <v>1209</v>
      </c>
      <c r="O111" s="3">
        <v>2.0</v>
      </c>
    </row>
    <row r="112" ht="15.75" customHeight="1">
      <c r="A112" s="3" t="s">
        <v>1142</v>
      </c>
      <c r="B112" s="3" t="s">
        <v>1210</v>
      </c>
      <c r="C112" s="3" t="s">
        <v>1211</v>
      </c>
      <c r="D112" s="3" t="s">
        <v>1212</v>
      </c>
      <c r="E112" s="3" t="str">
        <f>IFERROR(__xludf.DUMMYFUNCTION("GOOGLETRANSLATE($D112,""EN"",""RU"")")," Трофей")</f>
        <v> Трофей</v>
      </c>
      <c r="F112" s="3" t="s">
        <v>358</v>
      </c>
      <c r="G112" s="3" t="s">
        <v>1213</v>
      </c>
      <c r="H112" s="3" t="s">
        <v>138</v>
      </c>
      <c r="I112" s="3" t="s">
        <v>301</v>
      </c>
      <c r="J112" s="3" t="s">
        <v>561</v>
      </c>
      <c r="K112" s="3" t="s">
        <v>1214</v>
      </c>
      <c r="L112" s="3" t="s">
        <v>1215</v>
      </c>
      <c r="M112" s="3" t="s">
        <v>1216</v>
      </c>
      <c r="N112" s="3" t="s">
        <v>1217</v>
      </c>
      <c r="O112" s="3">
        <v>2.0</v>
      </c>
    </row>
    <row r="113" ht="15.75" customHeight="1">
      <c r="A113" s="3" t="s">
        <v>1132</v>
      </c>
      <c r="B113" s="3" t="s">
        <v>1218</v>
      </c>
      <c r="C113" s="3" t="s">
        <v>1219</v>
      </c>
      <c r="D113" s="3" t="s">
        <v>1220</v>
      </c>
      <c r="E113" s="3" t="str">
        <f>IFERROR(__xludf.DUMMYFUNCTION("GOOGLETRANSLATE($D113,""EN"",""RU"")")," Перевернутое лицо")</f>
        <v> Перевернутое лицо</v>
      </c>
      <c r="F113" s="3" t="s">
        <v>19</v>
      </c>
      <c r="G113" s="3" t="s">
        <v>1221</v>
      </c>
      <c r="H113" s="3" t="s">
        <v>1222</v>
      </c>
      <c r="I113" s="3" t="s">
        <v>187</v>
      </c>
      <c r="J113" s="3" t="s">
        <v>126</v>
      </c>
      <c r="K113" s="3" t="s">
        <v>1223</v>
      </c>
      <c r="L113" s="3" t="s">
        <v>1224</v>
      </c>
      <c r="M113" s="3" t="s">
        <v>1225</v>
      </c>
      <c r="N113" s="3" t="s">
        <v>1226</v>
      </c>
      <c r="O113" s="3">
        <v>0.0</v>
      </c>
    </row>
    <row r="114" ht="15.75" customHeight="1">
      <c r="A114" s="3" t="s">
        <v>1227</v>
      </c>
      <c r="B114" s="3" t="s">
        <v>1228</v>
      </c>
      <c r="C114" s="3" t="s">
        <v>1229</v>
      </c>
      <c r="D114" s="3" t="s">
        <v>1230</v>
      </c>
      <c r="E114" s="3" t="str">
        <f>IFERROR(__xludf.DUMMYFUNCTION("GOOGLETRANSLATE($D114,""EN"",""RU"")")," Не говори зла, обезьяна")</f>
        <v> Не говори зла, обезьяна</v>
      </c>
      <c r="F114" s="3" t="s">
        <v>178</v>
      </c>
      <c r="G114" s="3" t="s">
        <v>536</v>
      </c>
      <c r="H114" s="3" t="s">
        <v>1231</v>
      </c>
      <c r="I114" s="3" t="s">
        <v>883</v>
      </c>
      <c r="J114" s="3" t="s">
        <v>623</v>
      </c>
      <c r="K114" s="3" t="s">
        <v>1232</v>
      </c>
      <c r="L114" s="3" t="s">
        <v>1233</v>
      </c>
      <c r="M114" s="3" t="s">
        <v>1234</v>
      </c>
      <c r="N114" s="3" t="s">
        <v>1235</v>
      </c>
      <c r="O114" s="3">
        <v>0.0</v>
      </c>
    </row>
    <row r="115" ht="15.75" customHeight="1">
      <c r="A115" s="3" t="s">
        <v>739</v>
      </c>
      <c r="B115" s="3" t="s">
        <v>1236</v>
      </c>
      <c r="C115" s="3" t="s">
        <v>1237</v>
      </c>
      <c r="D115" s="3" t="s">
        <v>1238</v>
      </c>
      <c r="E115" s="3" t="str">
        <f>IFERROR(__xludf.DUMMYFUNCTION("GOOGLETRANSLATE($D115,""EN"",""RU"")")," Опавший лист")</f>
        <v> Опавший лист</v>
      </c>
      <c r="F115" s="3" t="s">
        <v>81</v>
      </c>
      <c r="G115" s="3" t="s">
        <v>1239</v>
      </c>
      <c r="H115" s="3" t="s">
        <v>777</v>
      </c>
      <c r="I115" s="3" t="s">
        <v>1142</v>
      </c>
      <c r="J115" s="3" t="s">
        <v>1240</v>
      </c>
      <c r="K115" s="3" t="s">
        <v>1241</v>
      </c>
      <c r="L115" s="3" t="s">
        <v>1242</v>
      </c>
      <c r="M115" s="3" t="s">
        <v>1243</v>
      </c>
      <c r="N115" s="3" t="s">
        <v>1244</v>
      </c>
      <c r="O115" s="3">
        <v>2.0</v>
      </c>
    </row>
    <row r="116" ht="15.75" customHeight="1">
      <c r="A116" s="3" t="s">
        <v>1245</v>
      </c>
      <c r="B116" s="3" t="s">
        <v>1246</v>
      </c>
      <c r="C116" s="3" t="s">
        <v>1247</v>
      </c>
      <c r="D116" s="3" t="s">
        <v>1248</v>
      </c>
      <c r="E116" s="3" t="str">
        <f>IFERROR(__xludf.DUMMYFUNCTION("GOOGLETRANSLATE($D116,""EN"",""RU"")")," Музыкальные очки")</f>
        <v> Музыкальные очки</v>
      </c>
      <c r="F116" s="3" t="s">
        <v>637</v>
      </c>
      <c r="G116" s="3" t="s">
        <v>1195</v>
      </c>
      <c r="H116" s="3" t="s">
        <v>623</v>
      </c>
      <c r="I116" s="3" t="s">
        <v>485</v>
      </c>
      <c r="J116" s="3" t="s">
        <v>1249</v>
      </c>
      <c r="K116" s="3" t="s">
        <v>1250</v>
      </c>
      <c r="L116" s="3" t="s">
        <v>1251</v>
      </c>
      <c r="M116" s="3" t="s">
        <v>1252</v>
      </c>
      <c r="N116" s="3" t="s">
        <v>1253</v>
      </c>
      <c r="O116" s="3">
        <v>2.0</v>
      </c>
    </row>
    <row r="117" ht="15.75" customHeight="1">
      <c r="A117" s="3" t="s">
        <v>561</v>
      </c>
      <c r="B117" s="3" t="s">
        <v>1254</v>
      </c>
      <c r="C117" s="3" t="s">
        <v>1255</v>
      </c>
      <c r="D117" s="3" t="s">
        <v>1256</v>
      </c>
      <c r="E117" s="3" t="str">
        <f>IFERROR(__xludf.DUMMYFUNCTION("GOOGLETRANSLATE($D117,""EN"",""RU"")")," Целующееся лицо")</f>
        <v> Целующееся лицо</v>
      </c>
      <c r="F117" s="3" t="s">
        <v>19</v>
      </c>
      <c r="G117" s="3" t="s">
        <v>1257</v>
      </c>
      <c r="H117" s="3" t="s">
        <v>1258</v>
      </c>
      <c r="I117" s="3" t="s">
        <v>733</v>
      </c>
      <c r="J117" s="3" t="s">
        <v>478</v>
      </c>
      <c r="K117" s="3" t="s">
        <v>1259</v>
      </c>
      <c r="L117" s="3" t="s">
        <v>1260</v>
      </c>
      <c r="M117" s="3" t="s">
        <v>1261</v>
      </c>
      <c r="N117" s="3" t="s">
        <v>1262</v>
      </c>
      <c r="O117" s="3">
        <v>1.0</v>
      </c>
    </row>
    <row r="118" ht="15.75" customHeight="1">
      <c r="A118" s="3" t="s">
        <v>1263</v>
      </c>
      <c r="B118" s="3" t="s">
        <v>1264</v>
      </c>
      <c r="C118" s="3" t="s">
        <v>1265</v>
      </c>
      <c r="D118" s="3" t="s">
        <v>1266</v>
      </c>
      <c r="E118" s="3" t="str">
        <f>IFERROR(__xludf.DUMMYFUNCTION("GOOGLETRANSLATE($D118,""EN"",""RU"")")," Ухмыляющееся щурящееся лицо")</f>
        <v> Ухмыляющееся щурящееся лицо</v>
      </c>
      <c r="F118" s="3" t="s">
        <v>19</v>
      </c>
      <c r="G118" s="3" t="s">
        <v>1267</v>
      </c>
      <c r="H118" s="3" t="s">
        <v>1268</v>
      </c>
      <c r="I118" s="3" t="s">
        <v>700</v>
      </c>
      <c r="J118" s="3" t="s">
        <v>815</v>
      </c>
      <c r="K118" s="3" t="s">
        <v>1269</v>
      </c>
      <c r="L118" s="3" t="s">
        <v>1270</v>
      </c>
      <c r="M118" s="3" t="s">
        <v>1271</v>
      </c>
      <c r="N118" s="3" t="s">
        <v>1272</v>
      </c>
      <c r="O118" s="3">
        <v>0.0</v>
      </c>
    </row>
    <row r="119" ht="15.75" customHeight="1">
      <c r="A119" s="3" t="s">
        <v>1273</v>
      </c>
      <c r="B119" s="3" t="s">
        <v>1274</v>
      </c>
      <c r="C119" s="3" t="s">
        <v>1275</v>
      </c>
      <c r="D119" s="3" t="s">
        <v>1276</v>
      </c>
      <c r="E119" s="3" t="str">
        <f>IFERROR(__xludf.DUMMYFUNCTION("GOOGLETRANSLATE($D119,""EN"",""RU"")")," Марокко")</f>
        <v> Марокко</v>
      </c>
      <c r="F119" s="3" t="s">
        <v>559</v>
      </c>
      <c r="G119" s="3" t="s">
        <v>1277</v>
      </c>
      <c r="H119" s="3" t="s">
        <v>41</v>
      </c>
      <c r="I119" s="3" t="s">
        <v>514</v>
      </c>
      <c r="J119" s="3" t="s">
        <v>432</v>
      </c>
      <c r="K119" s="3" t="s">
        <v>1278</v>
      </c>
      <c r="L119" s="3" t="s">
        <v>1279</v>
      </c>
      <c r="M119" s="3" t="s">
        <v>1280</v>
      </c>
      <c r="N119" s="3" t="s">
        <v>1281</v>
      </c>
      <c r="O119" s="3">
        <v>2.0</v>
      </c>
    </row>
    <row r="120" ht="15.75" customHeight="1">
      <c r="A120" s="3" t="s">
        <v>1282</v>
      </c>
      <c r="B120" s="3" t="s">
        <v>1283</v>
      </c>
      <c r="C120" s="3" t="s">
        <v>1284</v>
      </c>
      <c r="D120" s="3" t="s">
        <v>1285</v>
      </c>
      <c r="E120" s="3" t="str">
        <f>IFERROR(__xludf.DUMMYFUNCTION("GOOGLETRANSLATE($D120,""EN"",""RU"")")," Крест Марк")</f>
        <v> Крест Марк</v>
      </c>
      <c r="F120" s="3" t="s">
        <v>637</v>
      </c>
      <c r="G120" s="3" t="s">
        <v>1286</v>
      </c>
      <c r="H120" s="3" t="s">
        <v>781</v>
      </c>
      <c r="I120" s="3" t="s">
        <v>1287</v>
      </c>
      <c r="J120" s="3" t="s">
        <v>402</v>
      </c>
      <c r="K120" s="3" t="s">
        <v>1288</v>
      </c>
      <c r="L120" s="3" t="s">
        <v>1289</v>
      </c>
      <c r="M120" s="3" t="s">
        <v>1290</v>
      </c>
      <c r="N120" s="3" t="s">
        <v>1291</v>
      </c>
      <c r="O120" s="3">
        <v>0.0</v>
      </c>
    </row>
    <row r="121" ht="15.75" customHeight="1">
      <c r="A121" s="3" t="s">
        <v>751</v>
      </c>
      <c r="B121" s="3" t="s">
        <v>1292</v>
      </c>
      <c r="C121" s="3" t="s">
        <v>1293</v>
      </c>
      <c r="D121" s="3" t="s">
        <v>1294</v>
      </c>
      <c r="E121" s="3" t="str">
        <f>IFERROR(__xludf.DUMMYFUNCTION("GOOGLETRANSLATE($D121,""EN"",""RU"")")," Поднятие рук")</f>
        <v> Поднятие рук</v>
      </c>
      <c r="F121" s="3" t="s">
        <v>178</v>
      </c>
      <c r="G121" s="3" t="s">
        <v>1295</v>
      </c>
      <c r="H121" s="3" t="s">
        <v>633</v>
      </c>
      <c r="I121" s="3" t="s">
        <v>367</v>
      </c>
      <c r="J121" s="3" t="s">
        <v>432</v>
      </c>
      <c r="K121" s="3" t="s">
        <v>1296</v>
      </c>
      <c r="L121" s="3" t="s">
        <v>1297</v>
      </c>
      <c r="M121" s="3" t="s">
        <v>1298</v>
      </c>
      <c r="N121" s="3" t="s">
        <v>1299</v>
      </c>
      <c r="O121" s="3">
        <v>2.0</v>
      </c>
    </row>
    <row r="122" ht="15.75" customHeight="1">
      <c r="A122" s="3" t="s">
        <v>1300</v>
      </c>
      <c r="B122" s="3" t="s">
        <v>1301</v>
      </c>
      <c r="C122" s="3" t="s">
        <v>1302</v>
      </c>
      <c r="D122" s="3" t="s">
        <v>1303</v>
      </c>
      <c r="E122" s="3" t="str">
        <f>IFERROR(__xludf.DUMMYFUNCTION("GOOGLETRANSLATE($D122,""EN"",""RU"")")," Круглая канцелярская кнопка")</f>
        <v> Круглая канцелярская кнопка</v>
      </c>
      <c r="F122" s="3" t="s">
        <v>358</v>
      </c>
      <c r="G122" s="3" t="s">
        <v>1304</v>
      </c>
      <c r="H122" s="3" t="s">
        <v>606</v>
      </c>
      <c r="I122" s="3" t="s">
        <v>1305</v>
      </c>
      <c r="J122" s="3" t="s">
        <v>633</v>
      </c>
      <c r="K122" s="3" t="s">
        <v>1306</v>
      </c>
      <c r="L122" s="3" t="s">
        <v>1307</v>
      </c>
      <c r="M122" s="3" t="s">
        <v>1308</v>
      </c>
      <c r="N122" s="3" t="s">
        <v>1309</v>
      </c>
      <c r="O122" s="3">
        <v>1.0</v>
      </c>
    </row>
    <row r="123" ht="15.75" customHeight="1">
      <c r="A123" s="3" t="s">
        <v>1258</v>
      </c>
      <c r="B123" s="3" t="s">
        <v>1310</v>
      </c>
      <c r="C123" s="3" t="s">
        <v>1311</v>
      </c>
      <c r="D123" s="3" t="s">
        <v>1312</v>
      </c>
      <c r="E123" s="3" t="str">
        <f>IFERROR(__xludf.DUMMYFUNCTION("GOOGLETRANSLATE($D123,""EN"",""RU"")")," Улыбающееся лицо с ореолом")</f>
        <v> Улыбающееся лицо с ореолом</v>
      </c>
      <c r="F123" s="3" t="s">
        <v>19</v>
      </c>
      <c r="G123" s="3" t="s">
        <v>1304</v>
      </c>
      <c r="H123" s="3" t="s">
        <v>379</v>
      </c>
      <c r="I123" s="3" t="s">
        <v>342</v>
      </c>
      <c r="J123" s="3" t="s">
        <v>217</v>
      </c>
      <c r="K123" s="3" t="s">
        <v>1313</v>
      </c>
      <c r="L123" s="3" t="s">
        <v>1314</v>
      </c>
      <c r="M123" s="3" t="s">
        <v>1315</v>
      </c>
      <c r="N123" s="3" t="s">
        <v>1316</v>
      </c>
      <c r="O123" s="3">
        <v>2.0</v>
      </c>
    </row>
    <row r="124" ht="15.75" customHeight="1">
      <c r="A124" s="3" t="s">
        <v>581</v>
      </c>
      <c r="B124" s="3" t="s">
        <v>1317</v>
      </c>
      <c r="C124" s="3" t="s">
        <v>1318</v>
      </c>
      <c r="D124" s="3" t="s">
        <v>1319</v>
      </c>
      <c r="E124" s="3" t="str">
        <f>IFERROR(__xludf.DUMMYFUNCTION("GOOGLETRANSLATE($D124,""EN"",""RU"")")," Поцелуй Марка")</f>
        <v> Поцелуй Марка</v>
      </c>
      <c r="F124" s="3" t="s">
        <v>178</v>
      </c>
      <c r="G124" s="3" t="s">
        <v>1320</v>
      </c>
      <c r="H124" s="3" t="s">
        <v>728</v>
      </c>
      <c r="I124" s="3" t="s">
        <v>497</v>
      </c>
      <c r="J124" s="3" t="s">
        <v>1321</v>
      </c>
      <c r="K124" s="3" t="s">
        <v>1322</v>
      </c>
      <c r="L124" s="3" t="s">
        <v>1323</v>
      </c>
      <c r="M124" s="3" t="s">
        <v>1324</v>
      </c>
      <c r="N124" s="3" t="s">
        <v>1325</v>
      </c>
      <c r="O124" s="3">
        <v>2.0</v>
      </c>
    </row>
    <row r="125" ht="15.75" customHeight="1">
      <c r="A125" s="3" t="s">
        <v>1326</v>
      </c>
      <c r="B125" s="3" t="s">
        <v>1327</v>
      </c>
      <c r="C125" s="3" t="s">
        <v>1328</v>
      </c>
      <c r="D125" s="3" t="s">
        <v>1329</v>
      </c>
      <c r="E125" s="3" t="str">
        <f>IFERROR(__xludf.DUMMYFUNCTION("GOOGLETRANSLATE($D125,""EN"",""RU"")")," Вечеринка Поппер")</f>
        <v> Вечеринка Поппер</v>
      </c>
      <c r="F125" s="3" t="s">
        <v>358</v>
      </c>
      <c r="G125" s="3" t="s">
        <v>1330</v>
      </c>
      <c r="H125" s="3" t="s">
        <v>126</v>
      </c>
      <c r="I125" s="3" t="s">
        <v>678</v>
      </c>
      <c r="J125" s="3" t="s">
        <v>1231</v>
      </c>
      <c r="K125" s="3" t="s">
        <v>1331</v>
      </c>
      <c r="L125" s="3" t="s">
        <v>1332</v>
      </c>
      <c r="M125" s="3" t="s">
        <v>1333</v>
      </c>
      <c r="N125" s="3" t="s">
        <v>1334</v>
      </c>
      <c r="O125" s="3">
        <v>2.0</v>
      </c>
    </row>
    <row r="126" ht="15.75" customHeight="1">
      <c r="A126" s="3" t="s">
        <v>1335</v>
      </c>
      <c r="B126" s="3" t="s">
        <v>1336</v>
      </c>
      <c r="C126" s="3" t="s">
        <v>1337</v>
      </c>
      <c r="D126" s="3" t="s">
        <v>1338</v>
      </c>
      <c r="E126" s="3" t="str">
        <f>IFERROR(__xludf.DUMMYFUNCTION("GOOGLETRANSLATE($D126,""EN"",""RU"")")," кленовый лист")</f>
        <v> кленовый лист</v>
      </c>
      <c r="F126" s="3" t="s">
        <v>81</v>
      </c>
      <c r="G126" s="3" t="s">
        <v>1339</v>
      </c>
      <c r="H126" s="3" t="s">
        <v>402</v>
      </c>
      <c r="I126" s="3" t="s">
        <v>1081</v>
      </c>
      <c r="J126" s="3" t="s">
        <v>1340</v>
      </c>
      <c r="K126" s="3" t="s">
        <v>1341</v>
      </c>
      <c r="L126" s="3" t="s">
        <v>1342</v>
      </c>
      <c r="M126" s="3" t="s">
        <v>1343</v>
      </c>
      <c r="N126" s="3" t="s">
        <v>1344</v>
      </c>
      <c r="O126" s="3">
        <v>2.0</v>
      </c>
    </row>
    <row r="127" ht="15.75" customHeight="1">
      <c r="A127" s="3" t="s">
        <v>641</v>
      </c>
      <c r="B127" s="3" t="s">
        <v>1345</v>
      </c>
      <c r="C127" s="3" t="s">
        <v>1346</v>
      </c>
      <c r="D127" s="3" t="s">
        <v>1347</v>
      </c>
      <c r="E127" s="3" t="str">
        <f>IFERROR(__xludf.DUMMYFUNCTION("GOOGLETRANSLATE($D127,""EN"",""RU"")")," Целующееся лицо с улыбающимися глазами")</f>
        <v> Целующееся лицо с улыбающимися глазами</v>
      </c>
      <c r="F127" s="3" t="s">
        <v>19</v>
      </c>
      <c r="G127" s="3" t="s">
        <v>1339</v>
      </c>
      <c r="H127" s="3" t="s">
        <v>461</v>
      </c>
      <c r="I127" s="3" t="s">
        <v>426</v>
      </c>
      <c r="J127" s="3" t="s">
        <v>1348</v>
      </c>
      <c r="K127" s="3" t="s">
        <v>1349</v>
      </c>
      <c r="L127" s="3" t="s">
        <v>1350</v>
      </c>
      <c r="M127" s="3" t="s">
        <v>1351</v>
      </c>
      <c r="N127" s="3" t="s">
        <v>1352</v>
      </c>
      <c r="O127" s="3">
        <v>2.0</v>
      </c>
    </row>
    <row r="128" ht="15.75" customHeight="1">
      <c r="A128" s="3" t="s">
        <v>1353</v>
      </c>
      <c r="B128" s="3" t="s">
        <v>1354</v>
      </c>
      <c r="C128" s="3" t="s">
        <v>1355</v>
      </c>
      <c r="D128" s="3" t="s">
        <v>1356</v>
      </c>
      <c r="E128" s="3" t="str">
        <f>IFERROR(__xludf.DUMMYFUNCTION("GOOGLETRANSLATE($D128,""EN"",""RU"")")," Лента")</f>
        <v> Лента</v>
      </c>
      <c r="F128" s="3" t="s">
        <v>358</v>
      </c>
      <c r="G128" s="3" t="s">
        <v>360</v>
      </c>
      <c r="H128" s="3" t="s">
        <v>379</v>
      </c>
      <c r="I128" s="3" t="s">
        <v>799</v>
      </c>
      <c r="J128" s="3" t="s">
        <v>455</v>
      </c>
      <c r="K128" s="3" t="s">
        <v>1357</v>
      </c>
      <c r="L128" s="3" t="s">
        <v>1358</v>
      </c>
      <c r="M128" s="3" t="s">
        <v>1359</v>
      </c>
      <c r="N128" s="3" t="s">
        <v>1360</v>
      </c>
      <c r="O128" s="3">
        <v>2.0</v>
      </c>
    </row>
    <row r="129" ht="15.75" customHeight="1">
      <c r="A129" s="3" t="s">
        <v>651</v>
      </c>
      <c r="B129" s="3" t="s">
        <v>1361</v>
      </c>
      <c r="C129" s="3" t="s">
        <v>1362</v>
      </c>
      <c r="D129" s="3" t="s">
        <v>1363</v>
      </c>
      <c r="E129" s="3" t="str">
        <f>IFERROR(__xludf.DUMMYFUNCTION("GOOGLETRANSLATE($D129,""EN"",""RU"")")," Любовное письмо")</f>
        <v> Любовное письмо</v>
      </c>
      <c r="F129" s="3" t="s">
        <v>32</v>
      </c>
      <c r="G129" s="3" t="s">
        <v>794</v>
      </c>
      <c r="H129" s="3" t="s">
        <v>187</v>
      </c>
      <c r="I129" s="3" t="s">
        <v>402</v>
      </c>
      <c r="J129" s="3" t="s">
        <v>1364</v>
      </c>
      <c r="K129" s="3" t="s">
        <v>1365</v>
      </c>
      <c r="L129" s="3" t="s">
        <v>1366</v>
      </c>
      <c r="M129" s="3" t="s">
        <v>1367</v>
      </c>
      <c r="N129" s="3" t="s">
        <v>1368</v>
      </c>
      <c r="O129" s="3">
        <v>2.0</v>
      </c>
    </row>
    <row r="130" ht="15.75" customHeight="1">
      <c r="A130" s="3" t="s">
        <v>443</v>
      </c>
      <c r="B130" s="3" t="s">
        <v>1369</v>
      </c>
      <c r="C130" s="3" t="s">
        <v>1370</v>
      </c>
      <c r="D130" s="3" t="s">
        <v>1371</v>
      </c>
      <c r="E130" s="3" t="str">
        <f>IFERROR(__xludf.DUMMYFUNCTION("GOOGLETRANSLATE($D130,""EN"",""RU"")")," Улыбающаяся кошачья морда с глазами-сердечками")</f>
        <v> Улыбающаяся кошачья морда с глазами-сердечками</v>
      </c>
      <c r="F130" s="3" t="s">
        <v>19</v>
      </c>
      <c r="G130" s="3" t="s">
        <v>1372</v>
      </c>
      <c r="H130" s="3" t="s">
        <v>235</v>
      </c>
      <c r="I130" s="3" t="s">
        <v>633</v>
      </c>
      <c r="J130" s="3" t="s">
        <v>1373</v>
      </c>
      <c r="K130" s="3" t="s">
        <v>1374</v>
      </c>
      <c r="L130" s="3" t="s">
        <v>1375</v>
      </c>
      <c r="M130" s="3" t="s">
        <v>1376</v>
      </c>
      <c r="N130" s="3" t="s">
        <v>1377</v>
      </c>
      <c r="O130" s="3">
        <v>2.0</v>
      </c>
    </row>
    <row r="131" ht="15.75" customHeight="1">
      <c r="A131" s="3" t="s">
        <v>1378</v>
      </c>
      <c r="B131" s="3" t="s">
        <v>1379</v>
      </c>
      <c r="C131" s="3" t="s">
        <v>1380</v>
      </c>
      <c r="D131" s="3" t="s">
        <v>1381</v>
      </c>
      <c r="E131" s="3" t="str">
        <f>IFERROR(__xludf.DUMMYFUNCTION("GOOGLETRANSLATE($D131,""EN"",""RU"")")," Кухонный нож")</f>
        <v> Кухонный нож</v>
      </c>
      <c r="F131" s="3" t="s">
        <v>358</v>
      </c>
      <c r="G131" s="3" t="s">
        <v>1372</v>
      </c>
      <c r="H131" s="3" t="s">
        <v>443</v>
      </c>
      <c r="I131" s="3" t="s">
        <v>850</v>
      </c>
      <c r="J131" s="3" t="s">
        <v>712</v>
      </c>
      <c r="K131" s="3" t="s">
        <v>1382</v>
      </c>
      <c r="L131" s="3" t="s">
        <v>1383</v>
      </c>
      <c r="M131" s="3" t="s">
        <v>1384</v>
      </c>
      <c r="N131" s="3" t="s">
        <v>1385</v>
      </c>
      <c r="O131" s="3">
        <v>0.0</v>
      </c>
    </row>
    <row r="132" ht="15.75" customHeight="1">
      <c r="A132" s="3" t="s">
        <v>982</v>
      </c>
      <c r="B132" s="3" t="s">
        <v>1386</v>
      </c>
      <c r="C132" s="3" t="s">
        <v>1387</v>
      </c>
      <c r="D132" s="3" t="s">
        <v>1388</v>
      </c>
      <c r="E132" s="3" t="str">
        <f>IFERROR(__xludf.DUMMYFUNCTION("GOOGLETRANSLATE($D132,""EN"",""RU"")")," Колокольчик со слэшем")</f>
        <v> Колокольчик со слэшем</v>
      </c>
      <c r="F132" s="3" t="s">
        <v>637</v>
      </c>
      <c r="G132" s="3" t="s">
        <v>1389</v>
      </c>
      <c r="H132" s="3" t="s">
        <v>1390</v>
      </c>
      <c r="I132" s="3" t="s">
        <v>700</v>
      </c>
      <c r="J132" s="3" t="s">
        <v>485</v>
      </c>
      <c r="K132" s="3" t="s">
        <v>1391</v>
      </c>
      <c r="L132" s="3" t="s">
        <v>1392</v>
      </c>
      <c r="M132" s="3" t="s">
        <v>1393</v>
      </c>
      <c r="N132" s="3" t="s">
        <v>1394</v>
      </c>
      <c r="O132" s="3">
        <v>0.0</v>
      </c>
    </row>
    <row r="133" ht="15.75" customHeight="1">
      <c r="A133" s="3" t="s">
        <v>1018</v>
      </c>
      <c r="B133" s="3" t="s">
        <v>1395</v>
      </c>
      <c r="C133" s="3" t="s">
        <v>1396</v>
      </c>
      <c r="D133" s="3" t="s">
        <v>1397</v>
      </c>
      <c r="E133" s="3" t="str">
        <f>IFERROR(__xludf.DUMMYFUNCTION("GOOGLETRANSLATE($D133,""EN"",""RU"")")," Мысль шар")</f>
        <v> Мысль шар</v>
      </c>
      <c r="F133" s="3" t="s">
        <v>637</v>
      </c>
      <c r="G133" s="3" t="s">
        <v>266</v>
      </c>
      <c r="H133" s="3" t="s">
        <v>787</v>
      </c>
      <c r="I133" s="3" t="s">
        <v>745</v>
      </c>
      <c r="J133" s="3" t="s">
        <v>1300</v>
      </c>
      <c r="K133" s="3" t="s">
        <v>1398</v>
      </c>
      <c r="L133" s="3" t="s">
        <v>1399</v>
      </c>
      <c r="M133" s="3" t="s">
        <v>1400</v>
      </c>
      <c r="N133" s="3" t="s">
        <v>1401</v>
      </c>
      <c r="O133" s="3">
        <v>2.0</v>
      </c>
    </row>
    <row r="134" ht="15.75" customHeight="1">
      <c r="A134" s="3" t="s">
        <v>1086</v>
      </c>
      <c r="B134" s="3" t="s">
        <v>1402</v>
      </c>
      <c r="C134" s="3" t="s">
        <v>1403</v>
      </c>
      <c r="D134" s="3" t="s">
        <v>1404</v>
      </c>
      <c r="E134" s="3" t="str">
        <f>IFERROR(__xludf.DUMMYFUNCTION("GOOGLETRANSLATE($D134,""EN"",""RU"")")," Пишущая рука")</f>
        <v> Пишущая рука</v>
      </c>
      <c r="F134" s="3" t="s">
        <v>178</v>
      </c>
      <c r="G134" s="3" t="s">
        <v>1405</v>
      </c>
      <c r="H134" s="3" t="s">
        <v>678</v>
      </c>
      <c r="I134" s="3" t="s">
        <v>850</v>
      </c>
      <c r="J134" s="3" t="s">
        <v>1282</v>
      </c>
      <c r="K134" s="3" t="s">
        <v>1406</v>
      </c>
      <c r="L134" s="3" t="s">
        <v>1407</v>
      </c>
      <c r="M134" s="3" t="s">
        <v>1408</v>
      </c>
      <c r="N134" s="3" t="s">
        <v>1409</v>
      </c>
      <c r="O134" s="3">
        <v>2.0</v>
      </c>
    </row>
    <row r="135" ht="15.75" customHeight="1">
      <c r="A135" s="3" t="s">
        <v>1410</v>
      </c>
      <c r="B135" s="3" t="s">
        <v>1411</v>
      </c>
      <c r="C135" s="3" t="s">
        <v>1412</v>
      </c>
      <c r="D135" s="3" t="s">
        <v>1413</v>
      </c>
      <c r="E135" s="3" t="str">
        <f>IFERROR(__xludf.DUMMYFUNCTION("GOOGLETRANSLATE($D135,""EN"",""RU"")")," Растерянное лицо")</f>
        <v> Растерянное лицо</v>
      </c>
      <c r="F135" s="3" t="s">
        <v>19</v>
      </c>
      <c r="G135" s="3" t="s">
        <v>1414</v>
      </c>
      <c r="H135" s="3" t="s">
        <v>1415</v>
      </c>
      <c r="I135" s="3" t="s">
        <v>235</v>
      </c>
      <c r="J135" s="3" t="s">
        <v>90</v>
      </c>
      <c r="K135" s="3" t="s">
        <v>1416</v>
      </c>
      <c r="L135" s="3" t="s">
        <v>1417</v>
      </c>
      <c r="M135" s="3" t="s">
        <v>1418</v>
      </c>
      <c r="N135" s="3" t="s">
        <v>1419</v>
      </c>
      <c r="O135" s="3">
        <v>0.0</v>
      </c>
    </row>
    <row r="136" ht="15.75" customHeight="1">
      <c r="A136" s="3" t="s">
        <v>707</v>
      </c>
      <c r="B136" s="3" t="s">
        <v>1420</v>
      </c>
      <c r="C136" s="3" t="s">
        <v>1421</v>
      </c>
      <c r="D136" s="3" t="s">
        <v>1422</v>
      </c>
      <c r="E136" s="3" t="str">
        <f>IFERROR(__xludf.DUMMYFUNCTION("GOOGLETRANSLATE($D136,""EN"",""RU"")")," Капли пота")</f>
        <v> Капли пота</v>
      </c>
      <c r="F136" s="3" t="s">
        <v>81</v>
      </c>
      <c r="G136" s="3" t="s">
        <v>693</v>
      </c>
      <c r="H136" s="3" t="s">
        <v>787</v>
      </c>
      <c r="I136" s="3" t="s">
        <v>662</v>
      </c>
      <c r="J136" s="3" t="s">
        <v>787</v>
      </c>
      <c r="K136" s="3" t="s">
        <v>1423</v>
      </c>
      <c r="L136" s="3" t="s">
        <v>1424</v>
      </c>
      <c r="M136" s="3" t="s">
        <v>1423</v>
      </c>
      <c r="N136" s="3" t="s">
        <v>1425</v>
      </c>
      <c r="O136" s="3">
        <v>1.0</v>
      </c>
    </row>
    <row r="137" ht="15.75" customHeight="1">
      <c r="A137" s="3" t="s">
        <v>1426</v>
      </c>
      <c r="B137" s="3" t="s">
        <v>1427</v>
      </c>
      <c r="C137" s="3" t="s">
        <v>1428</v>
      </c>
      <c r="D137" s="3" t="s">
        <v>1429</v>
      </c>
      <c r="E137" s="3" t="str">
        <f>IFERROR(__xludf.DUMMYFUNCTION("GOOGLETRANSLATE($D137,""EN"",""RU"")")," Въезд запрещен")</f>
        <v> Въезд запрещен</v>
      </c>
      <c r="F137" s="3" t="s">
        <v>637</v>
      </c>
      <c r="G137" s="3" t="s">
        <v>1430</v>
      </c>
      <c r="H137" s="3" t="s">
        <v>850</v>
      </c>
      <c r="I137" s="3" t="s">
        <v>906</v>
      </c>
      <c r="J137" s="3" t="s">
        <v>102</v>
      </c>
      <c r="K137" s="3" t="s">
        <v>1431</v>
      </c>
      <c r="L137" s="3" t="s">
        <v>1432</v>
      </c>
      <c r="M137" s="3" t="s">
        <v>1433</v>
      </c>
      <c r="N137" s="3" t="s">
        <v>1434</v>
      </c>
      <c r="O137" s="3">
        <v>0.0</v>
      </c>
    </row>
    <row r="138" ht="15.75" customHeight="1">
      <c r="A138" s="3" t="s">
        <v>1435</v>
      </c>
      <c r="B138" s="3" t="s">
        <v>1436</v>
      </c>
      <c r="C138" s="3" t="s">
        <v>1437</v>
      </c>
      <c r="D138" s="3" t="s">
        <v>1438</v>
      </c>
      <c r="E138" s="3" t="str">
        <f>IFERROR(__xludf.DUMMYFUNCTION("GOOGLETRANSLATE($D138,""EN"",""RU"")")," Солнце")</f>
        <v> Солнце</v>
      </c>
      <c r="F138" s="3" t="s">
        <v>81</v>
      </c>
      <c r="G138" s="3" t="s">
        <v>1439</v>
      </c>
      <c r="H138" s="3" t="s">
        <v>102</v>
      </c>
      <c r="I138" s="3" t="s">
        <v>283</v>
      </c>
      <c r="J138" s="3" t="s">
        <v>964</v>
      </c>
      <c r="K138" s="3" t="s">
        <v>1440</v>
      </c>
      <c r="L138" s="3" t="s">
        <v>1441</v>
      </c>
      <c r="M138" s="3" t="s">
        <v>1442</v>
      </c>
      <c r="N138" s="3" t="s">
        <v>1443</v>
      </c>
      <c r="O138" s="3">
        <v>2.0</v>
      </c>
    </row>
    <row r="139" ht="15.75" customHeight="1">
      <c r="A139" s="3" t="s">
        <v>1444</v>
      </c>
      <c r="B139" s="3" t="s">
        <v>1445</v>
      </c>
      <c r="C139" s="3" t="s">
        <v>1446</v>
      </c>
      <c r="D139" s="3" t="s">
        <v>1447</v>
      </c>
      <c r="E139" s="3" t="str">
        <f>IFERROR(__xludf.DUMMYFUNCTION("GOOGLETRANSLATE($D139,""EN"",""RU"")")," Пальма")</f>
        <v> Пальма</v>
      </c>
      <c r="F139" s="3" t="s">
        <v>81</v>
      </c>
      <c r="G139" s="3" t="s">
        <v>1439</v>
      </c>
      <c r="H139" s="3" t="s">
        <v>235</v>
      </c>
      <c r="I139" s="3" t="s">
        <v>678</v>
      </c>
      <c r="J139" s="3" t="s">
        <v>867</v>
      </c>
      <c r="K139" s="3" t="s">
        <v>1448</v>
      </c>
      <c r="L139" s="3" t="s">
        <v>1449</v>
      </c>
      <c r="M139" s="3" t="s">
        <v>1450</v>
      </c>
      <c r="N139" s="3" t="s">
        <v>1451</v>
      </c>
      <c r="O139" s="3">
        <v>2.0</v>
      </c>
    </row>
    <row r="140" ht="15.75" customHeight="1">
      <c r="A140" s="3" t="s">
        <v>373</v>
      </c>
      <c r="B140" s="3" t="s">
        <v>1452</v>
      </c>
      <c r="C140" s="3" t="s">
        <v>1453</v>
      </c>
      <c r="D140" s="3" t="s">
        <v>1454</v>
      </c>
      <c r="E140" s="3" t="str">
        <f>IFERROR(__xludf.DUMMYFUNCTION("GOOGLETRANSLATE($D140,""EN"",""RU"")")," Рассада")</f>
        <v> Рассада</v>
      </c>
      <c r="F140" s="3" t="s">
        <v>81</v>
      </c>
      <c r="G140" s="3" t="s">
        <v>1455</v>
      </c>
      <c r="H140" s="3" t="s">
        <v>126</v>
      </c>
      <c r="I140" s="3" t="s">
        <v>555</v>
      </c>
      <c r="J140" s="3" t="s">
        <v>502</v>
      </c>
      <c r="K140" s="3" t="s">
        <v>1456</v>
      </c>
      <c r="L140" s="3" t="s">
        <v>1457</v>
      </c>
      <c r="M140" s="3" t="s">
        <v>1458</v>
      </c>
      <c r="N140" s="3" t="s">
        <v>1459</v>
      </c>
      <c r="O140" s="3">
        <v>2.0</v>
      </c>
    </row>
    <row r="141" ht="15.75" customHeight="1">
      <c r="A141" s="3" t="s">
        <v>1460</v>
      </c>
      <c r="B141" s="3" t="s">
        <v>1461</v>
      </c>
      <c r="C141" s="3" t="s">
        <v>1462</v>
      </c>
      <c r="D141" s="3" t="s">
        <v>1463</v>
      </c>
      <c r="E141" s="3" t="str">
        <f>IFERROR(__xludf.DUMMYFUNCTION("GOOGLETRANSLATE($D141,""EN"",""RU"")")," открытые руки")</f>
        <v> открытые руки</v>
      </c>
      <c r="F141" s="3" t="s">
        <v>178</v>
      </c>
      <c r="G141" s="3" t="s">
        <v>1464</v>
      </c>
      <c r="H141" s="3" t="s">
        <v>367</v>
      </c>
      <c r="I141" s="3" t="s">
        <v>531</v>
      </c>
      <c r="J141" s="3" t="s">
        <v>1465</v>
      </c>
      <c r="K141" s="3" t="s">
        <v>1466</v>
      </c>
      <c r="L141" s="3" t="s">
        <v>940</v>
      </c>
      <c r="M141" s="3" t="s">
        <v>1467</v>
      </c>
      <c r="N141" s="3" t="s">
        <v>1468</v>
      </c>
      <c r="O141" s="3">
        <v>2.0</v>
      </c>
    </row>
    <row r="142" ht="15.75" customHeight="1">
      <c r="A142" s="3" t="s">
        <v>478</v>
      </c>
      <c r="B142" s="3" t="s">
        <v>1469</v>
      </c>
      <c r="C142" s="3" t="s">
        <v>1470</v>
      </c>
      <c r="D142" s="3" t="s">
        <v>1471</v>
      </c>
      <c r="E142" s="3" t="str">
        <f>IFERROR(__xludf.DUMMYFUNCTION("GOOGLETRANSLATE($D142,""EN"",""RU"")")," Снежинка")</f>
        <v> Снежинка</v>
      </c>
      <c r="F142" s="3" t="s">
        <v>81</v>
      </c>
      <c r="G142" s="3" t="s">
        <v>1231</v>
      </c>
      <c r="H142" s="3" t="s">
        <v>247</v>
      </c>
      <c r="I142" s="3" t="s">
        <v>1326</v>
      </c>
      <c r="J142" s="3" t="s">
        <v>872</v>
      </c>
      <c r="K142" s="3" t="s">
        <v>1472</v>
      </c>
      <c r="L142" s="3" t="s">
        <v>1473</v>
      </c>
      <c r="M142" s="3" t="s">
        <v>1474</v>
      </c>
      <c r="N142" s="3" t="s">
        <v>1475</v>
      </c>
      <c r="O142" s="3">
        <v>2.0</v>
      </c>
    </row>
    <row r="143" ht="15.75" customHeight="1">
      <c r="A143" s="3" t="s">
        <v>628</v>
      </c>
      <c r="B143" s="3" t="s">
        <v>1476</v>
      </c>
      <c r="C143" s="3" t="s">
        <v>1477</v>
      </c>
      <c r="D143" s="3" t="s">
        <v>1478</v>
      </c>
      <c r="E143" s="3" t="str">
        <f>IFERROR(__xludf.DUMMYFUNCTION("GOOGLETRANSLATE($D143,""EN"",""RU"")")," Драгоценный камень")</f>
        <v> Драгоценный камень</v>
      </c>
      <c r="F143" s="3" t="s">
        <v>358</v>
      </c>
      <c r="G143" s="3" t="s">
        <v>1364</v>
      </c>
      <c r="H143" s="3" t="s">
        <v>259</v>
      </c>
      <c r="I143" s="3" t="s">
        <v>555</v>
      </c>
      <c r="J143" s="3" t="s">
        <v>661</v>
      </c>
      <c r="K143" s="3" t="s">
        <v>1479</v>
      </c>
      <c r="L143" s="3" t="s">
        <v>1480</v>
      </c>
      <c r="M143" s="3" t="s">
        <v>1481</v>
      </c>
      <c r="N143" s="3" t="s">
        <v>1482</v>
      </c>
      <c r="O143" s="3">
        <v>2.0</v>
      </c>
    </row>
    <row r="144" ht="15.75" customHeight="1">
      <c r="A144" s="3" t="s">
        <v>918</v>
      </c>
      <c r="B144" s="3" t="s">
        <v>1483</v>
      </c>
      <c r="C144" s="3" t="s">
        <v>1484</v>
      </c>
      <c r="D144" s="3" t="s">
        <v>1485</v>
      </c>
      <c r="E144" s="3" t="str">
        <f>IFERROR(__xludf.DUMMYFUNCTION("GOOGLETRANSLATE($D144,""EN"",""RU"")")," Обеспокоенное лицо")</f>
        <v> Обеспокоенное лицо</v>
      </c>
      <c r="F144" s="3" t="s">
        <v>19</v>
      </c>
      <c r="G144" s="3" t="s">
        <v>1486</v>
      </c>
      <c r="H144" s="3" t="s">
        <v>1076</v>
      </c>
      <c r="I144" s="3" t="s">
        <v>543</v>
      </c>
      <c r="J144" s="3" t="s">
        <v>223</v>
      </c>
      <c r="K144" s="3" t="s">
        <v>1487</v>
      </c>
      <c r="L144" s="3" t="s">
        <v>1488</v>
      </c>
      <c r="M144" s="3" t="s">
        <v>1489</v>
      </c>
      <c r="N144" s="3" t="s">
        <v>1490</v>
      </c>
      <c r="O144" s="3">
        <v>0.0</v>
      </c>
    </row>
    <row r="145" ht="15.75" customHeight="1">
      <c r="A145" s="3" t="s">
        <v>1491</v>
      </c>
      <c r="B145" s="3" t="s">
        <v>1492</v>
      </c>
      <c r="C145" s="3" t="s">
        <v>1493</v>
      </c>
      <c r="D145" s="3" t="s">
        <v>1494</v>
      </c>
      <c r="E145" s="3" t="str">
        <f>IFERROR(__xludf.DUMMYFUNCTION("GOOGLETRANSLATE($D145,""EN"",""RU"")")," Размахивая рукой")</f>
        <v> Размахивая рукой</v>
      </c>
      <c r="F145" s="3" t="s">
        <v>178</v>
      </c>
      <c r="G145" s="3" t="s">
        <v>595</v>
      </c>
      <c r="H145" s="3" t="s">
        <v>787</v>
      </c>
      <c r="I145" s="3" t="s">
        <v>426</v>
      </c>
      <c r="J145" s="3" t="s">
        <v>1200</v>
      </c>
      <c r="K145" s="3" t="s">
        <v>1495</v>
      </c>
      <c r="L145" s="3" t="s">
        <v>1496</v>
      </c>
      <c r="M145" s="3" t="s">
        <v>1497</v>
      </c>
      <c r="N145" s="3" t="s">
        <v>940</v>
      </c>
      <c r="O145" s="3">
        <v>2.0</v>
      </c>
    </row>
    <row r="146" ht="15.75" customHeight="1">
      <c r="A146" s="3" t="s">
        <v>1498</v>
      </c>
      <c r="B146" s="3" t="s">
        <v>1499</v>
      </c>
      <c r="C146" s="3" t="s">
        <v>1500</v>
      </c>
      <c r="D146" s="3" t="s">
        <v>1501</v>
      </c>
      <c r="E146" s="3" t="str">
        <f>IFERROR(__xludf.DUMMYFUNCTION("GOOGLETRANSLATE($D146,""EN"",""RU"")")," Воздушный шар")</f>
        <v> Воздушный шар</v>
      </c>
      <c r="F146" s="3" t="s">
        <v>358</v>
      </c>
      <c r="G146" s="3" t="s">
        <v>1502</v>
      </c>
      <c r="H146" s="3" t="s">
        <v>461</v>
      </c>
      <c r="I146" s="3" t="s">
        <v>391</v>
      </c>
      <c r="J146" s="3" t="s">
        <v>373</v>
      </c>
      <c r="K146" s="3" t="s">
        <v>1503</v>
      </c>
      <c r="L146" s="3" t="s">
        <v>1504</v>
      </c>
      <c r="M146" s="3" t="s">
        <v>1505</v>
      </c>
      <c r="N146" s="3" t="s">
        <v>1506</v>
      </c>
      <c r="O146" s="3">
        <v>2.0</v>
      </c>
    </row>
    <row r="147" ht="15.75" customHeight="1">
      <c r="A147" s="3" t="s">
        <v>706</v>
      </c>
      <c r="B147" s="3" t="s">
        <v>1507</v>
      </c>
      <c r="C147" s="3" t="s">
        <v>1508</v>
      </c>
      <c r="D147" s="3" t="s">
        <v>1509</v>
      </c>
      <c r="E147" s="3" t="str">
        <f>IFERROR(__xludf.DUMMYFUNCTION("GOOGLETRANSLATE($D147,""EN"",""RU"")")," Горячий напиток")</f>
        <v> Горячий напиток</v>
      </c>
      <c r="F147" s="3" t="s">
        <v>1510</v>
      </c>
      <c r="G147" s="3" t="s">
        <v>594</v>
      </c>
      <c r="H147" s="3" t="s">
        <v>295</v>
      </c>
      <c r="I147" s="3" t="s">
        <v>374</v>
      </c>
      <c r="J147" s="3" t="s">
        <v>707</v>
      </c>
      <c r="K147" s="3" t="s">
        <v>1511</v>
      </c>
      <c r="L147" s="3" t="s">
        <v>1512</v>
      </c>
      <c r="M147" s="3" t="s">
        <v>1513</v>
      </c>
      <c r="N147" s="3" t="s">
        <v>1343</v>
      </c>
      <c r="O147" s="3">
        <v>2.0</v>
      </c>
    </row>
    <row r="148" ht="15.75" customHeight="1">
      <c r="A148" s="3" t="s">
        <v>1340</v>
      </c>
      <c r="B148" s="3" t="s">
        <v>1514</v>
      </c>
      <c r="C148" s="3" t="s">
        <v>1515</v>
      </c>
      <c r="D148" s="3" t="s">
        <v>1516</v>
      </c>
      <c r="E148" s="3" t="str">
        <f>IFERROR(__xludf.DUMMYFUNCTION("GOOGLETRANSLATE($D148,""EN"",""RU"")")," Торт на день рождения")</f>
        <v> Торт на день рождения</v>
      </c>
      <c r="F148" s="3" t="s">
        <v>1510</v>
      </c>
      <c r="G148" s="3" t="s">
        <v>594</v>
      </c>
      <c r="H148" s="3" t="s">
        <v>223</v>
      </c>
      <c r="I148" s="3" t="s">
        <v>211</v>
      </c>
      <c r="J148" s="3" t="s">
        <v>1517</v>
      </c>
      <c r="K148" s="3" t="s">
        <v>1518</v>
      </c>
      <c r="L148" s="3" t="s">
        <v>1519</v>
      </c>
      <c r="M148" s="3" t="s">
        <v>1520</v>
      </c>
      <c r="N148" s="3" t="s">
        <v>1521</v>
      </c>
      <c r="O148" s="3">
        <v>2.0</v>
      </c>
    </row>
    <row r="149" ht="15.75" customHeight="1">
      <c r="A149" s="3" t="s">
        <v>1465</v>
      </c>
      <c r="B149" s="3" t="s">
        <v>1522</v>
      </c>
      <c r="C149" s="3" t="s">
        <v>1523</v>
      </c>
      <c r="D149" s="3" t="s">
        <v>1524</v>
      </c>
      <c r="E149" s="3" t="str">
        <f>IFERROR(__xludf.DUMMYFUNCTION("GOOGLETRANSLATE($D149,""EN"",""RU"")")," Белая средняя звезда")</f>
        <v> Белая средняя звезда</v>
      </c>
      <c r="F149" s="3" t="s">
        <v>81</v>
      </c>
      <c r="G149" s="3" t="s">
        <v>1133</v>
      </c>
      <c r="H149" s="3" t="s">
        <v>126</v>
      </c>
      <c r="I149" s="3" t="s">
        <v>581</v>
      </c>
      <c r="J149" s="3" t="s">
        <v>733</v>
      </c>
      <c r="K149" s="3" t="s">
        <v>1525</v>
      </c>
      <c r="L149" s="3" t="s">
        <v>1526</v>
      </c>
      <c r="M149" s="3" t="s">
        <v>1527</v>
      </c>
      <c r="N149" s="3" t="s">
        <v>1528</v>
      </c>
      <c r="O149" s="3">
        <v>2.0</v>
      </c>
    </row>
    <row r="150" ht="15.75" customHeight="1">
      <c r="A150" s="3" t="s">
        <v>661</v>
      </c>
      <c r="B150" s="3" t="s">
        <v>1529</v>
      </c>
      <c r="C150" s="3" t="s">
        <v>1530</v>
      </c>
      <c r="D150" s="3" t="s">
        <v>1531</v>
      </c>
      <c r="E150" s="3" t="str">
        <f>IFERROR(__xludf.DUMMYFUNCTION("GOOGLETRANSLATE($D150,""EN"",""RU"")")," Восклицательный знак")</f>
        <v> Восклицательный знак</v>
      </c>
      <c r="F150" s="3" t="s">
        <v>637</v>
      </c>
      <c r="G150" s="3" t="s">
        <v>1532</v>
      </c>
      <c r="H150" s="3" t="s">
        <v>1245</v>
      </c>
      <c r="I150" s="3" t="s">
        <v>555</v>
      </c>
      <c r="J150" s="3" t="s">
        <v>330</v>
      </c>
      <c r="K150" s="3" t="s">
        <v>1533</v>
      </c>
      <c r="L150" s="3" t="s">
        <v>1534</v>
      </c>
      <c r="M150" s="3" t="s">
        <v>1535</v>
      </c>
      <c r="N150" s="3" t="s">
        <v>1536</v>
      </c>
      <c r="O150" s="3">
        <v>0.0</v>
      </c>
    </row>
    <row r="151" ht="15.75" customHeight="1">
      <c r="A151" s="3" t="s">
        <v>965</v>
      </c>
      <c r="B151" s="3" t="s">
        <v>1537</v>
      </c>
      <c r="C151" s="3" t="s">
        <v>1538</v>
      </c>
      <c r="D151" s="3" t="s">
        <v>1539</v>
      </c>
      <c r="E151" s="3" t="str">
        <f>IFERROR(__xludf.DUMMYFUNCTION("GOOGLETRANSLATE($D151,""EN"",""RU"")")," Запрещенный")</f>
        <v> Запрещенный</v>
      </c>
      <c r="F151" s="3" t="s">
        <v>637</v>
      </c>
      <c r="G151" s="3" t="s">
        <v>1532</v>
      </c>
      <c r="H151" s="3" t="s">
        <v>454</v>
      </c>
      <c r="I151" s="3" t="s">
        <v>883</v>
      </c>
      <c r="J151" s="3" t="s">
        <v>211</v>
      </c>
      <c r="K151" s="3" t="s">
        <v>1540</v>
      </c>
      <c r="L151" s="3" t="s">
        <v>1541</v>
      </c>
      <c r="M151" s="3" t="s">
        <v>1542</v>
      </c>
      <c r="N151" s="3" t="s">
        <v>1543</v>
      </c>
      <c r="O151" s="3">
        <v>0.0</v>
      </c>
    </row>
    <row r="152" ht="15.75" customHeight="1">
      <c r="A152" s="3" t="s">
        <v>1076</v>
      </c>
      <c r="B152" s="3" t="s">
        <v>1544</v>
      </c>
      <c r="C152" s="3" t="s">
        <v>1545</v>
      </c>
      <c r="D152" s="3" t="s">
        <v>1546</v>
      </c>
      <c r="E152" s="3" t="str">
        <f>IFERROR(__xludf.DUMMYFUNCTION("GOOGLETRANSLATE($D152,""EN"",""RU"")")," Лицо с повязкой на голове")</f>
        <v> Лицо с повязкой на голове</v>
      </c>
      <c r="F152" s="3" t="s">
        <v>19</v>
      </c>
      <c r="G152" s="3" t="s">
        <v>878</v>
      </c>
      <c r="H152" s="3" t="s">
        <v>1227</v>
      </c>
      <c r="I152" s="3" t="s">
        <v>247</v>
      </c>
      <c r="J152" s="3" t="s">
        <v>555</v>
      </c>
      <c r="K152" s="3" t="s">
        <v>1547</v>
      </c>
      <c r="L152" s="3" t="s">
        <v>1548</v>
      </c>
      <c r="M152" s="3" t="s">
        <v>1549</v>
      </c>
      <c r="N152" s="3" t="s">
        <v>1550</v>
      </c>
      <c r="O152" s="3">
        <v>0.0</v>
      </c>
    </row>
    <row r="153" ht="15.75" customHeight="1">
      <c r="A153" s="3" t="s">
        <v>1551</v>
      </c>
      <c r="B153" s="3" t="s">
        <v>1552</v>
      </c>
      <c r="C153" s="3" t="s">
        <v>1553</v>
      </c>
      <c r="D153" s="3" t="s">
        <v>1554</v>
      </c>
      <c r="E153" s="3" t="str">
        <f>IFERROR(__xludf.DUMMYFUNCTION("GOOGLETRANSLATE($D153,""EN"",""RU"")")," Тунис")</f>
        <v> Тунис</v>
      </c>
      <c r="F153" s="3" t="s">
        <v>559</v>
      </c>
      <c r="G153" s="3" t="s">
        <v>1555</v>
      </c>
      <c r="H153" s="3" t="s">
        <v>15</v>
      </c>
      <c r="I153" s="3" t="s">
        <v>607</v>
      </c>
      <c r="J153" s="3" t="s">
        <v>581</v>
      </c>
      <c r="K153" s="3" t="s">
        <v>1556</v>
      </c>
      <c r="L153" s="3" t="s">
        <v>1557</v>
      </c>
      <c r="M153" s="3" t="s">
        <v>1558</v>
      </c>
      <c r="N153" s="3" t="s">
        <v>1559</v>
      </c>
      <c r="O153" s="3">
        <v>2.0</v>
      </c>
    </row>
    <row r="154" ht="15.75" customHeight="1">
      <c r="A154" s="3" t="s">
        <v>1560</v>
      </c>
      <c r="B154" s="3" t="s">
        <v>1561</v>
      </c>
      <c r="C154" s="3" t="s">
        <v>1562</v>
      </c>
      <c r="D154" s="3" t="s">
        <v>1563</v>
      </c>
      <c r="E154" s="3" t="str">
        <f>IFERROR(__xludf.DUMMYFUNCTION("GOOGLETRANSLATE($D154,""EN"",""RU"")")," Музыкальная нота")</f>
        <v> Музыкальная нота</v>
      </c>
      <c r="F154" s="3" t="s">
        <v>637</v>
      </c>
      <c r="G154" s="3" t="s">
        <v>1517</v>
      </c>
      <c r="H154" s="3" t="s">
        <v>414</v>
      </c>
      <c r="I154" s="3" t="s">
        <v>391</v>
      </c>
      <c r="J154" s="3" t="s">
        <v>662</v>
      </c>
      <c r="K154" s="3" t="s">
        <v>940</v>
      </c>
      <c r="L154" s="3" t="s">
        <v>1564</v>
      </c>
      <c r="M154" s="3" t="s">
        <v>1565</v>
      </c>
      <c r="N154" s="3" t="s">
        <v>1566</v>
      </c>
      <c r="O154" s="3">
        <v>2.0</v>
      </c>
    </row>
    <row r="155" ht="15.75" customHeight="1">
      <c r="A155" s="3" t="s">
        <v>1390</v>
      </c>
      <c r="B155" s="3" t="s">
        <v>1567</v>
      </c>
      <c r="C155" s="3" t="s">
        <v>1568</v>
      </c>
      <c r="D155" s="3" t="s">
        <v>1569</v>
      </c>
      <c r="E155" s="3" t="str">
        <f>IFERROR(__xludf.DUMMYFUNCTION("GOOGLETRANSLATE($D155,""EN"",""RU"")")," Книги")</f>
        <v> Книги</v>
      </c>
      <c r="F155" s="3" t="s">
        <v>358</v>
      </c>
      <c r="G155" s="3" t="s">
        <v>288</v>
      </c>
      <c r="H155" s="3" t="s">
        <v>295</v>
      </c>
      <c r="I155" s="3" t="s">
        <v>739</v>
      </c>
      <c r="J155" s="3" t="s">
        <v>402</v>
      </c>
      <c r="K155" s="3" t="s">
        <v>1570</v>
      </c>
      <c r="L155" s="3" t="s">
        <v>1571</v>
      </c>
      <c r="M155" s="3" t="s">
        <v>1572</v>
      </c>
      <c r="N155" s="3" t="s">
        <v>1573</v>
      </c>
      <c r="O155" s="3">
        <v>1.0</v>
      </c>
    </row>
    <row r="156" ht="15.75" customHeight="1">
      <c r="A156" s="3" t="s">
        <v>867</v>
      </c>
      <c r="B156" s="3" t="s">
        <v>1574</v>
      </c>
      <c r="C156" s="3" t="s">
        <v>1575</v>
      </c>
      <c r="D156" s="3" t="s">
        <v>1576</v>
      </c>
      <c r="E156" s="3" t="str">
        <f>IFERROR(__xludf.DUMMYFUNCTION("GOOGLETRANSLATE($D156,""EN"",""RU"")")," Горячие источники")</f>
        <v> Горячие источники</v>
      </c>
      <c r="F156" s="3" t="s">
        <v>637</v>
      </c>
      <c r="G156" s="3" t="s">
        <v>618</v>
      </c>
      <c r="H156" s="3" t="s">
        <v>15</v>
      </c>
      <c r="I156" s="3" t="s">
        <v>307</v>
      </c>
      <c r="J156" s="3" t="s">
        <v>1460</v>
      </c>
      <c r="K156" s="3" t="s">
        <v>1577</v>
      </c>
      <c r="L156" s="3" t="s">
        <v>1578</v>
      </c>
      <c r="M156" s="3" t="s">
        <v>1579</v>
      </c>
      <c r="N156" s="3" t="s">
        <v>1580</v>
      </c>
      <c r="O156" s="3">
        <v>2.0</v>
      </c>
    </row>
    <row r="157" ht="15.75" customHeight="1">
      <c r="A157" s="3" t="s">
        <v>771</v>
      </c>
      <c r="B157" s="3" t="s">
        <v>1581</v>
      </c>
      <c r="C157" s="3" t="s">
        <v>1582</v>
      </c>
      <c r="D157" s="3" t="s">
        <v>1583</v>
      </c>
      <c r="E157" s="3" t="str">
        <f>IFERROR(__xludf.DUMMYFUNCTION("GOOGLETRANSLATE($D157,""EN"",""RU"")")," Бабочка")</f>
        <v> Бабочка</v>
      </c>
      <c r="F157" s="3" t="s">
        <v>81</v>
      </c>
      <c r="G157" s="3" t="s">
        <v>618</v>
      </c>
      <c r="H157" s="3" t="s">
        <v>211</v>
      </c>
      <c r="I157" s="3" t="s">
        <v>367</v>
      </c>
      <c r="J157" s="3" t="s">
        <v>1282</v>
      </c>
      <c r="K157" s="3" t="s">
        <v>1584</v>
      </c>
      <c r="L157" s="3" t="s">
        <v>1585</v>
      </c>
      <c r="M157" s="3" t="s">
        <v>1586</v>
      </c>
      <c r="N157" s="3" t="s">
        <v>1587</v>
      </c>
      <c r="O157" s="3">
        <v>2.0</v>
      </c>
    </row>
    <row r="158" ht="15.75" customHeight="1">
      <c r="A158" s="3" t="s">
        <v>906</v>
      </c>
      <c r="B158" s="3" t="s">
        <v>1588</v>
      </c>
      <c r="C158" s="3" t="s">
        <v>1589</v>
      </c>
      <c r="D158" s="3" t="s">
        <v>1590</v>
      </c>
      <c r="E158" s="3" t="str">
        <f>IFERROR(__xludf.DUMMYFUNCTION("GOOGLETRANSLATE($D158,""EN"",""RU"")")," Сто очков")</f>
        <v> Сто очков</v>
      </c>
      <c r="F158" s="3" t="s">
        <v>637</v>
      </c>
      <c r="G158" s="3" t="s">
        <v>1591</v>
      </c>
      <c r="H158" s="3" t="s">
        <v>247</v>
      </c>
      <c r="I158" s="3" t="s">
        <v>922</v>
      </c>
      <c r="J158" s="3" t="s">
        <v>733</v>
      </c>
      <c r="K158" s="3" t="s">
        <v>1592</v>
      </c>
      <c r="L158" s="3" t="s">
        <v>1593</v>
      </c>
      <c r="M158" s="3" t="s">
        <v>1594</v>
      </c>
      <c r="N158" s="3" t="s">
        <v>1595</v>
      </c>
      <c r="O158" s="3">
        <v>2.0</v>
      </c>
    </row>
    <row r="159" ht="15.75" customHeight="1">
      <c r="A159" s="3" t="s">
        <v>1596</v>
      </c>
      <c r="B159" s="3" t="s">
        <v>1597</v>
      </c>
      <c r="C159" s="3" t="s">
        <v>1598</v>
      </c>
      <c r="D159" s="3" t="s">
        <v>1599</v>
      </c>
      <c r="E159" s="3" t="str">
        <f>IFERROR(__xludf.DUMMYFUNCTION("GOOGLETRANSLATE($D159,""EN"",""RU"")")," Глаза")</f>
        <v> Глаза</v>
      </c>
      <c r="F159" s="3" t="s">
        <v>178</v>
      </c>
      <c r="G159" s="3" t="s">
        <v>1596</v>
      </c>
      <c r="H159" s="3" t="s">
        <v>700</v>
      </c>
      <c r="I159" s="3" t="s">
        <v>271</v>
      </c>
      <c r="J159" s="3" t="s">
        <v>893</v>
      </c>
      <c r="K159" s="3" t="s">
        <v>1600</v>
      </c>
      <c r="L159" s="3" t="s">
        <v>1601</v>
      </c>
      <c r="M159" s="3" t="s">
        <v>1602</v>
      </c>
      <c r="N159" s="3" t="s">
        <v>1603</v>
      </c>
      <c r="O159" s="3">
        <v>2.0</v>
      </c>
    </row>
    <row r="160" ht="15.75" customHeight="1">
      <c r="A160" s="3" t="s">
        <v>1604</v>
      </c>
      <c r="B160" s="3" t="s">
        <v>1605</v>
      </c>
      <c r="C160" s="3" t="s">
        <v>1606</v>
      </c>
      <c r="D160" s="3" t="s">
        <v>1607</v>
      </c>
      <c r="E160" s="3" t="str">
        <f>IFERROR(__xludf.DUMMYFUNCTION("GOOGLETRANSLATE($D160,""EN"",""RU"")")," Щурящее лицо с языком")</f>
        <v> Щурящее лицо с языком</v>
      </c>
      <c r="F160" s="3" t="s">
        <v>19</v>
      </c>
      <c r="G160" s="3" t="s">
        <v>867</v>
      </c>
      <c r="H160" s="3" t="s">
        <v>454</v>
      </c>
      <c r="I160" s="3" t="s">
        <v>295</v>
      </c>
      <c r="J160" s="3" t="s">
        <v>438</v>
      </c>
      <c r="K160" s="3" t="s">
        <v>1608</v>
      </c>
      <c r="L160" s="3" t="s">
        <v>1609</v>
      </c>
      <c r="M160" s="3" t="s">
        <v>1610</v>
      </c>
      <c r="N160" s="3" t="s">
        <v>1611</v>
      </c>
      <c r="O160" s="3">
        <v>0.0</v>
      </c>
    </row>
    <row r="161" ht="15.75" customHeight="1">
      <c r="A161" s="3" t="s">
        <v>1612</v>
      </c>
      <c r="B161" s="3" t="s">
        <v>1613</v>
      </c>
      <c r="C161" s="3" t="s">
        <v>1614</v>
      </c>
      <c r="D161" s="3" t="s">
        <v>1615</v>
      </c>
      <c r="E161" s="3" t="str">
        <f>IFERROR(__xludf.DUMMYFUNCTION("GOOGLETRANSLATE($D161,""EN"",""RU"")")," Солнце с лицом")</f>
        <v> Солнце с лицом</v>
      </c>
      <c r="F161" s="3" t="s">
        <v>81</v>
      </c>
      <c r="G161" s="3" t="s">
        <v>867</v>
      </c>
      <c r="H161" s="3" t="s">
        <v>426</v>
      </c>
      <c r="I161" s="3" t="s">
        <v>295</v>
      </c>
      <c r="J161" s="3" t="s">
        <v>1071</v>
      </c>
      <c r="K161" s="3" t="s">
        <v>1616</v>
      </c>
      <c r="L161" s="3" t="s">
        <v>1609</v>
      </c>
      <c r="M161" s="3" t="s">
        <v>1617</v>
      </c>
      <c r="N161" s="3" t="s">
        <v>1618</v>
      </c>
      <c r="O161" s="3">
        <v>2.0</v>
      </c>
    </row>
    <row r="162" ht="15.75" customHeight="1">
      <c r="A162" s="3" t="s">
        <v>672</v>
      </c>
      <c r="B162" s="3" t="s">
        <v>1619</v>
      </c>
      <c r="C162" s="3" t="s">
        <v>1620</v>
      </c>
      <c r="D162" s="3" t="s">
        <v>1621</v>
      </c>
      <c r="E162" s="3" t="str">
        <f>IFERROR(__xludf.DUMMYFUNCTION("GOOGLETRANSLATE($D162,""EN"",""RU"")")," Облако с дождем")</f>
        <v> Облако с дождем</v>
      </c>
      <c r="F162" s="3" t="s">
        <v>81</v>
      </c>
      <c r="G162" s="3" t="s">
        <v>867</v>
      </c>
      <c r="H162" s="3" t="s">
        <v>283</v>
      </c>
      <c r="I162" s="3" t="s">
        <v>138</v>
      </c>
      <c r="J162" s="3" t="s">
        <v>1300</v>
      </c>
      <c r="K162" s="3" t="s">
        <v>1622</v>
      </c>
      <c r="L162" s="3" t="s">
        <v>1623</v>
      </c>
      <c r="M162" s="3" t="s">
        <v>1624</v>
      </c>
      <c r="N162" s="3" t="s">
        <v>1625</v>
      </c>
      <c r="O162" s="3">
        <v>2.0</v>
      </c>
    </row>
    <row r="163" ht="15.75" customHeight="1">
      <c r="A163" s="3" t="s">
        <v>1591</v>
      </c>
      <c r="B163" s="3" t="s">
        <v>1626</v>
      </c>
      <c r="C163" s="3" t="s">
        <v>1627</v>
      </c>
      <c r="D163" s="3" t="s">
        <v>1628</v>
      </c>
      <c r="E163" s="3" t="str">
        <f>IFERROR(__xludf.DUMMYFUNCTION("GOOGLETRANSLATE($D163,""EN"",""RU"")")," Четырехлистный клевер")</f>
        <v> Четырехлистный клевер</v>
      </c>
      <c r="F163" s="3" t="s">
        <v>81</v>
      </c>
      <c r="G163" s="3" t="s">
        <v>1390</v>
      </c>
      <c r="H163" s="3" t="s">
        <v>90</v>
      </c>
      <c r="I163" s="3" t="s">
        <v>781</v>
      </c>
      <c r="J163" s="3" t="s">
        <v>893</v>
      </c>
      <c r="K163" s="3" t="s">
        <v>609</v>
      </c>
      <c r="L163" s="3" t="s">
        <v>1629</v>
      </c>
      <c r="M163" s="3" t="s">
        <v>1630</v>
      </c>
      <c r="N163" s="3" t="s">
        <v>1631</v>
      </c>
      <c r="O163" s="3">
        <v>2.0</v>
      </c>
    </row>
    <row r="164" ht="15.75" customHeight="1">
      <c r="A164" s="3" t="s">
        <v>1632</v>
      </c>
      <c r="B164" s="3" t="s">
        <v>1633</v>
      </c>
      <c r="C164" s="3" t="s">
        <v>1634</v>
      </c>
      <c r="D164" s="3" t="s">
        <v>1635</v>
      </c>
      <c r="E164" s="3" t="str">
        <f>IFERROR(__xludf.DUMMYFUNCTION("GOOGLETRANSLATE($D164,""EN"",""RU"")")," Сноп Риса")</f>
        <v> Сноп Риса</v>
      </c>
      <c r="F164" s="3" t="s">
        <v>81</v>
      </c>
      <c r="G164" s="3" t="s">
        <v>1560</v>
      </c>
      <c r="H164" s="3" t="s">
        <v>53</v>
      </c>
      <c r="I164" s="3" t="s">
        <v>330</v>
      </c>
      <c r="J164" s="3" t="s">
        <v>1258</v>
      </c>
      <c r="K164" s="3" t="s">
        <v>1636</v>
      </c>
      <c r="L164" s="3" t="s">
        <v>1637</v>
      </c>
      <c r="M164" s="3" t="s">
        <v>1638</v>
      </c>
      <c r="N164" s="3" t="s">
        <v>1639</v>
      </c>
      <c r="O164" s="3">
        <v>2.0</v>
      </c>
    </row>
    <row r="165" ht="15.75" customHeight="1">
      <c r="A165" s="3" t="s">
        <v>738</v>
      </c>
      <c r="B165" s="3" t="s">
        <v>1640</v>
      </c>
      <c r="C165" s="3" t="s">
        <v>1641</v>
      </c>
      <c r="D165" s="3" t="s">
        <v>1642</v>
      </c>
      <c r="E165" s="3" t="str">
        <f>IFERROR(__xludf.DUMMYFUNCTION("GOOGLETRANSLATE($D165,""EN"",""RU"")")," Высокое напряжение")</f>
        <v> Высокое напряжение</v>
      </c>
      <c r="F165" s="3" t="s">
        <v>81</v>
      </c>
      <c r="G165" s="3" t="s">
        <v>1560</v>
      </c>
      <c r="H165" s="3" t="s">
        <v>223</v>
      </c>
      <c r="I165" s="3" t="s">
        <v>844</v>
      </c>
      <c r="J165" s="3" t="s">
        <v>588</v>
      </c>
      <c r="K165" s="3" t="s">
        <v>1643</v>
      </c>
      <c r="L165" s="3" t="s">
        <v>1644</v>
      </c>
      <c r="M165" s="3" t="s">
        <v>1645</v>
      </c>
      <c r="N165" s="3" t="s">
        <v>1646</v>
      </c>
      <c r="O165" s="3">
        <v>2.0</v>
      </c>
    </row>
    <row r="166" ht="15.75" customHeight="1">
      <c r="A166" s="3" t="s">
        <v>1647</v>
      </c>
      <c r="B166" s="3" t="s">
        <v>1648</v>
      </c>
      <c r="C166" s="3" t="s">
        <v>1649</v>
      </c>
      <c r="D166" s="3" t="s">
        <v>1650</v>
      </c>
      <c r="E166" s="3" t="str">
        <f>IFERROR(__xludf.DUMMYFUNCTION("GOOGLETRANSLATE($D166,""EN"",""RU"")")," Индекс, указывающий вверх")</f>
        <v> Индекс, указывающий вверх</v>
      </c>
      <c r="F166" s="3" t="s">
        <v>178</v>
      </c>
      <c r="G166" s="3" t="s">
        <v>1551</v>
      </c>
      <c r="H166" s="3" t="s">
        <v>607</v>
      </c>
      <c r="I166" s="3" t="s">
        <v>374</v>
      </c>
      <c r="J166" s="3" t="s">
        <v>600</v>
      </c>
      <c r="K166" s="3" t="s">
        <v>1651</v>
      </c>
      <c r="L166" s="3" t="s">
        <v>1652</v>
      </c>
      <c r="M166" s="3" t="s">
        <v>1653</v>
      </c>
      <c r="N166" s="3" t="s">
        <v>1654</v>
      </c>
      <c r="O166" s="3">
        <v>1.0</v>
      </c>
    </row>
    <row r="167" ht="15.75" customHeight="1">
      <c r="A167" s="3" t="s">
        <v>618</v>
      </c>
      <c r="B167" s="3" t="s">
        <v>1655</v>
      </c>
      <c r="C167" s="3" t="s">
        <v>1656</v>
      </c>
      <c r="D167" s="3" t="s">
        <v>1657</v>
      </c>
      <c r="E167" s="3" t="str">
        <f>IFERROR(__xludf.DUMMYFUNCTION("GOOGLETRANSLATE($D167,""EN"",""RU"")")," Сердце с лентой")</f>
        <v> Сердце с лентой</v>
      </c>
      <c r="F167" s="3" t="s">
        <v>32</v>
      </c>
      <c r="G167" s="3" t="s">
        <v>1076</v>
      </c>
      <c r="H167" s="3" t="s">
        <v>402</v>
      </c>
      <c r="I167" s="3" t="s">
        <v>162</v>
      </c>
      <c r="J167" s="3" t="s">
        <v>1121</v>
      </c>
      <c r="K167" s="3" t="s">
        <v>1658</v>
      </c>
      <c r="L167" s="3" t="s">
        <v>1659</v>
      </c>
      <c r="M167" s="3" t="s">
        <v>1660</v>
      </c>
      <c r="N167" s="3" t="s">
        <v>1661</v>
      </c>
      <c r="O167" s="3">
        <v>2.0</v>
      </c>
    </row>
    <row r="168" ht="15.75" customHeight="1">
      <c r="A168" s="3" t="s">
        <v>1240</v>
      </c>
      <c r="B168" s="3" t="s">
        <v>1662</v>
      </c>
      <c r="C168" s="3" t="s">
        <v>1663</v>
      </c>
      <c r="D168" s="3" t="s">
        <v>1664</v>
      </c>
      <c r="E168" s="3" t="str">
        <f>IFERROR(__xludf.DUMMYFUNCTION("GOOGLETRANSLATE($D168,""EN"",""RU"")")," Карандаш")</f>
        <v> Карандаш</v>
      </c>
      <c r="F168" s="3" t="s">
        <v>358</v>
      </c>
      <c r="G168" s="3" t="s">
        <v>1076</v>
      </c>
      <c r="H168" s="3" t="s">
        <v>295</v>
      </c>
      <c r="I168" s="3" t="s">
        <v>860</v>
      </c>
      <c r="J168" s="3" t="s">
        <v>633</v>
      </c>
      <c r="K168" s="3" t="s">
        <v>1665</v>
      </c>
      <c r="L168" s="3" t="s">
        <v>1666</v>
      </c>
      <c r="M168" s="3" t="s">
        <v>1667</v>
      </c>
      <c r="N168" s="3" t="s">
        <v>1668</v>
      </c>
      <c r="O168" s="3">
        <v>2.0</v>
      </c>
    </row>
    <row r="169" ht="15.75" customHeight="1">
      <c r="A169" s="3" t="s">
        <v>1669</v>
      </c>
      <c r="B169" s="3" t="s">
        <v>1670</v>
      </c>
      <c r="C169" s="3" t="s">
        <v>1671</v>
      </c>
      <c r="D169" s="3" t="s">
        <v>1672</v>
      </c>
      <c r="E169" s="3" t="str">
        <f>IFERROR(__xludf.DUMMYFUNCTION("GOOGLETRANSLATE($D169,""EN"",""RU"")")," Радуга")</f>
        <v> Радуга</v>
      </c>
      <c r="F169" s="3" t="s">
        <v>81</v>
      </c>
      <c r="G169" s="3" t="s">
        <v>1076</v>
      </c>
      <c r="H169" s="3" t="s">
        <v>426</v>
      </c>
      <c r="I169" s="3" t="s">
        <v>485</v>
      </c>
      <c r="J169" s="3" t="s">
        <v>883</v>
      </c>
      <c r="K169" s="3" t="s">
        <v>1673</v>
      </c>
      <c r="L169" s="3" t="s">
        <v>1674</v>
      </c>
      <c r="M169" s="3" t="s">
        <v>1675</v>
      </c>
      <c r="N169" s="3" t="s">
        <v>1676</v>
      </c>
      <c r="O169" s="3">
        <v>2.0</v>
      </c>
    </row>
    <row r="170" ht="15.75" customHeight="1">
      <c r="A170" s="3" t="s">
        <v>1268</v>
      </c>
      <c r="B170" s="3" t="s">
        <v>1677</v>
      </c>
      <c r="C170" s="3" t="s">
        <v>1678</v>
      </c>
      <c r="D170" s="3" t="s">
        <v>1679</v>
      </c>
      <c r="E170" s="3" t="str">
        <f>IFERROR(__xludf.DUMMYFUNCTION("GOOGLETRANSLATE($D170,""EN"",""RU"")")," Страшное лицо")</f>
        <v> Страшное лицо</v>
      </c>
      <c r="F170" s="3" t="s">
        <v>19</v>
      </c>
      <c r="G170" s="3" t="s">
        <v>965</v>
      </c>
      <c r="H170" s="3" t="s">
        <v>1460</v>
      </c>
      <c r="I170" s="3" t="s">
        <v>77</v>
      </c>
      <c r="J170" s="3" t="s">
        <v>53</v>
      </c>
      <c r="K170" s="3" t="s">
        <v>1680</v>
      </c>
      <c r="L170" s="3" t="s">
        <v>1681</v>
      </c>
      <c r="M170" s="3" t="s">
        <v>1682</v>
      </c>
      <c r="N170" s="3" t="s">
        <v>1683</v>
      </c>
      <c r="O170" s="3">
        <v>0.0</v>
      </c>
    </row>
    <row r="171" ht="15.75" customHeight="1">
      <c r="A171" s="3" t="s">
        <v>1321</v>
      </c>
      <c r="B171" s="3" t="s">
        <v>1684</v>
      </c>
      <c r="C171" s="3" t="s">
        <v>1685</v>
      </c>
      <c r="D171" s="3" t="s">
        <v>1686</v>
      </c>
      <c r="E171" s="3" t="str">
        <f>IFERROR(__xludf.DUMMYFUNCTION("GOOGLETRANSLATE($D171,""EN"",""RU"")")," Лягушачье лицо")</f>
        <v> Лягушачье лицо</v>
      </c>
      <c r="F171" s="3" t="s">
        <v>81</v>
      </c>
      <c r="G171" s="3" t="s">
        <v>1465</v>
      </c>
      <c r="H171" s="3" t="s">
        <v>571</v>
      </c>
      <c r="I171" s="3" t="s">
        <v>150</v>
      </c>
      <c r="J171" s="3" t="s">
        <v>402</v>
      </c>
      <c r="K171" s="3" t="s">
        <v>1687</v>
      </c>
      <c r="L171" s="3" t="s">
        <v>1688</v>
      </c>
      <c r="M171" s="3" t="s">
        <v>1689</v>
      </c>
      <c r="N171" s="3" t="s">
        <v>1690</v>
      </c>
      <c r="O171" s="3">
        <v>0.0</v>
      </c>
    </row>
    <row r="172" ht="15.75" customHeight="1">
      <c r="A172" s="3" t="s">
        <v>288</v>
      </c>
      <c r="B172" s="3" t="s">
        <v>1691</v>
      </c>
      <c r="C172" s="3" t="s">
        <v>1692</v>
      </c>
      <c r="D172" s="3" t="s">
        <v>1693</v>
      </c>
      <c r="E172" s="3" t="str">
        <f>IFERROR(__xludf.DUMMYFUNCTION("GOOGLETRANSLATE($D172,""EN"",""RU"")")," Скрипка")</f>
        <v> Скрипка</v>
      </c>
      <c r="F172" s="3" t="s">
        <v>358</v>
      </c>
      <c r="G172" s="3" t="s">
        <v>706</v>
      </c>
      <c r="H172" s="3" t="s">
        <v>235</v>
      </c>
      <c r="I172" s="3" t="s">
        <v>247</v>
      </c>
      <c r="J172" s="3" t="s">
        <v>1172</v>
      </c>
      <c r="K172" s="3" t="s">
        <v>1694</v>
      </c>
      <c r="L172" s="3" t="s">
        <v>1695</v>
      </c>
      <c r="M172" s="3" t="s">
        <v>1696</v>
      </c>
      <c r="N172" s="3" t="s">
        <v>1697</v>
      </c>
      <c r="O172" s="3">
        <v>2.0</v>
      </c>
    </row>
    <row r="173" ht="15.75" customHeight="1">
      <c r="A173" s="3" t="s">
        <v>1517</v>
      </c>
      <c r="B173" s="3" t="s">
        <v>1698</v>
      </c>
      <c r="C173" s="3" t="s">
        <v>1699</v>
      </c>
      <c r="D173" s="3" t="s">
        <v>1700</v>
      </c>
      <c r="E173" s="3" t="str">
        <f>IFERROR(__xludf.DUMMYFUNCTION("GOOGLETRANSLATE($D173,""EN"",""RU"")")," Удивленное лицо")</f>
        <v> Удивленное лицо</v>
      </c>
      <c r="F173" s="3" t="s">
        <v>19</v>
      </c>
      <c r="G173" s="3" t="s">
        <v>706</v>
      </c>
      <c r="H173" s="3" t="s">
        <v>1273</v>
      </c>
      <c r="I173" s="3" t="s">
        <v>150</v>
      </c>
      <c r="J173" s="3" t="s">
        <v>199</v>
      </c>
      <c r="K173" s="3" t="s">
        <v>1701</v>
      </c>
      <c r="L173" s="3" t="s">
        <v>1702</v>
      </c>
      <c r="M173" s="3" t="s">
        <v>1703</v>
      </c>
      <c r="N173" s="3" t="s">
        <v>1704</v>
      </c>
      <c r="O173" s="3">
        <v>0.0</v>
      </c>
    </row>
    <row r="174" ht="15.75" customHeight="1">
      <c r="A174" s="3" t="s">
        <v>252</v>
      </c>
      <c r="B174" s="3" t="s">
        <v>1705</v>
      </c>
      <c r="C174" s="3" t="s">
        <v>1706</v>
      </c>
      <c r="D174" s="3" t="s">
        <v>1707</v>
      </c>
      <c r="E174" s="3" t="str">
        <f>IFERROR(__xludf.DUMMYFUNCTION("GOOGLETRANSLATE($D174,""EN"",""RU"")")," Кинокамера")</f>
        <v> Кинокамера</v>
      </c>
      <c r="F174" s="3" t="s">
        <v>358</v>
      </c>
      <c r="G174" s="3" t="s">
        <v>1491</v>
      </c>
      <c r="H174" s="3" t="s">
        <v>162</v>
      </c>
      <c r="I174" s="3" t="s">
        <v>717</v>
      </c>
      <c r="J174" s="3" t="s">
        <v>473</v>
      </c>
      <c r="K174" s="3" t="s">
        <v>1708</v>
      </c>
      <c r="L174" s="3" t="s">
        <v>1709</v>
      </c>
      <c r="M174" s="3" t="s">
        <v>1710</v>
      </c>
      <c r="N174" s="3" t="s">
        <v>1711</v>
      </c>
      <c r="O174" s="3">
        <v>2.0</v>
      </c>
    </row>
    <row r="175" ht="15.75" customHeight="1">
      <c r="A175" s="3" t="s">
        <v>502</v>
      </c>
      <c r="B175" s="3" t="s">
        <v>1712</v>
      </c>
      <c r="C175" s="3" t="s">
        <v>1713</v>
      </c>
      <c r="D175" s="3" t="s">
        <v>1714</v>
      </c>
      <c r="E175" s="3" t="str">
        <f>IFERROR(__xludf.DUMMYFUNCTION("GOOGLETRANSLATE($D175,""EN"",""RU"")")," Тяжелое сердечное восклицание")</f>
        <v> Тяжелое сердечное восклицание</v>
      </c>
      <c r="F175" s="3" t="s">
        <v>32</v>
      </c>
      <c r="G175" s="3" t="s">
        <v>1444</v>
      </c>
      <c r="H175" s="3" t="s">
        <v>402</v>
      </c>
      <c r="I175" s="3" t="s">
        <v>485</v>
      </c>
      <c r="J175" s="3" t="s">
        <v>525</v>
      </c>
      <c r="K175" s="3" t="s">
        <v>1715</v>
      </c>
      <c r="L175" s="3" t="s">
        <v>1716</v>
      </c>
      <c r="M175" s="3" t="s">
        <v>1717</v>
      </c>
      <c r="N175" s="3" t="s">
        <v>1718</v>
      </c>
      <c r="O175" s="3">
        <v>2.0</v>
      </c>
    </row>
    <row r="176" ht="15.75" customHeight="1">
      <c r="A176" s="3" t="s">
        <v>833</v>
      </c>
      <c r="B176" s="3" t="s">
        <v>1719</v>
      </c>
      <c r="C176" s="3" t="s">
        <v>1720</v>
      </c>
      <c r="D176" s="3" t="s">
        <v>1721</v>
      </c>
      <c r="E176" s="3" t="str">
        <f>IFERROR(__xludf.DUMMYFUNCTION("GOOGLETRANSLATE($D176,""EN"",""RU"")")," Человек, поднимающий руку")</f>
        <v> Человек, поднимающий руку</v>
      </c>
      <c r="F176" s="3" t="s">
        <v>178</v>
      </c>
      <c r="G176" s="3" t="s">
        <v>1018</v>
      </c>
      <c r="H176" s="3" t="s">
        <v>319</v>
      </c>
      <c r="I176" s="3" t="s">
        <v>367</v>
      </c>
      <c r="J176" s="3" t="s">
        <v>883</v>
      </c>
      <c r="K176" s="3" t="s">
        <v>940</v>
      </c>
      <c r="L176" s="3" t="s">
        <v>1722</v>
      </c>
      <c r="M176" s="3" t="s">
        <v>1723</v>
      </c>
      <c r="N176" s="3" t="s">
        <v>1724</v>
      </c>
      <c r="O176" s="3">
        <v>2.0</v>
      </c>
    </row>
    <row r="177" ht="15.75" customHeight="1">
      <c r="A177" s="3" t="s">
        <v>455</v>
      </c>
      <c r="B177" s="3" t="s">
        <v>1725</v>
      </c>
      <c r="C177" s="3" t="s">
        <v>1726</v>
      </c>
      <c r="D177" s="3" t="s">
        <v>1727</v>
      </c>
      <c r="E177" s="3" t="str">
        <f>IFERROR(__xludf.DUMMYFUNCTION("GOOGLETRANSLATE($D177,""EN"",""RU"")")," Указательный знак слева направлен вправо")</f>
        <v> Указательный знак слева направлен вправо</v>
      </c>
      <c r="F177" s="3" t="s">
        <v>178</v>
      </c>
      <c r="G177" s="3" t="s">
        <v>443</v>
      </c>
      <c r="H177" s="3" t="s">
        <v>497</v>
      </c>
      <c r="I177" s="3" t="s">
        <v>612</v>
      </c>
      <c r="J177" s="3" t="s">
        <v>449</v>
      </c>
      <c r="K177" s="3" t="s">
        <v>1527</v>
      </c>
      <c r="L177" s="3" t="s">
        <v>1728</v>
      </c>
      <c r="M177" s="3" t="s">
        <v>1729</v>
      </c>
      <c r="N177" s="3" t="s">
        <v>1730</v>
      </c>
      <c r="O177" s="3">
        <v>1.0</v>
      </c>
    </row>
    <row r="178" ht="15.75" customHeight="1">
      <c r="A178" s="3" t="s">
        <v>1731</v>
      </c>
      <c r="B178" s="3" t="s">
        <v>1732</v>
      </c>
      <c r="C178" s="3" t="s">
        <v>1733</v>
      </c>
      <c r="D178" s="3" t="s">
        <v>1734</v>
      </c>
      <c r="E178" s="3" t="str">
        <f>IFERROR(__xludf.DUMMYFUNCTION("GOOGLETRANSLATE($D178,""EN"",""RU"")")," Сердце Украшение")</f>
        <v> Сердце Украшение</v>
      </c>
      <c r="F178" s="3" t="s">
        <v>32</v>
      </c>
      <c r="G178" s="3" t="s">
        <v>651</v>
      </c>
      <c r="H178" s="3" t="s">
        <v>126</v>
      </c>
      <c r="I178" s="3" t="s">
        <v>461</v>
      </c>
      <c r="J178" s="3" t="s">
        <v>922</v>
      </c>
      <c r="K178" s="3" t="s">
        <v>1735</v>
      </c>
      <c r="L178" s="3" t="s">
        <v>1736</v>
      </c>
      <c r="M178" s="3" t="s">
        <v>1737</v>
      </c>
      <c r="N178" s="3" t="s">
        <v>1738</v>
      </c>
      <c r="O178" s="3">
        <v>2.0</v>
      </c>
    </row>
    <row r="179" ht="15.75" customHeight="1">
      <c r="A179" s="3" t="s">
        <v>1555</v>
      </c>
      <c r="B179" s="3" t="s">
        <v>1739</v>
      </c>
      <c r="C179" s="3" t="s">
        <v>1740</v>
      </c>
      <c r="D179" s="3" t="s">
        <v>1741</v>
      </c>
      <c r="E179" s="3" t="str">
        <f>IFERROR(__xludf.DUMMYFUNCTION("GOOGLETRANSLATE($D179,""EN"",""RU"")")," Ухмыляющаяся кошачья морда")</f>
        <v> Ухмыляющаяся кошачья морда</v>
      </c>
      <c r="F179" s="3" t="s">
        <v>19</v>
      </c>
      <c r="G179" s="3" t="s">
        <v>1353</v>
      </c>
      <c r="H179" s="3" t="s">
        <v>259</v>
      </c>
      <c r="I179" s="3" t="s">
        <v>787</v>
      </c>
      <c r="J179" s="3" t="s">
        <v>473</v>
      </c>
      <c r="K179" s="3" t="s">
        <v>1742</v>
      </c>
      <c r="L179" s="3" t="s">
        <v>1743</v>
      </c>
      <c r="M179" s="3" t="s">
        <v>1744</v>
      </c>
      <c r="N179" s="3" t="s">
        <v>1745</v>
      </c>
      <c r="O179" s="3">
        <v>2.0</v>
      </c>
    </row>
    <row r="180" ht="15.75" customHeight="1">
      <c r="A180" s="3" t="s">
        <v>878</v>
      </c>
      <c r="B180" s="3" t="s">
        <v>1746</v>
      </c>
      <c r="C180" s="3" t="s">
        <v>1747</v>
      </c>
      <c r="D180" s="3" t="s">
        <v>1748</v>
      </c>
      <c r="E180" s="3" t="str">
        <f>IFERROR(__xludf.DUMMYFUNCTION("GOOGLETRANSLATE($D180,""EN"",""RU"")")," Упакованный подарок")</f>
        <v> Упакованный подарок</v>
      </c>
      <c r="F180" s="3" t="s">
        <v>358</v>
      </c>
      <c r="G180" s="3" t="s">
        <v>1353</v>
      </c>
      <c r="H180" s="3" t="s">
        <v>53</v>
      </c>
      <c r="I180" s="3" t="s">
        <v>330</v>
      </c>
      <c r="J180" s="3" t="s">
        <v>1071</v>
      </c>
      <c r="K180" s="3" t="s">
        <v>1440</v>
      </c>
      <c r="L180" s="3" t="s">
        <v>1749</v>
      </c>
      <c r="M180" s="3" t="s">
        <v>1750</v>
      </c>
      <c r="N180" s="3" t="s">
        <v>1751</v>
      </c>
      <c r="O180" s="3">
        <v>2.0</v>
      </c>
    </row>
    <row r="181" ht="15.75" customHeight="1">
      <c r="A181" s="3" t="s">
        <v>1752</v>
      </c>
      <c r="B181" s="3" t="s">
        <v>1753</v>
      </c>
      <c r="C181" s="3" t="s">
        <v>1754</v>
      </c>
      <c r="D181" s="3" t="s">
        <v>1755</v>
      </c>
      <c r="E181" s="3" t="str">
        <f>IFERROR(__xludf.DUMMYFUNCTION("GOOGLETRANSLATE($D181,""EN"",""RU"")")," Пицца")</f>
        <v> Пицца</v>
      </c>
      <c r="F181" s="3" t="s">
        <v>1510</v>
      </c>
      <c r="G181" s="3" t="s">
        <v>1335</v>
      </c>
      <c r="H181" s="3" t="s">
        <v>295</v>
      </c>
      <c r="I181" s="3" t="s">
        <v>497</v>
      </c>
      <c r="J181" s="3" t="s">
        <v>712</v>
      </c>
      <c r="K181" s="3" t="s">
        <v>1756</v>
      </c>
      <c r="L181" s="3" t="s">
        <v>1757</v>
      </c>
      <c r="M181" s="3" t="s">
        <v>1758</v>
      </c>
      <c r="N181" s="3" t="s">
        <v>1759</v>
      </c>
      <c r="O181" s="3">
        <v>2.0</v>
      </c>
    </row>
    <row r="182" ht="15.75" customHeight="1">
      <c r="A182" s="3" t="s">
        <v>1760</v>
      </c>
      <c r="B182" s="3" t="s">
        <v>1761</v>
      </c>
      <c r="C182" s="3" t="s">
        <v>1762</v>
      </c>
      <c r="D182" s="3" t="s">
        <v>1763</v>
      </c>
      <c r="E182" s="3" t="str">
        <f>IFERROR(__xludf.DUMMYFUNCTION("GOOGLETRANSLATE($D182,""EN"",""RU"")")," Человек жестикулирует ОК")</f>
        <v> Человек жестикулирует ОК</v>
      </c>
      <c r="F182" s="3" t="s">
        <v>178</v>
      </c>
      <c r="G182" s="3" t="s">
        <v>1326</v>
      </c>
      <c r="H182" s="3" t="s">
        <v>526</v>
      </c>
      <c r="I182" s="3" t="s">
        <v>199</v>
      </c>
      <c r="J182" s="3" t="s">
        <v>723</v>
      </c>
      <c r="K182" s="3" t="s">
        <v>1764</v>
      </c>
      <c r="L182" s="3" t="s">
        <v>1765</v>
      </c>
      <c r="M182" s="3" t="s">
        <v>1766</v>
      </c>
      <c r="N182" s="3" t="s">
        <v>1767</v>
      </c>
      <c r="O182" s="3">
        <v>2.0</v>
      </c>
    </row>
    <row r="183" ht="15.75" customHeight="1">
      <c r="A183" s="3" t="s">
        <v>572</v>
      </c>
      <c r="B183" s="3" t="s">
        <v>1768</v>
      </c>
      <c r="C183" s="3" t="s">
        <v>1769</v>
      </c>
      <c r="D183" s="3" t="s">
        <v>1770</v>
      </c>
      <c r="E183" s="3" t="str">
        <f>IFERROR(__xludf.DUMMYFUNCTION("GOOGLETRANSLATE($D183,""EN"",""RU"")")," Маленький Голубой Бриллиант")</f>
        <v> Маленький Голубой Бриллиант</v>
      </c>
      <c r="F183" s="3" t="s">
        <v>637</v>
      </c>
      <c r="G183" s="3" t="s">
        <v>581</v>
      </c>
      <c r="H183" s="3" t="s">
        <v>211</v>
      </c>
      <c r="I183" s="3" t="s">
        <v>922</v>
      </c>
      <c r="J183" s="3" t="s">
        <v>319</v>
      </c>
      <c r="K183" s="3" t="s">
        <v>1601</v>
      </c>
      <c r="L183" s="3" t="s">
        <v>1771</v>
      </c>
      <c r="M183" s="3" t="s">
        <v>1772</v>
      </c>
      <c r="N183" s="3" t="s">
        <v>1773</v>
      </c>
      <c r="O183" s="3">
        <v>2.0</v>
      </c>
    </row>
    <row r="184" ht="15.75" customHeight="1">
      <c r="A184" s="3" t="s">
        <v>479</v>
      </c>
      <c r="B184" s="3" t="s">
        <v>1774</v>
      </c>
      <c r="C184" s="3" t="s">
        <v>1775</v>
      </c>
      <c r="D184" s="3" t="s">
        <v>1776</v>
      </c>
      <c r="E184" s="3" t="str">
        <f>IFERROR(__xludf.DUMMYFUNCTION("GOOGLETRANSLATE($D184,""EN"",""RU"")")," Конфетти шар")</f>
        <v> Конфетти шар</v>
      </c>
      <c r="F184" s="3" t="s">
        <v>358</v>
      </c>
      <c r="G184" s="3" t="s">
        <v>751</v>
      </c>
      <c r="H184" s="3" t="s">
        <v>235</v>
      </c>
      <c r="I184" s="3" t="s">
        <v>187</v>
      </c>
      <c r="J184" s="3" t="s">
        <v>844</v>
      </c>
      <c r="K184" s="3" t="s">
        <v>1777</v>
      </c>
      <c r="L184" s="3" t="s">
        <v>1778</v>
      </c>
      <c r="M184" s="3" t="s">
        <v>1779</v>
      </c>
      <c r="N184" s="3" t="s">
        <v>1780</v>
      </c>
      <c r="O184" s="3">
        <v>2.0</v>
      </c>
    </row>
    <row r="185" ht="15.75" customHeight="1">
      <c r="A185" s="3" t="s">
        <v>312</v>
      </c>
      <c r="B185" s="3" t="s">
        <v>1781</v>
      </c>
      <c r="C185" s="3" t="s">
        <v>1782</v>
      </c>
      <c r="D185" s="3" t="s">
        <v>1783</v>
      </c>
      <c r="E185" s="3" t="str">
        <f>IFERROR(__xludf.DUMMYFUNCTION("GOOGLETRANSLATE($D185,""EN"",""RU"")")," Маленький оранжевый бриллиант")</f>
        <v> Маленький оранжевый бриллиант</v>
      </c>
      <c r="F185" s="3" t="s">
        <v>637</v>
      </c>
      <c r="G185" s="3" t="s">
        <v>751</v>
      </c>
      <c r="H185" s="3" t="s">
        <v>150</v>
      </c>
      <c r="I185" s="3" t="s">
        <v>514</v>
      </c>
      <c r="J185" s="3" t="s">
        <v>259</v>
      </c>
      <c r="K185" s="3" t="s">
        <v>1784</v>
      </c>
      <c r="L185" s="3" t="s">
        <v>1785</v>
      </c>
      <c r="M185" s="3" t="s">
        <v>1786</v>
      </c>
      <c r="N185" s="3" t="s">
        <v>1787</v>
      </c>
      <c r="O185" s="3">
        <v>2.0</v>
      </c>
    </row>
    <row r="186" ht="15.75" customHeight="1">
      <c r="A186" s="3" t="s">
        <v>289</v>
      </c>
      <c r="B186" s="3" t="s">
        <v>1788</v>
      </c>
      <c r="C186" s="3" t="s">
        <v>1789</v>
      </c>
      <c r="D186" s="3" t="s">
        <v>1790</v>
      </c>
      <c r="E186" s="3" t="str">
        <f>IFERROR(__xludf.DUMMYFUNCTION("GOOGLETRANSLATE($D186,""EN"",""RU"")")," Самолет")</f>
        <v> Самолет</v>
      </c>
      <c r="F186" s="3" t="s">
        <v>358</v>
      </c>
      <c r="G186" s="3" t="s">
        <v>1273</v>
      </c>
      <c r="H186" s="3" t="s">
        <v>271</v>
      </c>
      <c r="I186" s="3" t="s">
        <v>600</v>
      </c>
      <c r="J186" s="3" t="s">
        <v>555</v>
      </c>
      <c r="K186" s="3" t="s">
        <v>1791</v>
      </c>
      <c r="L186" s="3" t="s">
        <v>1792</v>
      </c>
      <c r="M186" s="3" t="s">
        <v>1793</v>
      </c>
      <c r="N186" s="3" t="s">
        <v>1794</v>
      </c>
      <c r="O186" s="3">
        <v>2.0</v>
      </c>
    </row>
    <row r="187" ht="15.75" customHeight="1">
      <c r="A187" s="3" t="s">
        <v>1305</v>
      </c>
      <c r="B187" s="3" t="s">
        <v>1795</v>
      </c>
      <c r="C187" s="3" t="s">
        <v>1796</v>
      </c>
      <c r="D187" s="3" t="s">
        <v>1797</v>
      </c>
      <c r="E187" s="3" t="str">
        <f>IFERROR(__xludf.DUMMYFUNCTION("GOOGLETRANSLATE($D187,""EN"",""RU"")")," Кувейт")</f>
        <v> Кувейт</v>
      </c>
      <c r="F187" s="3" t="s">
        <v>559</v>
      </c>
      <c r="G187" s="3" t="s">
        <v>1263</v>
      </c>
      <c r="H187" s="3" t="s">
        <v>354</v>
      </c>
      <c r="I187" s="3" t="s">
        <v>330</v>
      </c>
      <c r="J187" s="3" t="s">
        <v>723</v>
      </c>
      <c r="K187" s="3" t="s">
        <v>1798</v>
      </c>
      <c r="L187" s="3" t="s">
        <v>1512</v>
      </c>
      <c r="M187" s="3" t="s">
        <v>1799</v>
      </c>
      <c r="N187" s="3" t="s">
        <v>1800</v>
      </c>
      <c r="O187" s="3">
        <v>2.0</v>
      </c>
    </row>
    <row r="188" ht="15.75" customHeight="1">
      <c r="A188" s="3" t="s">
        <v>772</v>
      </c>
      <c r="B188" s="3" t="s">
        <v>1801</v>
      </c>
      <c r="C188" s="3" t="s">
        <v>1802</v>
      </c>
      <c r="D188" s="3" t="s">
        <v>1803</v>
      </c>
      <c r="E188" s="3" t="str">
        <f>IFERROR(__xludf.DUMMYFUNCTION("GOOGLETRANSLATE($D188,""EN"",""RU"")")," Тяжелый большой круг")</f>
        <v> Тяжелый большой круг</v>
      </c>
      <c r="F188" s="3" t="s">
        <v>637</v>
      </c>
      <c r="G188" s="3" t="s">
        <v>1245</v>
      </c>
      <c r="H188" s="3" t="s">
        <v>199</v>
      </c>
      <c r="I188" s="3" t="s">
        <v>860</v>
      </c>
      <c r="J188" s="3" t="s">
        <v>307</v>
      </c>
      <c r="K188" s="3" t="s">
        <v>1804</v>
      </c>
      <c r="L188" s="3" t="s">
        <v>1805</v>
      </c>
      <c r="M188" s="3" t="s">
        <v>1806</v>
      </c>
      <c r="N188" s="3" t="s">
        <v>1807</v>
      </c>
      <c r="O188" s="3">
        <v>2.0</v>
      </c>
    </row>
    <row r="189" ht="15.75" customHeight="1">
      <c r="A189" s="3" t="s">
        <v>1532</v>
      </c>
      <c r="B189" s="3" t="s">
        <v>1808</v>
      </c>
      <c r="C189" s="3" t="s">
        <v>1809</v>
      </c>
      <c r="D189" s="3" t="s">
        <v>1810</v>
      </c>
      <c r="E189" s="3" t="str">
        <f>IFERROR(__xludf.DUMMYFUNCTION("GOOGLETRANSLATE($D189,""EN"",""RU"")")," Лицо Полной Луны")</f>
        <v> Лицо Полной Луны</v>
      </c>
      <c r="F189" s="3" t="s">
        <v>19</v>
      </c>
      <c r="G189" s="3" t="s">
        <v>1245</v>
      </c>
      <c r="H189" s="3" t="s">
        <v>623</v>
      </c>
      <c r="I189" s="3" t="s">
        <v>102</v>
      </c>
      <c r="J189" s="3" t="s">
        <v>657</v>
      </c>
      <c r="K189" s="3" t="s">
        <v>1811</v>
      </c>
      <c r="L189" s="3" t="s">
        <v>1812</v>
      </c>
      <c r="M189" s="3" t="s">
        <v>1813</v>
      </c>
      <c r="N189" s="3" t="s">
        <v>1814</v>
      </c>
      <c r="O189" s="3">
        <v>1.0</v>
      </c>
    </row>
    <row r="190" ht="15.75" customHeight="1">
      <c r="A190" s="3" t="s">
        <v>1815</v>
      </c>
      <c r="B190" s="3" t="s">
        <v>1816</v>
      </c>
      <c r="C190" s="3" t="s">
        <v>1817</v>
      </c>
      <c r="D190" s="3" t="s">
        <v>1818</v>
      </c>
      <c r="E190" s="3" t="str">
        <f>IFERROR(__xludf.DUMMYFUNCTION("GOOGLETRANSLATE($D190,""EN"",""RU"")")," Объединенные Арабские Эмираты")</f>
        <v> Объединенные Арабские Эмираты</v>
      </c>
      <c r="F190" s="3" t="s">
        <v>559</v>
      </c>
      <c r="G190" s="3" t="s">
        <v>1132</v>
      </c>
      <c r="H190" s="3" t="s">
        <v>330</v>
      </c>
      <c r="I190" s="3" t="s">
        <v>319</v>
      </c>
      <c r="J190" s="3" t="s">
        <v>700</v>
      </c>
      <c r="K190" s="3" t="s">
        <v>1819</v>
      </c>
      <c r="L190" s="3" t="s">
        <v>1820</v>
      </c>
      <c r="M190" s="3" t="s">
        <v>1821</v>
      </c>
      <c r="N190" s="3" t="s">
        <v>1822</v>
      </c>
      <c r="O190" s="3">
        <v>2.0</v>
      </c>
    </row>
    <row r="191" ht="15.75" customHeight="1">
      <c r="A191" s="3" t="s">
        <v>1373</v>
      </c>
      <c r="B191" s="3" t="s">
        <v>1823</v>
      </c>
      <c r="C191" s="3" t="s">
        <v>1824</v>
      </c>
      <c r="D191" s="3" t="s">
        <v>1825</v>
      </c>
      <c r="E191" s="3" t="str">
        <f>IFERROR(__xludf.DUMMYFUNCTION("GOOGLETRANSLATE($D191,""EN"",""RU"")")," Чихающее Лицо")</f>
        <v> Чихающее Лицо</v>
      </c>
      <c r="F191" s="3" t="s">
        <v>19</v>
      </c>
      <c r="G191" s="3" t="s">
        <v>1132</v>
      </c>
      <c r="H191" s="3" t="s">
        <v>756</v>
      </c>
      <c r="I191" s="3" t="s">
        <v>259</v>
      </c>
      <c r="J191" s="3" t="s">
        <v>330</v>
      </c>
      <c r="K191" s="3" t="s">
        <v>1826</v>
      </c>
      <c r="L191" s="3" t="s">
        <v>1827</v>
      </c>
      <c r="M191" s="3" t="s">
        <v>1819</v>
      </c>
      <c r="N191" s="3" t="s">
        <v>1828</v>
      </c>
      <c r="O191" s="3">
        <v>0.0</v>
      </c>
    </row>
    <row r="192" ht="15.75" customHeight="1">
      <c r="A192" s="3" t="s">
        <v>1829</v>
      </c>
      <c r="B192" s="3" t="s">
        <v>1830</v>
      </c>
      <c r="C192" s="3" t="s">
        <v>1831</v>
      </c>
      <c r="D192" s="3" t="s">
        <v>1832</v>
      </c>
      <c r="E192" s="3" t="str">
        <f>IFERROR(__xludf.DUMMYFUNCTION("GOOGLETRANSLATE($D192,""EN"",""RU"")")," Рукопожатие")</f>
        <v> Рукопожатие</v>
      </c>
      <c r="F192" s="3" t="s">
        <v>178</v>
      </c>
      <c r="G192" s="3" t="s">
        <v>1132</v>
      </c>
      <c r="H192" s="3" t="s">
        <v>391</v>
      </c>
      <c r="I192" s="3" t="s">
        <v>295</v>
      </c>
      <c r="J192" s="3" t="s">
        <v>606</v>
      </c>
      <c r="K192" s="3" t="s">
        <v>1833</v>
      </c>
      <c r="L192" s="3" t="s">
        <v>1834</v>
      </c>
      <c r="M192" s="3" t="s">
        <v>1835</v>
      </c>
      <c r="N192" s="3" t="s">
        <v>1836</v>
      </c>
      <c r="O192" s="3">
        <v>2.0</v>
      </c>
    </row>
    <row r="193" ht="15.75" customHeight="1">
      <c r="A193" s="3" t="s">
        <v>1837</v>
      </c>
      <c r="B193" s="3" t="s">
        <v>1838</v>
      </c>
      <c r="C193" s="3" t="s">
        <v>1839</v>
      </c>
      <c r="D193" s="3" t="s">
        <v>1840</v>
      </c>
      <c r="E193" s="3" t="str">
        <f>IFERROR(__xludf.DUMMYFUNCTION("GOOGLETRANSLATE($D193,""EN"",""RU"")")," Приглушенное лицо")</f>
        <v> Приглушенное лицо</v>
      </c>
      <c r="F193" s="3" t="s">
        <v>19</v>
      </c>
      <c r="G193" s="3" t="s">
        <v>1142</v>
      </c>
      <c r="H193" s="3" t="s">
        <v>555</v>
      </c>
      <c r="I193" s="3" t="s">
        <v>354</v>
      </c>
      <c r="J193" s="3" t="s">
        <v>438</v>
      </c>
      <c r="K193" s="3" t="s">
        <v>1841</v>
      </c>
      <c r="L193" s="3" t="s">
        <v>1842</v>
      </c>
      <c r="M193" s="3" t="s">
        <v>1843</v>
      </c>
      <c r="N193" s="3" t="s">
        <v>1844</v>
      </c>
      <c r="O193" s="3">
        <v>0.0</v>
      </c>
    </row>
    <row r="194" ht="15.75" customHeight="1">
      <c r="A194" s="3" t="s">
        <v>793</v>
      </c>
      <c r="B194" s="3" t="s">
        <v>1845</v>
      </c>
      <c r="C194" s="3" t="s">
        <v>1846</v>
      </c>
      <c r="D194" s="3" t="s">
        <v>1847</v>
      </c>
      <c r="E194" s="3" t="str">
        <f>IFERROR(__xludf.DUMMYFUNCTION("GOOGLETRANSLATE($D194,""EN"",""RU"")")," Памятка")</f>
        <v> Памятка</v>
      </c>
      <c r="F194" s="3" t="s">
        <v>358</v>
      </c>
      <c r="G194" s="3" t="s">
        <v>1200</v>
      </c>
      <c r="H194" s="3" t="s">
        <v>283</v>
      </c>
      <c r="I194" s="3" t="s">
        <v>374</v>
      </c>
      <c r="J194" s="3" t="s">
        <v>473</v>
      </c>
      <c r="K194" s="3" t="s">
        <v>1848</v>
      </c>
      <c r="L194" s="3" t="s">
        <v>1849</v>
      </c>
      <c r="M194" s="3" t="s">
        <v>1850</v>
      </c>
      <c r="N194" s="3" t="s">
        <v>1851</v>
      </c>
      <c r="O194" s="3">
        <v>2.0</v>
      </c>
    </row>
    <row r="195" ht="15.75" customHeight="1">
      <c r="A195" s="3" t="s">
        <v>983</v>
      </c>
      <c r="B195" s="3" t="s">
        <v>1852</v>
      </c>
      <c r="C195" s="3" t="s">
        <v>1853</v>
      </c>
      <c r="D195" s="3" t="s">
        <v>1854</v>
      </c>
      <c r="E195" s="3" t="str">
        <f>IFERROR(__xludf.DUMMYFUNCTION("GOOGLETRANSLATE($D195,""EN"",""RU"")")," Череп")</f>
        <v> Череп</v>
      </c>
      <c r="F195" s="3" t="s">
        <v>19</v>
      </c>
      <c r="G195" s="3" t="s">
        <v>1191</v>
      </c>
      <c r="H195" s="3" t="s">
        <v>815</v>
      </c>
      <c r="I195" s="3" t="s">
        <v>138</v>
      </c>
      <c r="J195" s="3" t="s">
        <v>187</v>
      </c>
      <c r="K195" s="3" t="s">
        <v>1855</v>
      </c>
      <c r="L195" s="3" t="s">
        <v>1856</v>
      </c>
      <c r="M195" s="3" t="s">
        <v>1601</v>
      </c>
      <c r="N195" s="3" t="s">
        <v>1857</v>
      </c>
      <c r="O195" s="3">
        <v>0.0</v>
      </c>
    </row>
    <row r="196" ht="15.75" customHeight="1">
      <c r="A196" s="3" t="s">
        <v>1133</v>
      </c>
      <c r="B196" s="3" t="s">
        <v>1858</v>
      </c>
      <c r="C196" s="3" t="s">
        <v>1859</v>
      </c>
      <c r="D196" s="3" t="s">
        <v>1860</v>
      </c>
      <c r="E196" s="3" t="str">
        <f>IFERROR(__xludf.DUMMYFUNCTION("GOOGLETRANSLATE($D196,""EN"",""RU"")")," Указатель наотмашь, направленный вверх")</f>
        <v> Указатель наотмашь, направленный вверх</v>
      </c>
      <c r="F196" s="3" t="s">
        <v>178</v>
      </c>
      <c r="G196" s="3" t="s">
        <v>1172</v>
      </c>
      <c r="H196" s="3" t="s">
        <v>485</v>
      </c>
      <c r="I196" s="3" t="s">
        <v>485</v>
      </c>
      <c r="J196" s="3" t="s">
        <v>330</v>
      </c>
      <c r="K196" s="3" t="s">
        <v>1861</v>
      </c>
      <c r="L196" s="3" t="s">
        <v>1861</v>
      </c>
      <c r="M196" s="3" t="s">
        <v>1862</v>
      </c>
      <c r="N196" s="3" t="s">
        <v>1863</v>
      </c>
      <c r="O196" s="3">
        <v>0.0</v>
      </c>
    </row>
    <row r="197" ht="15.75" customHeight="1">
      <c r="A197" s="3" t="s">
        <v>407</v>
      </c>
      <c r="B197" s="3" t="s">
        <v>1864</v>
      </c>
      <c r="C197" s="3" t="s">
        <v>1865</v>
      </c>
      <c r="D197" s="3" t="s">
        <v>1866</v>
      </c>
      <c r="E197" s="3" t="str">
        <f>IFERROR(__xludf.DUMMYFUNCTION("GOOGLETRANSLATE($D197,""EN"",""RU"")")," Вечнозеленое дерево")</f>
        <v> Вечнозеленое дерево</v>
      </c>
      <c r="F197" s="3" t="s">
        <v>81</v>
      </c>
      <c r="G197" s="3" t="s">
        <v>662</v>
      </c>
      <c r="H197" s="3" t="s">
        <v>28</v>
      </c>
      <c r="I197" s="3" t="s">
        <v>688</v>
      </c>
      <c r="J197" s="3" t="s">
        <v>555</v>
      </c>
      <c r="K197" s="3" t="s">
        <v>1867</v>
      </c>
      <c r="L197" s="3" t="s">
        <v>1868</v>
      </c>
      <c r="M197" s="3" t="s">
        <v>1869</v>
      </c>
      <c r="N197" s="3" t="s">
        <v>1870</v>
      </c>
      <c r="O197" s="3">
        <v>2.0</v>
      </c>
    </row>
    <row r="198" ht="15.75" customHeight="1">
      <c r="A198" s="3" t="s">
        <v>1287</v>
      </c>
      <c r="B198" s="3" t="s">
        <v>1871</v>
      </c>
      <c r="C198" s="3" t="s">
        <v>1872</v>
      </c>
      <c r="D198" s="3" t="s">
        <v>1873</v>
      </c>
      <c r="E198" s="3" t="str">
        <f>IFERROR(__xludf.DUMMYFUNCTION("GOOGLETRANSLATE($D198,""EN"",""RU"")")," Женщина")</f>
        <v> Женщина</v>
      </c>
      <c r="F198" s="3" t="s">
        <v>19</v>
      </c>
      <c r="G198" s="3" t="s">
        <v>662</v>
      </c>
      <c r="H198" s="3" t="s">
        <v>391</v>
      </c>
      <c r="I198" s="3" t="s">
        <v>402</v>
      </c>
      <c r="J198" s="3" t="s">
        <v>497</v>
      </c>
      <c r="K198" s="3" t="s">
        <v>1874</v>
      </c>
      <c r="L198" s="3" t="s">
        <v>1875</v>
      </c>
      <c r="M198" s="3" t="s">
        <v>1876</v>
      </c>
      <c r="N198" s="3" t="s">
        <v>1059</v>
      </c>
      <c r="O198" s="3">
        <v>2.0</v>
      </c>
    </row>
    <row r="199" ht="15.75" customHeight="1">
      <c r="A199" s="3" t="s">
        <v>70</v>
      </c>
      <c r="B199" s="3" t="s">
        <v>1877</v>
      </c>
      <c r="C199" s="3" t="s">
        <v>1878</v>
      </c>
      <c r="D199" s="3" t="s">
        <v>1879</v>
      </c>
      <c r="E199" s="3" t="str">
        <f>IFERROR(__xludf.DUMMYFUNCTION("GOOGLETRANSLATE($D199,""EN"",""RU"")")," Символ регионального индикатора, буква E")</f>
        <v> Символ регионального индикатора, буква E</v>
      </c>
      <c r="F199" s="3" t="s">
        <v>637</v>
      </c>
      <c r="G199" s="3" t="s">
        <v>1127</v>
      </c>
      <c r="H199" s="3" t="s">
        <v>102</v>
      </c>
      <c r="I199" s="3" t="s">
        <v>449</v>
      </c>
      <c r="J199" s="3" t="s">
        <v>678</v>
      </c>
      <c r="K199" s="3" t="s">
        <v>1519</v>
      </c>
      <c r="L199" s="3" t="s">
        <v>1880</v>
      </c>
      <c r="M199" s="3" t="s">
        <v>1881</v>
      </c>
      <c r="N199" s="3" t="s">
        <v>1882</v>
      </c>
      <c r="O199" s="3">
        <v>2.0</v>
      </c>
    </row>
    <row r="200" ht="15.75" customHeight="1">
      <c r="A200" s="3" t="s">
        <v>966</v>
      </c>
      <c r="B200" s="3" t="s">
        <v>1883</v>
      </c>
      <c r="C200" s="3" t="s">
        <v>1884</v>
      </c>
      <c r="D200" s="3" t="s">
        <v>1885</v>
      </c>
      <c r="E200" s="3" t="str">
        <f>IFERROR(__xludf.DUMMYFUNCTION("GOOGLETRANSLATE($D200,""EN"",""RU"")")," Лампочка")</f>
        <v> Лампочка</v>
      </c>
      <c r="F200" s="3" t="s">
        <v>358</v>
      </c>
      <c r="G200" s="3" t="s">
        <v>1127</v>
      </c>
      <c r="H200" s="3" t="s">
        <v>342</v>
      </c>
      <c r="I200" s="3" t="s">
        <v>612</v>
      </c>
      <c r="J200" s="3" t="s">
        <v>283</v>
      </c>
      <c r="K200" s="3" t="s">
        <v>1886</v>
      </c>
      <c r="L200" s="3" t="s">
        <v>1887</v>
      </c>
      <c r="M200" s="3" t="s">
        <v>1888</v>
      </c>
      <c r="N200" s="3" t="s">
        <v>1889</v>
      </c>
      <c r="O200" s="3">
        <v>1.0</v>
      </c>
    </row>
    <row r="201" ht="15.75" customHeight="1">
      <c r="A201" s="3" t="s">
        <v>964</v>
      </c>
      <c r="B201" s="3" t="s">
        <v>1890</v>
      </c>
      <c r="C201" s="3" t="s">
        <v>1891</v>
      </c>
      <c r="D201" s="3" t="s">
        <v>1892</v>
      </c>
      <c r="E201" s="3" t="str">
        <f>IFERROR(__xludf.DUMMYFUNCTION("GOOGLETRANSLATE($D201,""EN"",""RU"")")," Лицо с открытым ртом")</f>
        <v> Лицо с открытым ртом</v>
      </c>
      <c r="F201" s="3" t="s">
        <v>19</v>
      </c>
      <c r="G201" s="3" t="s">
        <v>1020</v>
      </c>
      <c r="H201" s="3" t="s">
        <v>497</v>
      </c>
      <c r="I201" s="3" t="s">
        <v>342</v>
      </c>
      <c r="J201" s="3" t="s">
        <v>379</v>
      </c>
      <c r="K201" s="3" t="s">
        <v>1893</v>
      </c>
      <c r="L201" s="3" t="s">
        <v>1894</v>
      </c>
      <c r="M201" s="3" t="s">
        <v>1895</v>
      </c>
      <c r="N201" s="3" t="s">
        <v>1896</v>
      </c>
      <c r="O201" s="3">
        <v>0.0</v>
      </c>
    </row>
    <row r="202" ht="15.75" customHeight="1">
      <c r="A202" s="3" t="s">
        <v>397</v>
      </c>
      <c r="B202" s="3" t="s">
        <v>1897</v>
      </c>
      <c r="C202" s="3" t="s">
        <v>1898</v>
      </c>
      <c r="D202" s="3" t="s">
        <v>1899</v>
      </c>
      <c r="E202" s="3" t="str">
        <f>IFERROR(__xludf.DUMMYFUNCTION("GOOGLETRANSLATE($D202,""EN"",""RU"")")," Катар")</f>
        <v> Катар</v>
      </c>
      <c r="F202" s="3" t="s">
        <v>559</v>
      </c>
      <c r="G202" s="3" t="s">
        <v>1039</v>
      </c>
      <c r="H202" s="3" t="s">
        <v>531</v>
      </c>
      <c r="I202" s="3" t="s">
        <v>199</v>
      </c>
      <c r="J202" s="3" t="s">
        <v>473</v>
      </c>
      <c r="K202" s="3" t="s">
        <v>1900</v>
      </c>
      <c r="L202" s="3" t="s">
        <v>1901</v>
      </c>
      <c r="M202" s="3" t="s">
        <v>1902</v>
      </c>
      <c r="N202" s="3" t="s">
        <v>1903</v>
      </c>
      <c r="O202" s="3">
        <v>1.0</v>
      </c>
    </row>
    <row r="203" ht="15.75" customHeight="1">
      <c r="A203" s="3" t="s">
        <v>1904</v>
      </c>
      <c r="B203" s="3" t="s">
        <v>1905</v>
      </c>
      <c r="C203" s="3" t="s">
        <v>1906</v>
      </c>
      <c r="D203" s="3" t="s">
        <v>1907</v>
      </c>
      <c r="E203" s="3" t="str">
        <f>IFERROR(__xludf.DUMMYFUNCTION("GOOGLETRANSLATE($D203,""EN"",""RU"")")," Лицо с языком")</f>
        <v> Лицо с языком</v>
      </c>
      <c r="F203" s="3" t="s">
        <v>19</v>
      </c>
      <c r="G203" s="3" t="s">
        <v>1039</v>
      </c>
      <c r="H203" s="3" t="s">
        <v>839</v>
      </c>
      <c r="I203" s="3" t="s">
        <v>138</v>
      </c>
      <c r="J203" s="3" t="s">
        <v>199</v>
      </c>
      <c r="K203" s="3" t="s">
        <v>1908</v>
      </c>
      <c r="L203" s="3" t="s">
        <v>1909</v>
      </c>
      <c r="M203" s="3" t="s">
        <v>1901</v>
      </c>
      <c r="N203" s="3" t="s">
        <v>1910</v>
      </c>
      <c r="O203" s="3">
        <v>0.0</v>
      </c>
    </row>
    <row r="204" ht="15.75" customHeight="1">
      <c r="A204" s="3" t="s">
        <v>336</v>
      </c>
      <c r="B204" s="3" t="s">
        <v>1911</v>
      </c>
      <c r="C204" s="3" t="s">
        <v>1912</v>
      </c>
      <c r="D204" s="3" t="s">
        <v>1913</v>
      </c>
      <c r="E204" s="3" t="str">
        <f>IFERROR(__xludf.DUMMYFUNCTION("GOOGLETRANSLATE($D204,""EN"",""RU"")")," Телевидение")</f>
        <v> Телевидение</v>
      </c>
      <c r="F204" s="3" t="s">
        <v>358</v>
      </c>
      <c r="G204" s="3" t="s">
        <v>1091</v>
      </c>
      <c r="H204" s="3" t="s">
        <v>77</v>
      </c>
      <c r="I204" s="3" t="s">
        <v>932</v>
      </c>
      <c r="J204" s="3" t="s">
        <v>138</v>
      </c>
      <c r="K204" s="3" t="s">
        <v>1914</v>
      </c>
      <c r="L204" s="3" t="s">
        <v>1915</v>
      </c>
      <c r="M204" s="3" t="s">
        <v>1916</v>
      </c>
      <c r="N204" s="3" t="s">
        <v>1917</v>
      </c>
      <c r="O204" s="3">
        <v>1.0</v>
      </c>
    </row>
    <row r="205" ht="15.75" customHeight="1">
      <c r="A205" s="3" t="s">
        <v>1348</v>
      </c>
      <c r="B205" s="3" t="s">
        <v>1918</v>
      </c>
      <c r="C205" s="3" t="s">
        <v>1919</v>
      </c>
      <c r="D205" s="3" t="s">
        <v>1920</v>
      </c>
      <c r="E205" s="3" t="str">
        <f>IFERROR(__xludf.DUMMYFUNCTION("GOOGLETRANSLATE($D205,""EN"",""RU"")")," Плачущая кошачья морда")</f>
        <v> Плачущая кошачья морда</v>
      </c>
      <c r="F205" s="3" t="s">
        <v>19</v>
      </c>
      <c r="G205" s="3" t="s">
        <v>1091</v>
      </c>
      <c r="H205" s="3" t="s">
        <v>850</v>
      </c>
      <c r="I205" s="3" t="s">
        <v>211</v>
      </c>
      <c r="J205" s="3" t="s">
        <v>102</v>
      </c>
      <c r="K205" s="3" t="s">
        <v>1921</v>
      </c>
      <c r="L205" s="3" t="s">
        <v>1922</v>
      </c>
      <c r="M205" s="3" t="s">
        <v>1923</v>
      </c>
      <c r="N205" s="3" t="s">
        <v>1924</v>
      </c>
      <c r="O205" s="3">
        <v>0.0</v>
      </c>
    </row>
    <row r="206" ht="15.75" customHeight="1">
      <c r="A206" s="3" t="s">
        <v>1925</v>
      </c>
      <c r="B206" s="3" t="s">
        <v>1926</v>
      </c>
      <c r="C206" s="3" t="s">
        <v>1927</v>
      </c>
      <c r="D206" s="3" t="s">
        <v>1928</v>
      </c>
      <c r="E206" s="3" t="str">
        <f>IFERROR(__xludf.DUMMYFUNCTION("GOOGLETRANSLATE($D206,""EN"",""RU"")")," Италия")</f>
        <v> Италия</v>
      </c>
      <c r="F206" s="3" t="s">
        <v>559</v>
      </c>
      <c r="G206" s="3" t="s">
        <v>1081</v>
      </c>
      <c r="H206" s="3" t="s">
        <v>211</v>
      </c>
      <c r="I206" s="3" t="s">
        <v>700</v>
      </c>
      <c r="J206" s="3" t="s">
        <v>259</v>
      </c>
      <c r="K206" s="3" t="s">
        <v>1929</v>
      </c>
      <c r="L206" s="3" t="s">
        <v>786</v>
      </c>
      <c r="M206" s="3" t="s">
        <v>1233</v>
      </c>
      <c r="N206" s="3" t="s">
        <v>1930</v>
      </c>
      <c r="O206" s="3">
        <v>1.0</v>
      </c>
    </row>
    <row r="207" ht="15.75" customHeight="1">
      <c r="A207" s="3" t="s">
        <v>1931</v>
      </c>
      <c r="B207" s="3" t="s">
        <v>1932</v>
      </c>
      <c r="C207" s="3" t="s">
        <v>1933</v>
      </c>
      <c r="D207" s="3" t="s">
        <v>1934</v>
      </c>
      <c r="E207" s="3" t="str">
        <f>IFERROR(__xludf.DUMMYFUNCTION("GOOGLETRANSLATE($D207,""EN"",""RU"")")," Поднятая тыльная сторона руки")</f>
        <v> Поднятая тыльная сторона руки</v>
      </c>
      <c r="F207" s="3" t="s">
        <v>178</v>
      </c>
      <c r="G207" s="3" t="s">
        <v>1071</v>
      </c>
      <c r="H207" s="3" t="s">
        <v>367</v>
      </c>
      <c r="I207" s="3" t="s">
        <v>138</v>
      </c>
      <c r="J207" s="3" t="s">
        <v>657</v>
      </c>
      <c r="K207" s="3" t="s">
        <v>1935</v>
      </c>
      <c r="L207" s="3" t="s">
        <v>1936</v>
      </c>
      <c r="M207" s="3" t="s">
        <v>1937</v>
      </c>
      <c r="N207" s="3" t="s">
        <v>1938</v>
      </c>
      <c r="O207" s="3">
        <v>2.0</v>
      </c>
    </row>
    <row r="208" ht="15.75" customHeight="1">
      <c r="A208" s="3" t="s">
        <v>594</v>
      </c>
      <c r="B208" s="3" t="s">
        <v>1939</v>
      </c>
      <c r="C208" s="3" t="s">
        <v>1940</v>
      </c>
      <c r="D208" s="3" t="s">
        <v>1941</v>
      </c>
      <c r="E208" s="3" t="str">
        <f>IFERROR(__xludf.DUMMYFUNCTION("GOOGLETRANSLATE($D208,""EN"",""RU"")")," Шемрок")</f>
        <v> Шемрок</v>
      </c>
      <c r="F208" s="3" t="s">
        <v>81</v>
      </c>
      <c r="G208" s="3" t="s">
        <v>1053</v>
      </c>
      <c r="H208" s="3" t="s">
        <v>65</v>
      </c>
      <c r="I208" s="3" t="s">
        <v>526</v>
      </c>
      <c r="J208" s="3" t="s">
        <v>509</v>
      </c>
      <c r="K208" s="3" t="s">
        <v>1942</v>
      </c>
      <c r="L208" s="3" t="s">
        <v>1943</v>
      </c>
      <c r="M208" s="3" t="s">
        <v>1944</v>
      </c>
      <c r="N208" s="3" t="s">
        <v>1945</v>
      </c>
      <c r="O208" s="3">
        <v>2.0</v>
      </c>
    </row>
    <row r="209" ht="15.75" customHeight="1">
      <c r="A209" s="3" t="s">
        <v>984</v>
      </c>
      <c r="B209" s="3" t="s">
        <v>1946</v>
      </c>
      <c r="C209" s="3" t="s">
        <v>1947</v>
      </c>
      <c r="D209" s="3" t="s">
        <v>1948</v>
      </c>
      <c r="E209" s="3" t="str">
        <f>IFERROR(__xludf.DUMMYFUNCTION("GOOGLETRANSLATE($D209,""EN"",""RU"")")," Микрофон")</f>
        <v> Микрофон</v>
      </c>
      <c r="F209" s="3" t="s">
        <v>358</v>
      </c>
      <c r="G209" s="3" t="s">
        <v>492</v>
      </c>
      <c r="H209" s="3" t="s">
        <v>174</v>
      </c>
      <c r="I209" s="3" t="s">
        <v>700</v>
      </c>
      <c r="J209" s="3" t="s">
        <v>247</v>
      </c>
      <c r="K209" s="3" t="s">
        <v>1949</v>
      </c>
      <c r="L209" s="3" t="s">
        <v>1950</v>
      </c>
      <c r="M209" s="3" t="s">
        <v>1951</v>
      </c>
      <c r="N209" s="3" t="s">
        <v>1952</v>
      </c>
      <c r="O209" s="3">
        <v>1.0</v>
      </c>
    </row>
    <row r="210" ht="15.75" customHeight="1">
      <c r="A210" s="3" t="s">
        <v>1502</v>
      </c>
      <c r="B210" s="3" t="s">
        <v>1953</v>
      </c>
      <c r="C210" s="3" t="s">
        <v>1954</v>
      </c>
      <c r="D210" s="3" t="s">
        <v>1955</v>
      </c>
      <c r="E210" s="3" t="str">
        <f>IFERROR(__xludf.DUMMYFUNCTION("GOOGLETRANSLATE($D210,""EN"",""RU"")")," Белл")</f>
        <v> Белл</v>
      </c>
      <c r="F210" s="3" t="s">
        <v>358</v>
      </c>
      <c r="G210" s="3" t="s">
        <v>492</v>
      </c>
      <c r="H210" s="3" t="s">
        <v>223</v>
      </c>
      <c r="I210" s="3" t="s">
        <v>657</v>
      </c>
      <c r="J210" s="3" t="s">
        <v>247</v>
      </c>
      <c r="K210" s="3" t="s">
        <v>1956</v>
      </c>
      <c r="L210" s="3" t="s">
        <v>1957</v>
      </c>
      <c r="M210" s="3" t="s">
        <v>1951</v>
      </c>
      <c r="N210" s="3" t="s">
        <v>1958</v>
      </c>
      <c r="O210" s="3">
        <v>1.0</v>
      </c>
    </row>
    <row r="211" ht="15.75" customHeight="1">
      <c r="A211" s="3" t="s">
        <v>1959</v>
      </c>
      <c r="B211" s="3" t="s">
        <v>1960</v>
      </c>
      <c r="C211" s="3" t="s">
        <v>1961</v>
      </c>
      <c r="D211" s="3" t="s">
        <v>1962</v>
      </c>
      <c r="E211" s="3" t="str">
        <f>IFERROR(__xludf.DUMMYFUNCTION("GOOGLETRANSLATE($D211,""EN"",""RU"")")," Стрелка влево")</f>
        <v> Стрелка влево</v>
      </c>
      <c r="F211" s="3" t="s">
        <v>637</v>
      </c>
      <c r="G211" s="3" t="s">
        <v>717</v>
      </c>
      <c r="H211" s="3" t="s">
        <v>162</v>
      </c>
      <c r="I211" s="3" t="s">
        <v>723</v>
      </c>
      <c r="J211" s="3" t="s">
        <v>223</v>
      </c>
      <c r="K211" s="3" t="s">
        <v>1963</v>
      </c>
      <c r="L211" s="3" t="s">
        <v>1964</v>
      </c>
      <c r="M211" s="3" t="s">
        <v>940</v>
      </c>
      <c r="N211" s="3" t="s">
        <v>1965</v>
      </c>
      <c r="O211" s="3">
        <v>1.0</v>
      </c>
    </row>
    <row r="212" ht="15.75" customHeight="1">
      <c r="A212" s="3" t="s">
        <v>549</v>
      </c>
      <c r="B212" s="3" t="s">
        <v>1966</v>
      </c>
      <c r="C212" s="3" t="s">
        <v>1967</v>
      </c>
      <c r="D212" s="3" t="s">
        <v>1968</v>
      </c>
      <c r="E212" s="3" t="str">
        <f>IFERROR(__xludf.DUMMYFUNCTION("GOOGLETRANSLATE($D212,""EN"",""RU"")")," Ботан Лицо")</f>
        <v> Ботан Лицо</v>
      </c>
      <c r="F212" s="3" t="s">
        <v>19</v>
      </c>
      <c r="G212" s="3" t="s">
        <v>1025</v>
      </c>
      <c r="H212" s="3" t="s">
        <v>379</v>
      </c>
      <c r="I212" s="3" t="s">
        <v>90</v>
      </c>
      <c r="J212" s="3" t="s">
        <v>633</v>
      </c>
      <c r="K212" s="3" t="s">
        <v>1969</v>
      </c>
      <c r="L212" s="3" t="s">
        <v>1970</v>
      </c>
      <c r="M212" s="3" t="s">
        <v>1971</v>
      </c>
      <c r="N212" s="3" t="s">
        <v>1972</v>
      </c>
      <c r="O212" s="3">
        <v>2.0</v>
      </c>
    </row>
    <row r="213" ht="15.75" customHeight="1">
      <c r="A213" s="3" t="s">
        <v>595</v>
      </c>
      <c r="B213" s="3" t="s">
        <v>1973</v>
      </c>
      <c r="C213" s="3" t="s">
        <v>1974</v>
      </c>
      <c r="D213" s="3" t="s">
        <v>1975</v>
      </c>
      <c r="E213" s="3" t="str">
        <f>IFERROR(__xludf.DUMMYFUNCTION("GOOGLETRANSLATE($D213,""EN"",""RU"")")," Вылупившийся цыпленок")</f>
        <v> Вылупившийся цыпленок</v>
      </c>
      <c r="F213" s="3" t="s">
        <v>81</v>
      </c>
      <c r="G213" s="3" t="s">
        <v>1025</v>
      </c>
      <c r="H213" s="3" t="s">
        <v>102</v>
      </c>
      <c r="I213" s="3" t="s">
        <v>756</v>
      </c>
      <c r="J213" s="3" t="s">
        <v>235</v>
      </c>
      <c r="K213" s="3" t="s">
        <v>1976</v>
      </c>
      <c r="L213" s="3" t="s">
        <v>1977</v>
      </c>
      <c r="M213" s="3" t="s">
        <v>1978</v>
      </c>
      <c r="N213" s="3" t="s">
        <v>1979</v>
      </c>
      <c r="O213" s="3">
        <v>2.0</v>
      </c>
    </row>
    <row r="214" ht="15.75" customHeight="1">
      <c r="A214" s="3" t="s">
        <v>432</v>
      </c>
      <c r="B214" s="3" t="s">
        <v>1980</v>
      </c>
      <c r="C214" s="3" t="s">
        <v>1981</v>
      </c>
      <c r="D214" s="3" t="s">
        <v>1982</v>
      </c>
      <c r="E214" s="3" t="str">
        <f>IFERROR(__xludf.DUMMYFUNCTION("GOOGLETRANSLATE($D214,""EN"",""RU"")")," Облако")</f>
        <v> Облако</v>
      </c>
      <c r="F214" s="3" t="s">
        <v>81</v>
      </c>
      <c r="G214" s="3" t="s">
        <v>1005</v>
      </c>
      <c r="H214" s="3" t="s">
        <v>174</v>
      </c>
      <c r="I214" s="3" t="s">
        <v>199</v>
      </c>
      <c r="J214" s="3" t="s">
        <v>700</v>
      </c>
      <c r="K214" s="3" t="s">
        <v>1983</v>
      </c>
      <c r="L214" s="3" t="s">
        <v>956</v>
      </c>
      <c r="M214" s="3" t="s">
        <v>1984</v>
      </c>
      <c r="N214" s="3" t="s">
        <v>1985</v>
      </c>
      <c r="O214" s="3">
        <v>2.0</v>
      </c>
    </row>
    <row r="215" ht="15.75" customHeight="1">
      <c r="A215" s="3" t="s">
        <v>1486</v>
      </c>
      <c r="B215" s="3" t="s">
        <v>1986</v>
      </c>
      <c r="C215" s="3" t="s">
        <v>1987</v>
      </c>
      <c r="D215" s="3" t="s">
        <v>1988</v>
      </c>
      <c r="E215" s="3" t="str">
        <f>IFERROR(__xludf.DUMMYFUNCTION("GOOGLETRANSLATE($D215,""EN"",""RU"")")," Облако с молнией и дождем")</f>
        <v> Облако с молнией и дождем</v>
      </c>
      <c r="F215" s="3" t="s">
        <v>81</v>
      </c>
      <c r="G215" s="3" t="s">
        <v>514</v>
      </c>
      <c r="H215" s="3" t="s">
        <v>342</v>
      </c>
      <c r="I215" s="3" t="s">
        <v>102</v>
      </c>
      <c r="J215" s="3" t="s">
        <v>612</v>
      </c>
      <c r="K215" s="3" t="s">
        <v>1989</v>
      </c>
      <c r="L215" s="3" t="s">
        <v>1990</v>
      </c>
      <c r="M215" s="3" t="s">
        <v>1991</v>
      </c>
      <c r="N215" s="3" t="s">
        <v>1992</v>
      </c>
      <c r="O215" s="3">
        <v>2.0</v>
      </c>
    </row>
    <row r="216" ht="15.75" customHeight="1">
      <c r="A216" s="3" t="s">
        <v>1993</v>
      </c>
      <c r="B216" s="3" t="s">
        <v>1994</v>
      </c>
      <c r="C216" s="3" t="s">
        <v>1995</v>
      </c>
      <c r="D216" s="3" t="s">
        <v>1996</v>
      </c>
      <c r="E216" s="3" t="str">
        <f>IFERROR(__xludf.DUMMYFUNCTION("GOOGLETRANSLATE($D216,""EN"",""RU"")")," Будильник")</f>
        <v> Будильник</v>
      </c>
      <c r="F216" s="3" t="s">
        <v>358</v>
      </c>
      <c r="G216" s="3" t="s">
        <v>694</v>
      </c>
      <c r="H216" s="3" t="s">
        <v>41</v>
      </c>
      <c r="I216" s="3" t="s">
        <v>781</v>
      </c>
      <c r="J216" s="3" t="s">
        <v>150</v>
      </c>
      <c r="K216" s="3" t="s">
        <v>1997</v>
      </c>
      <c r="L216" s="3" t="s">
        <v>1998</v>
      </c>
      <c r="M216" s="3" t="s">
        <v>1999</v>
      </c>
      <c r="N216" s="3" t="s">
        <v>2000</v>
      </c>
      <c r="O216" s="3">
        <v>2.0</v>
      </c>
    </row>
    <row r="217" ht="15.75" customHeight="1">
      <c r="A217" s="3" t="s">
        <v>1364</v>
      </c>
      <c r="B217" s="3" t="s">
        <v>2001</v>
      </c>
      <c r="C217" s="3" t="s">
        <v>2002</v>
      </c>
      <c r="D217" s="3" t="s">
        <v>2003</v>
      </c>
      <c r="E217" s="3" t="str">
        <f>IFERROR(__xludf.DUMMYFUNCTION("GOOGLETRANSLATE($D217,""EN"",""RU"")")," Ракета")</f>
        <v> Ракета</v>
      </c>
      <c r="F217" s="3" t="s">
        <v>358</v>
      </c>
      <c r="G217" s="3" t="s">
        <v>815</v>
      </c>
      <c r="H217" s="3" t="s">
        <v>235</v>
      </c>
      <c r="I217" s="3" t="s">
        <v>367</v>
      </c>
      <c r="J217" s="3" t="s">
        <v>414</v>
      </c>
      <c r="K217" s="3" t="s">
        <v>2004</v>
      </c>
      <c r="L217" s="3" t="s">
        <v>2005</v>
      </c>
      <c r="M217" s="3" t="s">
        <v>2006</v>
      </c>
      <c r="N217" s="3" t="s">
        <v>2007</v>
      </c>
      <c r="O217" s="3">
        <v>2.0</v>
      </c>
    </row>
    <row r="218" ht="15.75" customHeight="1">
      <c r="A218" s="3" t="s">
        <v>2008</v>
      </c>
      <c r="B218" s="3" t="s">
        <v>2009</v>
      </c>
      <c r="C218" s="3" t="s">
        <v>2010</v>
      </c>
      <c r="D218" s="3" t="s">
        <v>2011</v>
      </c>
      <c r="E218" s="3" t="str">
        <f>IFERROR(__xludf.DUMMYFUNCTION("GOOGLETRANSLATE($D218,""EN"",""RU"")")," Бомбить")</f>
        <v> Бомбить</v>
      </c>
      <c r="F218" s="3" t="s">
        <v>358</v>
      </c>
      <c r="G218" s="3" t="s">
        <v>815</v>
      </c>
      <c r="H218" s="3" t="s">
        <v>600</v>
      </c>
      <c r="I218" s="3" t="s">
        <v>150</v>
      </c>
      <c r="J218" s="3" t="s">
        <v>259</v>
      </c>
      <c r="K218" s="3" t="s">
        <v>2012</v>
      </c>
      <c r="L218" s="3" t="s">
        <v>2013</v>
      </c>
      <c r="M218" s="3" t="s">
        <v>2014</v>
      </c>
      <c r="N218" s="3" t="s">
        <v>2015</v>
      </c>
      <c r="O218" s="3">
        <v>0.0</v>
      </c>
    </row>
    <row r="219" ht="15.75" customHeight="1">
      <c r="A219" s="3" t="s">
        <v>1415</v>
      </c>
      <c r="B219" s="3" t="s">
        <v>2016</v>
      </c>
      <c r="C219" s="3" t="s">
        <v>2017</v>
      </c>
      <c r="D219" s="3" t="s">
        <v>2018</v>
      </c>
      <c r="E219" s="3" t="str">
        <f>IFERROR(__xludf.DUMMYFUNCTION("GOOGLETRANSLATE($D219,""EN"",""RU"")")," Красный треугольник, направленный вверх")</f>
        <v> Красный треугольник, направленный вверх</v>
      </c>
      <c r="F219" s="3" t="s">
        <v>637</v>
      </c>
      <c r="G219" s="3" t="s">
        <v>941</v>
      </c>
      <c r="H219" s="3" t="s">
        <v>174</v>
      </c>
      <c r="I219" s="3" t="s">
        <v>657</v>
      </c>
      <c r="J219" s="3" t="s">
        <v>162</v>
      </c>
      <c r="K219" s="3" t="s">
        <v>2019</v>
      </c>
      <c r="L219" s="3" t="s">
        <v>2020</v>
      </c>
      <c r="M219" s="3" t="s">
        <v>2021</v>
      </c>
      <c r="N219" s="3" t="s">
        <v>2022</v>
      </c>
      <c r="O219" s="3">
        <v>1.0</v>
      </c>
    </row>
    <row r="220" ht="15.75" customHeight="1">
      <c r="A220" s="3" t="s">
        <v>1231</v>
      </c>
      <c r="B220" s="3" t="s">
        <v>2023</v>
      </c>
      <c r="C220" s="3" t="s">
        <v>2024</v>
      </c>
      <c r="D220" s="3" t="s">
        <v>2025</v>
      </c>
      <c r="E220" s="3" t="str">
        <f>IFERROR(__xludf.DUMMYFUNCTION("GOOGLETRANSLATE($D220,""EN"",""RU"")")," Поднятый кулак")</f>
        <v> Поднятый кулак</v>
      </c>
      <c r="F220" s="3" t="s">
        <v>178</v>
      </c>
      <c r="G220" s="3" t="s">
        <v>922</v>
      </c>
      <c r="H220" s="3" t="s">
        <v>379</v>
      </c>
      <c r="I220" s="3" t="s">
        <v>162</v>
      </c>
      <c r="J220" s="3" t="s">
        <v>438</v>
      </c>
      <c r="K220" s="3" t="s">
        <v>2026</v>
      </c>
      <c r="L220" s="3" t="s">
        <v>2027</v>
      </c>
      <c r="M220" s="3" t="s">
        <v>2028</v>
      </c>
      <c r="N220" s="3" t="s">
        <v>2029</v>
      </c>
      <c r="O220" s="3">
        <v>1.0</v>
      </c>
    </row>
    <row r="221" ht="15.75" customHeight="1">
      <c r="A221" s="3" t="s">
        <v>2030</v>
      </c>
      <c r="B221" s="3" t="s">
        <v>2031</v>
      </c>
      <c r="C221" s="3" t="s">
        <v>2032</v>
      </c>
      <c r="D221" s="3" t="s">
        <v>2033</v>
      </c>
      <c r="E221" s="3" t="str">
        <f>IFERROR(__xludf.DUMMYFUNCTION("GOOGLETRANSLATE($D221,""EN"",""RU"")")," Вишня")</f>
        <v> Вишня</v>
      </c>
      <c r="F221" s="3" t="s">
        <v>1510</v>
      </c>
      <c r="G221" s="3" t="s">
        <v>922</v>
      </c>
      <c r="H221" s="3" t="s">
        <v>126</v>
      </c>
      <c r="I221" s="3" t="s">
        <v>247</v>
      </c>
      <c r="J221" s="3" t="s">
        <v>600</v>
      </c>
      <c r="K221" s="3" t="s">
        <v>2034</v>
      </c>
      <c r="L221" s="3" t="s">
        <v>2035</v>
      </c>
      <c r="M221" s="3" t="s">
        <v>2036</v>
      </c>
      <c r="N221" s="3" t="s">
        <v>2037</v>
      </c>
      <c r="O221" s="3">
        <v>2.0</v>
      </c>
    </row>
    <row r="222" ht="15.75" customHeight="1">
      <c r="A222" s="3" t="s">
        <v>2038</v>
      </c>
      <c r="B222" s="3" t="s">
        <v>2039</v>
      </c>
      <c r="C222" s="3" t="s">
        <v>2040</v>
      </c>
      <c r="D222" s="3" t="s">
        <v>2041</v>
      </c>
      <c r="E222" s="3" t="str">
        <f>IFERROR(__xludf.DUMMYFUNCTION("GOOGLETRANSLATE($D222,""EN"",""RU"")")," Сумка денег")</f>
        <v> Сумка денег</v>
      </c>
      <c r="F222" s="3" t="s">
        <v>358</v>
      </c>
      <c r="G222" s="3" t="s">
        <v>922</v>
      </c>
      <c r="H222" s="3" t="s">
        <v>247</v>
      </c>
      <c r="I222" s="3" t="s">
        <v>426</v>
      </c>
      <c r="J222" s="3" t="s">
        <v>307</v>
      </c>
      <c r="K222" s="3" t="s">
        <v>2035</v>
      </c>
      <c r="L222" s="3" t="s">
        <v>2042</v>
      </c>
      <c r="M222" s="3" t="s">
        <v>2043</v>
      </c>
      <c r="N222" s="3" t="s">
        <v>2044</v>
      </c>
      <c r="O222" s="3">
        <v>1.0</v>
      </c>
    </row>
    <row r="223" ht="15.75" customHeight="1">
      <c r="A223" s="3" t="s">
        <v>1464</v>
      </c>
      <c r="B223" s="3" t="s">
        <v>2045</v>
      </c>
      <c r="C223" s="3" t="s">
        <v>2046</v>
      </c>
      <c r="D223" s="3" t="s">
        <v>2047</v>
      </c>
      <c r="E223" s="3" t="str">
        <f>IFERROR(__xludf.DUMMYFUNCTION("GOOGLETRANSLATE($D223,""EN"",""RU"")")," слюнотечение лицо")</f>
        <v> слюнотечение лицо</v>
      </c>
      <c r="F223" s="3" t="s">
        <v>19</v>
      </c>
      <c r="G223" s="3" t="s">
        <v>728</v>
      </c>
      <c r="H223" s="3" t="s">
        <v>271</v>
      </c>
      <c r="I223" s="3" t="s">
        <v>187</v>
      </c>
      <c r="J223" s="3" t="s">
        <v>497</v>
      </c>
      <c r="K223" s="3" t="s">
        <v>2048</v>
      </c>
      <c r="L223" s="3" t="s">
        <v>2049</v>
      </c>
      <c r="M223" s="3" t="s">
        <v>2050</v>
      </c>
      <c r="N223" s="3" t="s">
        <v>2051</v>
      </c>
      <c r="O223" s="3">
        <v>2.0</v>
      </c>
    </row>
    <row r="224" ht="15.75" customHeight="1">
      <c r="A224" s="3" t="s">
        <v>2052</v>
      </c>
      <c r="B224" s="3" t="s">
        <v>2053</v>
      </c>
      <c r="C224" s="3" t="s">
        <v>2054</v>
      </c>
      <c r="D224" s="3" t="s">
        <v>2055</v>
      </c>
      <c r="E224" s="3" t="str">
        <f>IFERROR(__xludf.DUMMYFUNCTION("GOOGLETRANSLATE($D224,""EN"",""RU"")")," Вопросительный знак")</f>
        <v> Вопросительный знак</v>
      </c>
      <c r="F224" s="3" t="s">
        <v>637</v>
      </c>
      <c r="G224" s="3" t="s">
        <v>893</v>
      </c>
      <c r="H224" s="3" t="s">
        <v>745</v>
      </c>
      <c r="I224" s="3" t="s">
        <v>138</v>
      </c>
      <c r="J224" s="3" t="s">
        <v>41</v>
      </c>
      <c r="K224" s="3" t="s">
        <v>2056</v>
      </c>
      <c r="L224" s="3" t="s">
        <v>2057</v>
      </c>
      <c r="M224" s="3" t="s">
        <v>2058</v>
      </c>
      <c r="N224" s="3" t="s">
        <v>2059</v>
      </c>
      <c r="O224" s="3">
        <v>0.0</v>
      </c>
    </row>
    <row r="225" ht="15.75" customHeight="1">
      <c r="A225" s="3" t="s">
        <v>2060</v>
      </c>
      <c r="B225" s="3" t="s">
        <v>2061</v>
      </c>
      <c r="C225" s="3" t="s">
        <v>2062</v>
      </c>
      <c r="D225" s="3" t="s">
        <v>2063</v>
      </c>
      <c r="E225" s="3" t="str">
        <f>IFERROR(__xludf.DUMMYFUNCTION("GOOGLETRANSLATE($D225,""EN"",""RU"")")," Рука с растопыренными пальцами")</f>
        <v> Рука с растопыренными пальцами</v>
      </c>
      <c r="F225" s="3" t="s">
        <v>178</v>
      </c>
      <c r="G225" s="3" t="s">
        <v>872</v>
      </c>
      <c r="H225" s="3" t="s">
        <v>367</v>
      </c>
      <c r="I225" s="3" t="s">
        <v>90</v>
      </c>
      <c r="J225" s="3" t="s">
        <v>461</v>
      </c>
      <c r="K225" s="3" t="s">
        <v>2064</v>
      </c>
      <c r="L225" s="3" t="s">
        <v>1441</v>
      </c>
      <c r="M225" s="3" t="s">
        <v>1675</v>
      </c>
      <c r="N225" s="3" t="s">
        <v>2065</v>
      </c>
      <c r="O225" s="3">
        <v>2.0</v>
      </c>
    </row>
    <row r="226" ht="15.75" customHeight="1">
      <c r="A226" s="3" t="s">
        <v>2066</v>
      </c>
      <c r="B226" s="3" t="s">
        <v>2067</v>
      </c>
      <c r="C226" s="3" t="s">
        <v>2068</v>
      </c>
      <c r="D226" s="3" t="s">
        <v>2069</v>
      </c>
      <c r="E226" s="3" t="str">
        <f>IFERROR(__xludf.DUMMYFUNCTION("GOOGLETRANSLATE($D226,""EN"",""RU"")")," Зонтик с каплями дождя")</f>
        <v> Зонтик с каплями дождя</v>
      </c>
      <c r="F226" s="3" t="s">
        <v>358</v>
      </c>
      <c r="G226" s="3" t="s">
        <v>872</v>
      </c>
      <c r="H226" s="3" t="s">
        <v>211</v>
      </c>
      <c r="I226" s="3" t="s">
        <v>102</v>
      </c>
      <c r="J226" s="3" t="s">
        <v>600</v>
      </c>
      <c r="K226" s="3" t="s">
        <v>2070</v>
      </c>
      <c r="L226" s="3" t="s">
        <v>1548</v>
      </c>
      <c r="M226" s="3" t="s">
        <v>2071</v>
      </c>
      <c r="N226" s="3" t="s">
        <v>2072</v>
      </c>
      <c r="O226" s="3">
        <v>2.0</v>
      </c>
    </row>
    <row r="227" ht="15.75" customHeight="1">
      <c r="A227" s="3" t="s">
        <v>2073</v>
      </c>
      <c r="B227" s="3" t="s">
        <v>2074</v>
      </c>
      <c r="C227" s="3" t="s">
        <v>2075</v>
      </c>
      <c r="D227" s="3" t="s">
        <v>2076</v>
      </c>
      <c r="E227" s="3" t="str">
        <f>IFERROR(__xludf.DUMMYFUNCTION("GOOGLETRANSLATE($D227,""EN"",""RU"")")," Падающая звезда")</f>
        <v> Падающая звезда</v>
      </c>
      <c r="F227" s="3" t="s">
        <v>81</v>
      </c>
      <c r="G227" s="3" t="s">
        <v>860</v>
      </c>
      <c r="H227" s="3" t="s">
        <v>53</v>
      </c>
      <c r="I227" s="3" t="s">
        <v>354</v>
      </c>
      <c r="J227" s="3" t="s">
        <v>497</v>
      </c>
      <c r="K227" s="3" t="s">
        <v>2077</v>
      </c>
      <c r="L227" s="3" t="s">
        <v>2078</v>
      </c>
      <c r="M227" s="3" t="s">
        <v>2079</v>
      </c>
      <c r="N227" s="3" t="s">
        <v>2080</v>
      </c>
      <c r="O227" s="3">
        <v>2.0</v>
      </c>
    </row>
    <row r="228" ht="15.75" customHeight="1">
      <c r="A228" s="3" t="s">
        <v>503</v>
      </c>
      <c r="B228" s="3" t="s">
        <v>2081</v>
      </c>
      <c r="C228" s="3" t="s">
        <v>2082</v>
      </c>
      <c r="D228" s="3" t="s">
        <v>2083</v>
      </c>
      <c r="E228" s="3" t="str">
        <f>IFERROR(__xludf.DUMMYFUNCTION("GOOGLETRANSLATE($D228,""EN"",""RU"")")," Оман")</f>
        <v> Оман</v>
      </c>
      <c r="F228" s="3" t="s">
        <v>559</v>
      </c>
      <c r="G228" s="3" t="s">
        <v>850</v>
      </c>
      <c r="H228" s="3" t="s">
        <v>53</v>
      </c>
      <c r="I228" s="3" t="s">
        <v>174</v>
      </c>
      <c r="J228" s="3" t="s">
        <v>657</v>
      </c>
      <c r="K228" s="3" t="s">
        <v>2084</v>
      </c>
      <c r="L228" s="3" t="s">
        <v>2085</v>
      </c>
      <c r="M228" s="3" t="s">
        <v>2086</v>
      </c>
      <c r="N228" s="3" t="s">
        <v>2087</v>
      </c>
      <c r="O228" s="3">
        <v>2.0</v>
      </c>
    </row>
    <row r="229" ht="15.75" customHeight="1">
      <c r="A229" s="3" t="s">
        <v>2088</v>
      </c>
      <c r="B229" s="3" t="s">
        <v>2089</v>
      </c>
      <c r="C229" s="3" t="s">
        <v>2090</v>
      </c>
      <c r="D229" s="3" t="s">
        <v>2091</v>
      </c>
      <c r="E229" s="3" t="str">
        <f>IFERROR(__xludf.DUMMYFUNCTION("GOOGLETRANSLATE($D229,""EN"",""RU"")")," Йемен")</f>
        <v> Йемен</v>
      </c>
      <c r="F229" s="3" t="s">
        <v>559</v>
      </c>
      <c r="G229" s="3" t="s">
        <v>850</v>
      </c>
      <c r="H229" s="3" t="s">
        <v>271</v>
      </c>
      <c r="I229" s="3" t="s">
        <v>211</v>
      </c>
      <c r="J229" s="3" t="s">
        <v>414</v>
      </c>
      <c r="K229" s="3" t="s">
        <v>2092</v>
      </c>
      <c r="L229" s="3" t="s">
        <v>2093</v>
      </c>
      <c r="M229" s="3" t="s">
        <v>2094</v>
      </c>
      <c r="N229" s="3" t="s">
        <v>2095</v>
      </c>
      <c r="O229" s="3">
        <v>2.0</v>
      </c>
    </row>
    <row r="230" ht="15.75" customHeight="1">
      <c r="A230" s="3" t="s">
        <v>2096</v>
      </c>
      <c r="B230" s="3" t="s">
        <v>2097</v>
      </c>
      <c r="C230" s="3" t="s">
        <v>2098</v>
      </c>
      <c r="D230" s="3" t="s">
        <v>2099</v>
      </c>
      <c r="E230" s="3" t="str">
        <f>IFERROR(__xludf.DUMMYFUNCTION("GOOGLETRANSLATE($D230,""EN"",""RU"")")," Солнце за небольшим облаком")</f>
        <v> Солнце за небольшим облаком</v>
      </c>
      <c r="F230" s="3" t="s">
        <v>81</v>
      </c>
      <c r="G230" s="3" t="s">
        <v>839</v>
      </c>
      <c r="H230" s="3" t="s">
        <v>28</v>
      </c>
      <c r="I230" s="3" t="s">
        <v>114</v>
      </c>
      <c r="J230" s="3" t="s">
        <v>723</v>
      </c>
      <c r="K230" s="3" t="s">
        <v>2100</v>
      </c>
      <c r="L230" s="3" t="s">
        <v>2101</v>
      </c>
      <c r="M230" s="3" t="s">
        <v>2102</v>
      </c>
      <c r="N230" s="3" t="s">
        <v>2103</v>
      </c>
      <c r="O230" s="3">
        <v>2.0</v>
      </c>
    </row>
    <row r="231" ht="15.75" customHeight="1">
      <c r="A231" s="3" t="s">
        <v>1455</v>
      </c>
      <c r="B231" s="3" t="s">
        <v>2104</v>
      </c>
      <c r="C231" s="3" t="s">
        <v>2105</v>
      </c>
      <c r="D231" s="3" t="s">
        <v>2106</v>
      </c>
      <c r="E231" s="3" t="str">
        <f>IFERROR(__xludf.DUMMYFUNCTION("GOOGLETRANSLATE($D231,""EN"",""RU"")")," Мужчина")</f>
        <v> Мужчина</v>
      </c>
      <c r="F231" s="3" t="s">
        <v>19</v>
      </c>
      <c r="G231" s="3" t="s">
        <v>839</v>
      </c>
      <c r="H231" s="3" t="s">
        <v>247</v>
      </c>
      <c r="I231" s="3" t="s">
        <v>259</v>
      </c>
      <c r="J231" s="3" t="s">
        <v>379</v>
      </c>
      <c r="K231" s="3" t="s">
        <v>2107</v>
      </c>
      <c r="L231" s="3" t="s">
        <v>2108</v>
      </c>
      <c r="M231" s="3" t="s">
        <v>2109</v>
      </c>
      <c r="N231" s="3" t="s">
        <v>2110</v>
      </c>
      <c r="O231" s="3">
        <v>2.0</v>
      </c>
    </row>
    <row r="232" ht="15.75" customHeight="1">
      <c r="A232" s="3" t="s">
        <v>1439</v>
      </c>
      <c r="B232" s="3" t="s">
        <v>2111</v>
      </c>
      <c r="C232" s="3" t="s">
        <v>2112</v>
      </c>
      <c r="D232" s="3" t="s">
        <v>2113</v>
      </c>
      <c r="E232" s="3" t="str">
        <f>IFERROR(__xludf.DUMMYFUNCTION("GOOGLETRANSLATE($D232,""EN"",""RU"")")," Кнопка крестика")</f>
        <v> Кнопка крестика</v>
      </c>
      <c r="F232" s="3" t="s">
        <v>637</v>
      </c>
      <c r="G232" s="3" t="s">
        <v>829</v>
      </c>
      <c r="H232" s="3" t="s">
        <v>90</v>
      </c>
      <c r="I232" s="3" t="s">
        <v>606</v>
      </c>
      <c r="J232" s="3" t="s">
        <v>102</v>
      </c>
      <c r="K232" s="3" t="s">
        <v>2114</v>
      </c>
      <c r="L232" s="3" t="s">
        <v>2115</v>
      </c>
      <c r="M232" s="3" t="s">
        <v>2116</v>
      </c>
      <c r="N232" s="3" t="s">
        <v>2117</v>
      </c>
      <c r="O232" s="3">
        <v>1.0</v>
      </c>
    </row>
    <row r="233" ht="15.75" customHeight="1">
      <c r="A233" s="3" t="s">
        <v>2118</v>
      </c>
      <c r="B233" s="3" t="s">
        <v>2119</v>
      </c>
      <c r="C233" s="3" t="s">
        <v>2120</v>
      </c>
      <c r="D233" s="3" t="s">
        <v>2121</v>
      </c>
      <c r="E233" s="3" t="str">
        <f>IFERROR(__xludf.DUMMYFUNCTION("GOOGLETRANSLATE($D233,""EN"",""RU"")")," Ирак")</f>
        <v> Ирак</v>
      </c>
      <c r="F233" s="3" t="s">
        <v>559</v>
      </c>
      <c r="G233" s="3" t="s">
        <v>829</v>
      </c>
      <c r="H233" s="3" t="s">
        <v>391</v>
      </c>
      <c r="I233" s="3" t="s">
        <v>90</v>
      </c>
      <c r="J233" s="3" t="s">
        <v>391</v>
      </c>
      <c r="K233" s="3" t="s">
        <v>2122</v>
      </c>
      <c r="L233" s="3" t="s">
        <v>2114</v>
      </c>
      <c r="M233" s="3" t="s">
        <v>2122</v>
      </c>
      <c r="N233" s="3" t="s">
        <v>1425</v>
      </c>
      <c r="O233" s="3">
        <v>1.0</v>
      </c>
    </row>
    <row r="234" ht="15.75" customHeight="1">
      <c r="A234" s="3" t="s">
        <v>2123</v>
      </c>
      <c r="B234" s="3" t="s">
        <v>2124</v>
      </c>
      <c r="C234" s="3" t="s">
        <v>2125</v>
      </c>
      <c r="D234" s="3" t="s">
        <v>2126</v>
      </c>
      <c r="E234" s="3" t="str">
        <f>IFERROR(__xludf.DUMMYFUNCTION("GOOGLETRANSLATE($D234,""EN"",""RU"")")," Стадион")</f>
        <v> Стадион</v>
      </c>
      <c r="F234" s="3" t="s">
        <v>2127</v>
      </c>
      <c r="G234" s="3" t="s">
        <v>829</v>
      </c>
      <c r="H234" s="3" t="s">
        <v>15</v>
      </c>
      <c r="I234" s="3" t="s">
        <v>756</v>
      </c>
      <c r="J234" s="3" t="s">
        <v>77</v>
      </c>
      <c r="K234" s="3" t="s">
        <v>2128</v>
      </c>
      <c r="L234" s="3" t="s">
        <v>2129</v>
      </c>
      <c r="M234" s="3" t="s">
        <v>1472</v>
      </c>
      <c r="N234" s="3" t="s">
        <v>2130</v>
      </c>
      <c r="O234" s="3">
        <v>2.0</v>
      </c>
    </row>
    <row r="235" ht="15.75" customHeight="1">
      <c r="A235" s="3" t="s">
        <v>1019</v>
      </c>
      <c r="B235" s="3" t="s">
        <v>2131</v>
      </c>
      <c r="C235" s="3" t="s">
        <v>2132</v>
      </c>
      <c r="D235" s="3" t="s">
        <v>2133</v>
      </c>
      <c r="E235" s="3" t="str">
        <f>IFERROR(__xludf.DUMMYFUNCTION("GOOGLETRANSLATE($D235,""EN"",""RU"")")," Человек кланяется")</f>
        <v> Человек кланяется</v>
      </c>
      <c r="F235" s="3" t="s">
        <v>178</v>
      </c>
      <c r="G235" s="3" t="s">
        <v>781</v>
      </c>
      <c r="H235" s="3" t="s">
        <v>391</v>
      </c>
      <c r="I235" s="3" t="s">
        <v>150</v>
      </c>
      <c r="J235" s="3" t="s">
        <v>319</v>
      </c>
      <c r="K235" s="3" t="s">
        <v>2134</v>
      </c>
      <c r="L235" s="3" t="s">
        <v>2135</v>
      </c>
      <c r="M235" s="3" t="s">
        <v>2136</v>
      </c>
      <c r="N235" s="3" t="s">
        <v>2137</v>
      </c>
      <c r="O235" s="3">
        <v>0.0</v>
      </c>
    </row>
    <row r="236" ht="15.75" customHeight="1">
      <c r="A236" s="3" t="s">
        <v>2138</v>
      </c>
      <c r="B236" s="3" t="s">
        <v>2139</v>
      </c>
      <c r="C236" s="3" t="s">
        <v>2140</v>
      </c>
      <c r="D236" s="3" t="s">
        <v>2141</v>
      </c>
      <c r="E236" s="3" t="str">
        <f>IFERROR(__xludf.DUMMYFUNCTION("GOOGLETRANSLATE($D236,""EN"",""RU"")")," Связь")</f>
        <v> Связь</v>
      </c>
      <c r="F236" s="3" t="s">
        <v>358</v>
      </c>
      <c r="G236" s="3" t="s">
        <v>781</v>
      </c>
      <c r="H236" s="3" t="s">
        <v>90</v>
      </c>
      <c r="I236" s="3" t="s">
        <v>688</v>
      </c>
      <c r="J236" s="3" t="s">
        <v>65</v>
      </c>
      <c r="K236" s="3" t="s">
        <v>2142</v>
      </c>
      <c r="L236" s="3" t="s">
        <v>2143</v>
      </c>
      <c r="M236" s="3" t="s">
        <v>2144</v>
      </c>
      <c r="N236" s="3" t="s">
        <v>2145</v>
      </c>
      <c r="O236" s="3">
        <v>1.0</v>
      </c>
    </row>
    <row r="237" ht="15.75" customHeight="1">
      <c r="A237" s="3" t="s">
        <v>217</v>
      </c>
      <c r="B237" s="3" t="s">
        <v>2146</v>
      </c>
      <c r="C237" s="3" t="s">
        <v>2147</v>
      </c>
      <c r="D237" s="3" t="s">
        <v>2148</v>
      </c>
      <c r="E237" s="3" t="str">
        <f>IFERROR(__xludf.DUMMYFUNCTION("GOOGLETRANSLATE($D237,""EN"",""RU"")")," Улыбающееся лицо с рогами")</f>
        <v> Улыбающееся лицо с рогами</v>
      </c>
      <c r="F237" s="3" t="s">
        <v>19</v>
      </c>
      <c r="G237" s="3" t="s">
        <v>781</v>
      </c>
      <c r="H237" s="3" t="s">
        <v>307</v>
      </c>
      <c r="I237" s="3" t="s">
        <v>211</v>
      </c>
      <c r="J237" s="3" t="s">
        <v>342</v>
      </c>
      <c r="K237" s="3" t="s">
        <v>2149</v>
      </c>
      <c r="L237" s="3" t="s">
        <v>2150</v>
      </c>
      <c r="M237" s="3" t="s">
        <v>2151</v>
      </c>
      <c r="N237" s="3" t="s">
        <v>2152</v>
      </c>
      <c r="O237" s="3">
        <v>1.0</v>
      </c>
    </row>
    <row r="238" ht="15.75" customHeight="1">
      <c r="A238" s="3" t="s">
        <v>2153</v>
      </c>
      <c r="B238" s="3" t="s">
        <v>2154</v>
      </c>
      <c r="C238" s="3" t="s">
        <v>2155</v>
      </c>
      <c r="D238" s="3" t="s">
        <v>2156</v>
      </c>
      <c r="E238" s="3" t="str">
        <f>IFERROR(__xludf.DUMMYFUNCTION("GOOGLETRANSLATE($D238,""EN"",""RU"")")," Лицо с термометром")</f>
        <v> Лицо с термометром</v>
      </c>
      <c r="F238" s="3" t="s">
        <v>19</v>
      </c>
      <c r="G238" s="3" t="s">
        <v>781</v>
      </c>
      <c r="H238" s="3" t="s">
        <v>354</v>
      </c>
      <c r="I238" s="3" t="s">
        <v>271</v>
      </c>
      <c r="J238" s="3" t="s">
        <v>235</v>
      </c>
      <c r="K238" s="3" t="s">
        <v>2157</v>
      </c>
      <c r="L238" s="3" t="s">
        <v>1325</v>
      </c>
      <c r="M238" s="3" t="s">
        <v>2158</v>
      </c>
      <c r="N238" s="3" t="s">
        <v>2159</v>
      </c>
      <c r="O238" s="3">
        <v>0.0</v>
      </c>
    </row>
    <row r="239" ht="15.75" customHeight="1">
      <c r="A239" s="3" t="s">
        <v>1430</v>
      </c>
      <c r="B239" s="3" t="s">
        <v>2160</v>
      </c>
      <c r="C239" s="3" t="s">
        <v>2161</v>
      </c>
      <c r="D239" s="3" t="s">
        <v>2162</v>
      </c>
      <c r="E239" s="3" t="str">
        <f>IFERROR(__xludf.DUMMYFUNCTION("GOOGLETRANSLATE($D239,""EN"",""RU"")")," Двойной восклицательный знак")</f>
        <v> Двойной восклицательный знак</v>
      </c>
      <c r="F239" s="3" t="s">
        <v>637</v>
      </c>
      <c r="G239" s="3" t="s">
        <v>781</v>
      </c>
      <c r="H239" s="3" t="s">
        <v>485</v>
      </c>
      <c r="I239" s="3" t="s">
        <v>187</v>
      </c>
      <c r="J239" s="3" t="s">
        <v>187</v>
      </c>
      <c r="K239" s="3" t="s">
        <v>2163</v>
      </c>
      <c r="L239" s="3" t="s">
        <v>2164</v>
      </c>
      <c r="M239" s="3" t="s">
        <v>2164</v>
      </c>
      <c r="N239" s="3" t="s">
        <v>2165</v>
      </c>
      <c r="O239" s="3">
        <v>0.0</v>
      </c>
    </row>
    <row r="240" ht="15.75" customHeight="1">
      <c r="A240" s="3" t="s">
        <v>2166</v>
      </c>
      <c r="B240" s="3" t="s">
        <v>2167</v>
      </c>
      <c r="C240" s="3" t="s">
        <v>2168</v>
      </c>
      <c r="D240" s="3" t="s">
        <v>2169</v>
      </c>
      <c r="E240" s="3" t="str">
        <f>IFERROR(__xludf.DUMMYFUNCTION("GOOGLETRANSLATE($D240,""EN"",""RU"")")," Флер-де-Лис")</f>
        <v> Флер-де-Лис</v>
      </c>
      <c r="F240" s="3" t="s">
        <v>637</v>
      </c>
      <c r="G240" s="3" t="s">
        <v>781</v>
      </c>
      <c r="H240" s="3" t="s">
        <v>77</v>
      </c>
      <c r="I240" s="3" t="s">
        <v>520</v>
      </c>
      <c r="J240" s="3" t="s">
        <v>259</v>
      </c>
      <c r="K240" s="3" t="s">
        <v>2170</v>
      </c>
      <c r="L240" s="3" t="s">
        <v>2171</v>
      </c>
      <c r="M240" s="3" t="s">
        <v>2172</v>
      </c>
      <c r="N240" s="3" t="s">
        <v>784</v>
      </c>
      <c r="O240" s="3">
        <v>2.0</v>
      </c>
    </row>
    <row r="241" ht="15.75" customHeight="1">
      <c r="A241" s="3" t="s">
        <v>693</v>
      </c>
      <c r="B241" s="3" t="s">
        <v>2173</v>
      </c>
      <c r="C241" s="3" t="s">
        <v>2174</v>
      </c>
      <c r="D241" s="3" t="s">
        <v>2175</v>
      </c>
      <c r="E241" s="3" t="str">
        <f>IFERROR(__xludf.DUMMYFUNCTION("GOOGLETRANSLATE($D241,""EN"",""RU"")")," Язык")</f>
        <v> Язык</v>
      </c>
      <c r="F241" s="3" t="s">
        <v>178</v>
      </c>
      <c r="G241" s="3" t="s">
        <v>787</v>
      </c>
      <c r="H241" s="3" t="s">
        <v>330</v>
      </c>
      <c r="I241" s="3" t="s">
        <v>65</v>
      </c>
      <c r="J241" s="3" t="s">
        <v>426</v>
      </c>
      <c r="K241" s="3" t="s">
        <v>2176</v>
      </c>
      <c r="L241" s="3" t="s">
        <v>1519</v>
      </c>
      <c r="M241" s="3" t="s">
        <v>2177</v>
      </c>
      <c r="N241" s="3" t="s">
        <v>2178</v>
      </c>
      <c r="O241" s="3">
        <v>2.0</v>
      </c>
    </row>
    <row r="242" ht="15.75" customHeight="1">
      <c r="A242" s="3" t="s">
        <v>1249</v>
      </c>
      <c r="B242" s="3" t="s">
        <v>2179</v>
      </c>
      <c r="C242" s="3" t="s">
        <v>2180</v>
      </c>
      <c r="D242" s="3" t="s">
        <v>2181</v>
      </c>
      <c r="E242" s="3" t="str">
        <f>IFERROR(__xludf.DUMMYFUNCTION("GOOGLETRANSLATE($D242,""EN"",""RU"")")," Головокружительное лицо")</f>
        <v> Головокружительное лицо</v>
      </c>
      <c r="F242" s="3" t="s">
        <v>19</v>
      </c>
      <c r="G242" s="3" t="s">
        <v>787</v>
      </c>
      <c r="H242" s="3" t="s">
        <v>606</v>
      </c>
      <c r="I242" s="3" t="s">
        <v>28</v>
      </c>
      <c r="J242" s="3" t="s">
        <v>114</v>
      </c>
      <c r="K242" s="3" t="s">
        <v>2182</v>
      </c>
      <c r="L242" s="3" t="s">
        <v>2183</v>
      </c>
      <c r="M242" s="3" t="s">
        <v>1601</v>
      </c>
      <c r="N242" s="3" t="s">
        <v>2184</v>
      </c>
      <c r="O242" s="3">
        <v>0.0</v>
      </c>
    </row>
    <row r="243" ht="15.75" customHeight="1">
      <c r="A243" s="3" t="s">
        <v>301</v>
      </c>
      <c r="B243" s="3" t="s">
        <v>2185</v>
      </c>
      <c r="C243" s="3" t="s">
        <v>2186</v>
      </c>
      <c r="D243" s="3" t="s">
        <v>2187</v>
      </c>
      <c r="E243" s="3" t="str">
        <f>IFERROR(__xludf.DUMMYFUNCTION("GOOGLETRANSLATE($D243,""EN"",""RU"")")," Синий круг")</f>
        <v> Синий круг</v>
      </c>
      <c r="F243" s="3" t="s">
        <v>637</v>
      </c>
      <c r="G243" s="3" t="s">
        <v>787</v>
      </c>
      <c r="H243" s="3" t="s">
        <v>162</v>
      </c>
      <c r="I243" s="3" t="s">
        <v>543</v>
      </c>
      <c r="J243" s="3" t="s">
        <v>114</v>
      </c>
      <c r="K243" s="3" t="s">
        <v>940</v>
      </c>
      <c r="L243" s="3" t="s">
        <v>2188</v>
      </c>
      <c r="M243" s="3" t="s">
        <v>1601</v>
      </c>
      <c r="N243" s="3" t="s">
        <v>2189</v>
      </c>
      <c r="O243" s="3">
        <v>1.0</v>
      </c>
    </row>
    <row r="244" ht="15.75" customHeight="1">
      <c r="A244" s="3" t="s">
        <v>2190</v>
      </c>
      <c r="B244" s="3" t="s">
        <v>2191</v>
      </c>
      <c r="C244" s="3" t="s">
        <v>2192</v>
      </c>
      <c r="D244" s="3" t="s">
        <v>2193</v>
      </c>
      <c r="E244" s="3" t="str">
        <f>IFERROR(__xludf.DUMMYFUNCTION("GOOGLETRANSLATE($D244,""EN"",""RU"")")," Призрак")</f>
        <v> Призрак</v>
      </c>
      <c r="F244" s="3" t="s">
        <v>81</v>
      </c>
      <c r="G244" s="3" t="s">
        <v>777</v>
      </c>
      <c r="H244" s="3" t="s">
        <v>414</v>
      </c>
      <c r="I244" s="3" t="s">
        <v>211</v>
      </c>
      <c r="J244" s="3" t="s">
        <v>187</v>
      </c>
      <c r="K244" s="3" t="s">
        <v>2194</v>
      </c>
      <c r="L244" s="3" t="s">
        <v>2195</v>
      </c>
      <c r="M244" s="3" t="s">
        <v>2196</v>
      </c>
      <c r="N244" s="3" t="s">
        <v>2197</v>
      </c>
      <c r="O244" s="3">
        <v>0.0</v>
      </c>
    </row>
    <row r="245" ht="15.75" customHeight="1">
      <c r="A245" s="3" t="s">
        <v>1414</v>
      </c>
      <c r="B245" s="3" t="s">
        <v>2198</v>
      </c>
      <c r="C245" s="3" t="s">
        <v>2199</v>
      </c>
      <c r="D245" s="3" t="s">
        <v>2200</v>
      </c>
      <c r="E245" s="3" t="str">
        <f>IFERROR(__xludf.DUMMYFUNCTION("GOOGLETRANSLATE($D245,""EN"",""RU"")")," Стрелка вверх")</f>
        <v> Стрелка вверх</v>
      </c>
      <c r="F245" s="3" t="s">
        <v>637</v>
      </c>
      <c r="G245" s="3" t="s">
        <v>777</v>
      </c>
      <c r="H245" s="3" t="s">
        <v>138</v>
      </c>
      <c r="I245" s="3" t="s">
        <v>223</v>
      </c>
      <c r="J245" s="3" t="s">
        <v>449</v>
      </c>
      <c r="K245" s="3" t="s">
        <v>2201</v>
      </c>
      <c r="L245" s="3" t="s">
        <v>2202</v>
      </c>
      <c r="M245" s="3" t="s">
        <v>2203</v>
      </c>
      <c r="N245" s="3" t="s">
        <v>2204</v>
      </c>
      <c r="O245" s="3">
        <v>2.0</v>
      </c>
    </row>
    <row r="246" ht="15.75" customHeight="1">
      <c r="A246" s="3" t="s">
        <v>993</v>
      </c>
      <c r="B246" s="3" t="s">
        <v>2205</v>
      </c>
      <c r="C246" s="3" t="s">
        <v>2206</v>
      </c>
      <c r="D246" s="3" t="s">
        <v>2207</v>
      </c>
      <c r="E246" s="3" t="str">
        <f>IFERROR(__xludf.DUMMYFUNCTION("GOOGLETRANSLATE($D246,""EN"",""RU"")")," Против кнопки")</f>
        <v> Против кнопки</v>
      </c>
      <c r="F246" s="3" t="s">
        <v>637</v>
      </c>
      <c r="G246" s="3" t="s">
        <v>777</v>
      </c>
      <c r="H246" s="3" t="s">
        <v>41</v>
      </c>
      <c r="I246" s="3" t="s">
        <v>712</v>
      </c>
      <c r="J246" s="3" t="s">
        <v>41</v>
      </c>
      <c r="K246" s="3" t="s">
        <v>2208</v>
      </c>
      <c r="L246" s="3" t="s">
        <v>2209</v>
      </c>
      <c r="M246" s="3" t="s">
        <v>2208</v>
      </c>
      <c r="N246" s="3" t="s">
        <v>1425</v>
      </c>
      <c r="O246" s="3">
        <v>1.0</v>
      </c>
    </row>
    <row r="247" ht="15.75" customHeight="1">
      <c r="A247" s="3" t="s">
        <v>2210</v>
      </c>
      <c r="B247" s="3" t="s">
        <v>2211</v>
      </c>
      <c r="C247" s="3" t="s">
        <v>2212</v>
      </c>
      <c r="D247" s="3" t="s">
        <v>2213</v>
      </c>
      <c r="E247" s="3" t="str">
        <f>IFERROR(__xludf.DUMMYFUNCTION("GOOGLETRANSLATE($D247,""EN"",""RU"")")," Урна для голосования с чеком")</f>
        <v> Урна для голосования с чеком</v>
      </c>
      <c r="F247" s="3" t="s">
        <v>637</v>
      </c>
      <c r="G247" s="3" t="s">
        <v>777</v>
      </c>
      <c r="H247" s="3" t="s">
        <v>77</v>
      </c>
      <c r="I247" s="3" t="s">
        <v>449</v>
      </c>
      <c r="J247" s="3" t="s">
        <v>283</v>
      </c>
      <c r="K247" s="3" t="s">
        <v>2214</v>
      </c>
      <c r="L247" s="3" t="s">
        <v>2203</v>
      </c>
      <c r="M247" s="3" t="s">
        <v>2215</v>
      </c>
      <c r="N247" s="3" t="s">
        <v>2216</v>
      </c>
      <c r="O247" s="3">
        <v>2.0</v>
      </c>
    </row>
    <row r="248" ht="15.75" customHeight="1">
      <c r="A248" s="3" t="s">
        <v>673</v>
      </c>
      <c r="B248" s="3" t="s">
        <v>2217</v>
      </c>
      <c r="C248" s="3" t="s">
        <v>2218</v>
      </c>
      <c r="D248" s="3" t="s">
        <v>2219</v>
      </c>
      <c r="E248" s="3" t="str">
        <f>IFERROR(__xludf.DUMMYFUNCTION("GOOGLETRANSLATE($D248,""EN"",""RU"")")," Предупреждение")</f>
        <v> Предупреждение</v>
      </c>
      <c r="F248" s="3" t="s">
        <v>637</v>
      </c>
      <c r="G248" s="3" t="s">
        <v>745</v>
      </c>
      <c r="H248" s="3" t="s">
        <v>402</v>
      </c>
      <c r="I248" s="3" t="s">
        <v>283</v>
      </c>
      <c r="J248" s="3" t="s">
        <v>90</v>
      </c>
      <c r="K248" s="3" t="s">
        <v>2220</v>
      </c>
      <c r="L248" s="3" t="s">
        <v>2221</v>
      </c>
      <c r="M248" s="3" t="s">
        <v>1936</v>
      </c>
      <c r="N248" s="3" t="s">
        <v>2222</v>
      </c>
      <c r="O248" s="3">
        <v>0.0</v>
      </c>
    </row>
    <row r="249" ht="15.75" customHeight="1">
      <c r="A249" s="3" t="s">
        <v>1177</v>
      </c>
      <c r="B249" s="3" t="s">
        <v>2223</v>
      </c>
      <c r="C249" s="3" t="s">
        <v>2224</v>
      </c>
      <c r="D249" s="3" t="s">
        <v>2225</v>
      </c>
      <c r="E249" s="3" t="str">
        <f>IFERROR(__xludf.DUMMYFUNCTION("GOOGLETRANSLATE($D249,""EN"",""RU"")")," американское Самоа")</f>
        <v> американское Самоа</v>
      </c>
      <c r="F249" s="3" t="s">
        <v>559</v>
      </c>
      <c r="G249" s="3" t="s">
        <v>733</v>
      </c>
      <c r="H249" s="3" t="s">
        <v>2226</v>
      </c>
      <c r="I249" s="3" t="s">
        <v>2226</v>
      </c>
      <c r="J249" s="3" t="s">
        <v>733</v>
      </c>
      <c r="K249" s="3" t="s">
        <v>2227</v>
      </c>
      <c r="L249" s="3" t="s">
        <v>2227</v>
      </c>
      <c r="M249" s="3" t="s">
        <v>2228</v>
      </c>
      <c r="N249" s="3" t="s">
        <v>2229</v>
      </c>
      <c r="O249" s="3">
        <v>2.0</v>
      </c>
    </row>
    <row r="250" ht="15.75" customHeight="1">
      <c r="A250" s="3" t="s">
        <v>1405</v>
      </c>
      <c r="B250" s="3" t="s">
        <v>2230</v>
      </c>
      <c r="C250" s="3" t="s">
        <v>2231</v>
      </c>
      <c r="D250" s="3" t="s">
        <v>2232</v>
      </c>
      <c r="E250" s="3" t="str">
        <f>IFERROR(__xludf.DUMMYFUNCTION("GOOGLETRANSLATE($D250,""EN"",""RU"")")," Полумесяц")</f>
        <v> Полумесяц</v>
      </c>
      <c r="F250" s="3" t="s">
        <v>81</v>
      </c>
      <c r="G250" s="3" t="s">
        <v>723</v>
      </c>
      <c r="H250" s="3" t="s">
        <v>126</v>
      </c>
      <c r="I250" s="3" t="s">
        <v>102</v>
      </c>
      <c r="J250" s="3" t="s">
        <v>520</v>
      </c>
      <c r="K250" s="3" t="s">
        <v>2233</v>
      </c>
      <c r="L250" s="3" t="s">
        <v>2234</v>
      </c>
      <c r="M250" s="3" t="s">
        <v>2235</v>
      </c>
      <c r="N250" s="3" t="s">
        <v>2236</v>
      </c>
      <c r="O250" s="3">
        <v>2.0</v>
      </c>
    </row>
    <row r="251" ht="15.75" customHeight="1">
      <c r="A251" s="3" t="s">
        <v>1205</v>
      </c>
      <c r="B251" s="3" t="s">
        <v>2237</v>
      </c>
      <c r="C251" s="3" t="s">
        <v>2238</v>
      </c>
      <c r="D251" s="3" t="s">
        <v>2239</v>
      </c>
      <c r="E251" s="3" t="str">
        <f>IFERROR(__xludf.DUMMYFUNCTION("GOOGLETRANSLATE($D251,""EN"",""RU"")")," Восклицательный вопросительный знак")</f>
        <v> Восклицательный вопросительный знак</v>
      </c>
      <c r="F251" s="3" t="s">
        <v>637</v>
      </c>
      <c r="G251" s="3" t="s">
        <v>723</v>
      </c>
      <c r="H251" s="3" t="s">
        <v>588</v>
      </c>
      <c r="I251" s="3" t="s">
        <v>77</v>
      </c>
      <c r="J251" s="3" t="s">
        <v>77</v>
      </c>
      <c r="K251" s="3" t="s">
        <v>2240</v>
      </c>
      <c r="L251" s="3" t="s">
        <v>2241</v>
      </c>
      <c r="M251" s="3" t="s">
        <v>2241</v>
      </c>
      <c r="N251" s="3" t="s">
        <v>2242</v>
      </c>
      <c r="O251" s="3">
        <v>0.0</v>
      </c>
    </row>
    <row r="252" ht="15.75" customHeight="1">
      <c r="A252" s="3" t="s">
        <v>266</v>
      </c>
      <c r="B252" s="3" t="s">
        <v>2243</v>
      </c>
      <c r="C252" s="3" t="s">
        <v>2244</v>
      </c>
      <c r="D252" s="3" t="s">
        <v>2245</v>
      </c>
      <c r="E252" s="3" t="str">
        <f>IFERROR(__xludf.DUMMYFUNCTION("GOOGLETRANSLATE($D252,""EN"",""RU"")")," Средний палец")</f>
        <v> Средний палец</v>
      </c>
      <c r="F252" s="3" t="s">
        <v>178</v>
      </c>
      <c r="G252" s="3" t="s">
        <v>712</v>
      </c>
      <c r="H252" s="3" t="s">
        <v>555</v>
      </c>
      <c r="I252" s="3" t="s">
        <v>102</v>
      </c>
      <c r="J252" s="3" t="s">
        <v>77</v>
      </c>
      <c r="K252" s="3" t="s">
        <v>2246</v>
      </c>
      <c r="L252" s="3" t="s">
        <v>1601</v>
      </c>
      <c r="M252" s="3" t="s">
        <v>2247</v>
      </c>
      <c r="N252" s="3" t="s">
        <v>2248</v>
      </c>
      <c r="O252" s="3">
        <v>0.0</v>
      </c>
    </row>
    <row r="253" ht="15.75" customHeight="1">
      <c r="A253" s="3" t="s">
        <v>2249</v>
      </c>
      <c r="B253" s="3" t="s">
        <v>2250</v>
      </c>
      <c r="C253" s="3" t="s">
        <v>2251</v>
      </c>
      <c r="D253" s="3" t="s">
        <v>2252</v>
      </c>
      <c r="E253" s="3" t="str">
        <f>IFERROR(__xludf.DUMMYFUNCTION("GOOGLETRANSLATE($D253,""EN"",""RU"")")," Банкнота доллара")</f>
        <v> Банкнота доллара</v>
      </c>
      <c r="F253" s="3" t="s">
        <v>358</v>
      </c>
      <c r="G253" s="3" t="s">
        <v>700</v>
      </c>
      <c r="H253" s="3" t="s">
        <v>90</v>
      </c>
      <c r="I253" s="3" t="s">
        <v>379</v>
      </c>
      <c r="J253" s="3" t="s">
        <v>259</v>
      </c>
      <c r="K253" s="3" t="s">
        <v>2253</v>
      </c>
      <c r="L253" s="3" t="s">
        <v>2254</v>
      </c>
      <c r="M253" s="3" t="s">
        <v>1651</v>
      </c>
      <c r="N253" s="3" t="s">
        <v>2255</v>
      </c>
      <c r="O253" s="3">
        <v>2.0</v>
      </c>
    </row>
    <row r="254" ht="15.75" customHeight="1">
      <c r="A254" s="3" t="s">
        <v>1389</v>
      </c>
      <c r="B254" s="3" t="s">
        <v>2256</v>
      </c>
      <c r="C254" s="3" t="s">
        <v>2257</v>
      </c>
      <c r="D254" s="3" t="s">
        <v>2258</v>
      </c>
      <c r="E254" s="3" t="str">
        <f>IFERROR(__xludf.DUMMYFUNCTION("GOOGLETRANSLATE($D254,""EN"",""RU"")")," Выпускной колпак")</f>
        <v> Выпускной колпак</v>
      </c>
      <c r="F254" s="3" t="s">
        <v>358</v>
      </c>
      <c r="G254" s="3" t="s">
        <v>688</v>
      </c>
      <c r="H254" s="3" t="s">
        <v>102</v>
      </c>
      <c r="I254" s="3" t="s">
        <v>138</v>
      </c>
      <c r="J254" s="3" t="s">
        <v>473</v>
      </c>
      <c r="K254" s="3" t="s">
        <v>2259</v>
      </c>
      <c r="L254" s="3" t="s">
        <v>2260</v>
      </c>
      <c r="M254" s="3" t="s">
        <v>2261</v>
      </c>
      <c r="N254" s="3" t="s">
        <v>2262</v>
      </c>
      <c r="O254" s="3">
        <v>2.0</v>
      </c>
    </row>
    <row r="255" ht="15.75" customHeight="1">
      <c r="A255" s="3" t="s">
        <v>2263</v>
      </c>
      <c r="B255" s="3" t="s">
        <v>2264</v>
      </c>
      <c r="C255" s="3" t="s">
        <v>2265</v>
      </c>
      <c r="D255" s="3" t="s">
        <v>2266</v>
      </c>
      <c r="E255" s="3" t="str">
        <f>IFERROR(__xludf.DUMMYFUNCTION("GOOGLETRANSLATE($D255,""EN"",""RU"")")," Страдающее лицо")</f>
        <v> Страдающее лицо</v>
      </c>
      <c r="F255" s="3" t="s">
        <v>19</v>
      </c>
      <c r="G255" s="3" t="s">
        <v>688</v>
      </c>
      <c r="H255" s="3" t="s">
        <v>588</v>
      </c>
      <c r="I255" s="3" t="s">
        <v>53</v>
      </c>
      <c r="J255" s="3" t="s">
        <v>65</v>
      </c>
      <c r="K255" s="3" t="s">
        <v>2267</v>
      </c>
      <c r="L255" s="3" t="s">
        <v>2268</v>
      </c>
      <c r="M255" s="3" t="s">
        <v>2269</v>
      </c>
      <c r="N255" s="3" t="s">
        <v>2270</v>
      </c>
      <c r="O255" s="3">
        <v>0.0</v>
      </c>
    </row>
    <row r="256" ht="15.75" customHeight="1">
      <c r="A256" s="3" t="s">
        <v>792</v>
      </c>
      <c r="B256" s="3" t="s">
        <v>2271</v>
      </c>
      <c r="C256" s="3" t="s">
        <v>2272</v>
      </c>
      <c r="D256" s="3" t="s">
        <v>2273</v>
      </c>
      <c r="E256" s="3" t="str">
        <f>IFERROR(__xludf.DUMMYFUNCTION("GOOGLETRANSLATE($D256,""EN"",""RU"")")," Тяжелый знак минус")</f>
        <v> Тяжелый знак минус</v>
      </c>
      <c r="F256" s="3" t="s">
        <v>637</v>
      </c>
      <c r="G256" s="3" t="s">
        <v>688</v>
      </c>
      <c r="H256" s="3" t="s">
        <v>53</v>
      </c>
      <c r="I256" s="3" t="s">
        <v>531</v>
      </c>
      <c r="J256" s="3" t="s">
        <v>126</v>
      </c>
      <c r="K256" s="3" t="s">
        <v>2268</v>
      </c>
      <c r="L256" s="3" t="s">
        <v>2274</v>
      </c>
      <c r="M256" s="3" t="s">
        <v>2275</v>
      </c>
      <c r="N256" s="3" t="s">
        <v>2269</v>
      </c>
      <c r="O256" s="3">
        <v>2.0</v>
      </c>
    </row>
    <row r="257" ht="15.75" customHeight="1">
      <c r="A257" s="3" t="s">
        <v>2276</v>
      </c>
      <c r="B257" s="3" t="s">
        <v>2277</v>
      </c>
      <c r="C257" s="3" t="s">
        <v>2278</v>
      </c>
      <c r="D257" s="3" t="s">
        <v>2279</v>
      </c>
      <c r="E257" s="3" t="str">
        <f>IFERROR(__xludf.DUMMYFUNCTION("GOOGLETRANSLATE($D257,""EN"",""RU"")")," Алжир")</f>
        <v> Алжир</v>
      </c>
      <c r="F257" s="3" t="s">
        <v>559</v>
      </c>
      <c r="G257" s="3" t="s">
        <v>688</v>
      </c>
      <c r="H257" s="3" t="s">
        <v>90</v>
      </c>
      <c r="I257" s="3" t="s">
        <v>414</v>
      </c>
      <c r="J257" s="3" t="s">
        <v>211</v>
      </c>
      <c r="K257" s="3" t="s">
        <v>2280</v>
      </c>
      <c r="L257" s="3" t="s">
        <v>2281</v>
      </c>
      <c r="M257" s="3" t="s">
        <v>2282</v>
      </c>
      <c r="N257" s="3" t="s">
        <v>2283</v>
      </c>
      <c r="O257" s="3">
        <v>2.0</v>
      </c>
    </row>
    <row r="258" ht="15.75" customHeight="1">
      <c r="A258" s="3" t="s">
        <v>2284</v>
      </c>
      <c r="B258" s="3" t="s">
        <v>2285</v>
      </c>
      <c r="C258" s="3" t="s">
        <v>2286</v>
      </c>
      <c r="D258" s="3" t="s">
        <v>2287</v>
      </c>
      <c r="E258" s="3" t="str">
        <f>IFERROR(__xludf.DUMMYFUNCTION("GOOGLETRANSLATE($D258,""EN"",""RU"")")," Прямое попадание")</f>
        <v> Прямое попадание</v>
      </c>
      <c r="F258" s="3" t="s">
        <v>358</v>
      </c>
      <c r="G258" s="3" t="s">
        <v>678</v>
      </c>
      <c r="H258" s="3" t="s">
        <v>41</v>
      </c>
      <c r="I258" s="3" t="s">
        <v>520</v>
      </c>
      <c r="J258" s="3" t="s">
        <v>138</v>
      </c>
      <c r="K258" s="3" t="s">
        <v>2288</v>
      </c>
      <c r="L258" s="3" t="s">
        <v>1521</v>
      </c>
      <c r="M258" s="3" t="s">
        <v>940</v>
      </c>
      <c r="N258" s="3" t="s">
        <v>2289</v>
      </c>
      <c r="O258" s="3">
        <v>2.0</v>
      </c>
    </row>
    <row r="259" ht="15.75" customHeight="1">
      <c r="A259" s="3" t="s">
        <v>2290</v>
      </c>
      <c r="B259" s="3" t="s">
        <v>2291</v>
      </c>
      <c r="C259" s="3" t="s">
        <v>2292</v>
      </c>
      <c r="D259" s="3" t="s">
        <v>2293</v>
      </c>
      <c r="E259" s="3" t="str">
        <f>IFERROR(__xludf.DUMMYFUNCTION("GOOGLETRANSLATE($D259,""EN"",""RU"")")," Мобильный телефон")</f>
        <v> Мобильный телефон</v>
      </c>
      <c r="F259" s="3" t="s">
        <v>358</v>
      </c>
      <c r="G259" s="3" t="s">
        <v>606</v>
      </c>
      <c r="H259" s="3" t="s">
        <v>65</v>
      </c>
      <c r="I259" s="3" t="s">
        <v>402</v>
      </c>
      <c r="J259" s="3" t="s">
        <v>223</v>
      </c>
      <c r="K259" s="3" t="s">
        <v>2294</v>
      </c>
      <c r="L259" s="3" t="s">
        <v>2295</v>
      </c>
      <c r="M259" s="3" t="s">
        <v>2296</v>
      </c>
      <c r="N259" s="3" t="s">
        <v>1806</v>
      </c>
      <c r="O259" s="3">
        <v>2.0</v>
      </c>
    </row>
    <row r="260" ht="15.75" customHeight="1">
      <c r="A260" s="3" t="s">
        <v>229</v>
      </c>
      <c r="B260" s="3" t="s">
        <v>2297</v>
      </c>
      <c r="C260" s="3" t="s">
        <v>2298</v>
      </c>
      <c r="D260" s="3" t="s">
        <v>2299</v>
      </c>
      <c r="E260" s="3" t="str">
        <f>IFERROR(__xludf.DUMMYFUNCTION("GOOGLETRANSLATE($D260,""EN"",""RU"")")," Глобус, показывающий Европу и Африку")</f>
        <v> Глобус, показывающий Европу и Африку</v>
      </c>
      <c r="F260" s="3" t="s">
        <v>81</v>
      </c>
      <c r="G260" s="3" t="s">
        <v>606</v>
      </c>
      <c r="H260" s="3" t="s">
        <v>126</v>
      </c>
      <c r="I260" s="3" t="s">
        <v>283</v>
      </c>
      <c r="J260" s="3" t="s">
        <v>283</v>
      </c>
      <c r="K260" s="3" t="s">
        <v>2300</v>
      </c>
      <c r="L260" s="3" t="s">
        <v>2301</v>
      </c>
      <c r="M260" s="3" t="s">
        <v>2301</v>
      </c>
      <c r="N260" s="3" t="s">
        <v>2302</v>
      </c>
      <c r="O260" s="3">
        <v>2.0</v>
      </c>
    </row>
    <row r="261" ht="15.75" customHeight="1">
      <c r="A261" s="3" t="s">
        <v>2303</v>
      </c>
      <c r="B261" s="3" t="s">
        <v>2304</v>
      </c>
      <c r="C261" s="3" t="s">
        <v>2305</v>
      </c>
      <c r="D261" s="3" t="s">
        <v>2306</v>
      </c>
      <c r="E261" s="3" t="str">
        <f>IFERROR(__xludf.DUMMYFUNCTION("GOOGLETRANSLATE($D261,""EN"",""RU"")")," Бриллиантовый костюм")</f>
        <v> Бриллиантовый костюм</v>
      </c>
      <c r="F261" s="3" t="s">
        <v>637</v>
      </c>
      <c r="G261" s="3" t="s">
        <v>606</v>
      </c>
      <c r="H261" s="3" t="s">
        <v>354</v>
      </c>
      <c r="I261" s="3" t="s">
        <v>271</v>
      </c>
      <c r="J261" s="3" t="s">
        <v>65</v>
      </c>
      <c r="K261" s="3" t="s">
        <v>2307</v>
      </c>
      <c r="L261" s="3" t="s">
        <v>2308</v>
      </c>
      <c r="M261" s="3" t="s">
        <v>2294</v>
      </c>
      <c r="N261" s="3" t="s">
        <v>2309</v>
      </c>
      <c r="O261" s="3">
        <v>0.0</v>
      </c>
    </row>
    <row r="262" ht="15.75" customHeight="1">
      <c r="A262" s="3" t="s">
        <v>2310</v>
      </c>
      <c r="B262" s="3" t="s">
        <v>2311</v>
      </c>
      <c r="C262" s="3" t="s">
        <v>2312</v>
      </c>
      <c r="D262" s="3" t="s">
        <v>2313</v>
      </c>
      <c r="E262" s="3" t="str">
        <f>IFERROR(__xludf.DUMMYFUNCTION("GOOGLETRANSLATE($D262,""EN"",""RU"")")," Символ гнева")</f>
        <v> Символ гнева</v>
      </c>
      <c r="F262" s="3" t="s">
        <v>637</v>
      </c>
      <c r="G262" s="3" t="s">
        <v>606</v>
      </c>
      <c r="H262" s="3" t="s">
        <v>187</v>
      </c>
      <c r="I262" s="3" t="s">
        <v>247</v>
      </c>
      <c r="J262" s="3" t="s">
        <v>259</v>
      </c>
      <c r="K262" s="3" t="s">
        <v>2314</v>
      </c>
      <c r="L262" s="3" t="s">
        <v>2315</v>
      </c>
      <c r="M262" s="3" t="s">
        <v>2316</v>
      </c>
      <c r="N262" s="3" t="s">
        <v>2294</v>
      </c>
      <c r="O262" s="3">
        <v>2.0</v>
      </c>
    </row>
    <row r="263" ht="15.75" customHeight="1">
      <c r="A263" s="3" t="s">
        <v>1372</v>
      </c>
      <c r="B263" s="3" t="s">
        <v>2317</v>
      </c>
      <c r="C263" s="3" t="s">
        <v>2318</v>
      </c>
      <c r="D263" s="3" t="s">
        <v>2319</v>
      </c>
      <c r="E263" s="3" t="str">
        <f>IFERROR(__xludf.DUMMYFUNCTION("GOOGLETRANSLATE($D263,""EN"",""RU"")")," Кнопка ""Стрелка вниз")</f>
        <v> Кнопка "Стрелка вниз</v>
      </c>
      <c r="F263" s="3" t="s">
        <v>637</v>
      </c>
      <c r="G263" s="3" t="s">
        <v>606</v>
      </c>
      <c r="H263" s="3" t="s">
        <v>174</v>
      </c>
      <c r="I263" s="3" t="s">
        <v>247</v>
      </c>
      <c r="J263" s="3" t="s">
        <v>271</v>
      </c>
      <c r="K263" s="3" t="s">
        <v>2320</v>
      </c>
      <c r="L263" s="3" t="s">
        <v>2315</v>
      </c>
      <c r="M263" s="3" t="s">
        <v>2308</v>
      </c>
      <c r="N263" s="3" t="s">
        <v>2321</v>
      </c>
      <c r="O263" s="3">
        <v>2.0</v>
      </c>
    </row>
    <row r="264" ht="15.75" customHeight="1">
      <c r="A264" s="3" t="s">
        <v>2322</v>
      </c>
      <c r="B264" s="3" t="s">
        <v>2323</v>
      </c>
      <c r="C264" s="3" t="s">
        <v>2324</v>
      </c>
      <c r="D264" s="3" t="s">
        <v>2325</v>
      </c>
      <c r="E264" s="3" t="str">
        <f>IFERROR(__xludf.DUMMYFUNCTION("GOOGLETRANSLATE($D264,""EN"",""RU"")")," Цыпленок, обращенный вперед")</f>
        <v> Цыпленок, обращенный вперед</v>
      </c>
      <c r="F264" s="3" t="s">
        <v>81</v>
      </c>
      <c r="G264" s="3" t="s">
        <v>657</v>
      </c>
      <c r="H264" s="3" t="s">
        <v>174</v>
      </c>
      <c r="I264" s="3" t="s">
        <v>235</v>
      </c>
      <c r="J264" s="3" t="s">
        <v>271</v>
      </c>
      <c r="K264" s="3" t="s">
        <v>2326</v>
      </c>
      <c r="L264" s="3" t="s">
        <v>2327</v>
      </c>
      <c r="M264" s="3" t="s">
        <v>2328</v>
      </c>
      <c r="N264" s="3" t="s">
        <v>2329</v>
      </c>
      <c r="O264" s="3">
        <v>2.0</v>
      </c>
    </row>
    <row r="265" ht="15.75" customHeight="1">
      <c r="A265" s="3" t="s">
        <v>794</v>
      </c>
      <c r="B265" s="3" t="s">
        <v>2330</v>
      </c>
      <c r="C265" s="3" t="s">
        <v>2331</v>
      </c>
      <c r="D265" s="3" t="s">
        <v>2332</v>
      </c>
      <c r="E265" s="3" t="str">
        <f>IFERROR(__xludf.DUMMYFUNCTION("GOOGLETRANSLATE($D265,""EN"",""RU"")")," Кольцо")</f>
        <v> Кольцо</v>
      </c>
      <c r="F265" s="3" t="s">
        <v>358</v>
      </c>
      <c r="G265" s="3" t="s">
        <v>633</v>
      </c>
      <c r="H265" s="3" t="s">
        <v>187</v>
      </c>
      <c r="I265" s="3" t="s">
        <v>102</v>
      </c>
      <c r="J265" s="3" t="s">
        <v>367</v>
      </c>
      <c r="K265" s="3" t="s">
        <v>2333</v>
      </c>
      <c r="L265" s="3" t="s">
        <v>2334</v>
      </c>
      <c r="M265" s="3" t="s">
        <v>2335</v>
      </c>
      <c r="N265" s="3" t="s">
        <v>2336</v>
      </c>
      <c r="O265" s="3">
        <v>2.0</v>
      </c>
    </row>
    <row r="266" ht="15.75" customHeight="1">
      <c r="A266" s="3" t="s">
        <v>2337</v>
      </c>
      <c r="B266" s="3" t="s">
        <v>2338</v>
      </c>
      <c r="C266" s="3" t="s">
        <v>2339</v>
      </c>
      <c r="D266" s="3" t="s">
        <v>2340</v>
      </c>
      <c r="E266" s="3" t="str">
        <f>IFERROR(__xludf.DUMMYFUNCTION("GOOGLETRANSLATE($D266,""EN"",""RU"")")," Эмблема Трезубца")</f>
        <v> Эмблема Трезубца</v>
      </c>
      <c r="F266" s="3" t="s">
        <v>637</v>
      </c>
      <c r="G266" s="3" t="s">
        <v>633</v>
      </c>
      <c r="H266" s="3" t="s">
        <v>53</v>
      </c>
      <c r="I266" s="3" t="s">
        <v>187</v>
      </c>
      <c r="J266" s="3" t="s">
        <v>414</v>
      </c>
      <c r="K266" s="3" t="s">
        <v>2341</v>
      </c>
      <c r="L266" s="3" t="s">
        <v>2333</v>
      </c>
      <c r="M266" s="3" t="s">
        <v>1950</v>
      </c>
      <c r="N266" s="3" t="s">
        <v>2342</v>
      </c>
      <c r="O266" s="3">
        <v>2.0</v>
      </c>
    </row>
    <row r="267" ht="15.75" customHeight="1">
      <c r="A267" s="3" t="s">
        <v>2343</v>
      </c>
      <c r="B267" s="3" t="s">
        <v>2344</v>
      </c>
      <c r="C267" s="3" t="s">
        <v>2345</v>
      </c>
      <c r="D267" s="3" t="s">
        <v>2346</v>
      </c>
      <c r="E267" s="3" t="str">
        <f>IFERROR(__xludf.DUMMYFUNCTION("GOOGLETRANSLATE($D267,""EN"",""RU"")")," Символ регионального индикатора, буква T")</f>
        <v> Символ регионального индикатора, буква T</v>
      </c>
      <c r="F267" s="3" t="s">
        <v>637</v>
      </c>
      <c r="G267" s="3" t="s">
        <v>633</v>
      </c>
      <c r="H267" s="3" t="s">
        <v>174</v>
      </c>
      <c r="I267" s="3" t="s">
        <v>187</v>
      </c>
      <c r="J267" s="3" t="s">
        <v>295</v>
      </c>
      <c r="K267" s="3" t="s">
        <v>2347</v>
      </c>
      <c r="L267" s="3" t="s">
        <v>2333</v>
      </c>
      <c r="M267" s="3" t="s">
        <v>2348</v>
      </c>
      <c r="N267" s="3" t="s">
        <v>2349</v>
      </c>
      <c r="O267" s="3">
        <v>2.0</v>
      </c>
    </row>
    <row r="268" ht="15.75" customHeight="1">
      <c r="A268" s="3" t="s">
        <v>2350</v>
      </c>
      <c r="B268" s="3" t="s">
        <v>2351</v>
      </c>
      <c r="C268" s="3" t="s">
        <v>2352</v>
      </c>
      <c r="D268" s="3" t="s">
        <v>2353</v>
      </c>
      <c r="E268" s="3" t="str">
        <f>IFERROR(__xludf.DUMMYFUNCTION("GOOGLETRANSLATE($D268,""EN"",""RU"")")," Черный круг")</f>
        <v> Черный круг</v>
      </c>
      <c r="F268" s="3" t="s">
        <v>637</v>
      </c>
      <c r="G268" s="3" t="s">
        <v>623</v>
      </c>
      <c r="H268" s="3" t="s">
        <v>162</v>
      </c>
      <c r="I268" s="3" t="s">
        <v>379</v>
      </c>
      <c r="J268" s="3" t="s">
        <v>102</v>
      </c>
      <c r="K268" s="3" t="s">
        <v>1862</v>
      </c>
      <c r="L268" s="3" t="s">
        <v>2354</v>
      </c>
      <c r="M268" s="3" t="s">
        <v>2355</v>
      </c>
      <c r="N268" s="3" t="s">
        <v>2356</v>
      </c>
      <c r="O268" s="3">
        <v>0.0</v>
      </c>
    </row>
    <row r="269" ht="15.75" customHeight="1">
      <c r="A269" s="3" t="s">
        <v>277</v>
      </c>
      <c r="B269" s="3" t="s">
        <v>2357</v>
      </c>
      <c r="C269" s="3" t="s">
        <v>2358</v>
      </c>
      <c r="D269" s="3" t="s">
        <v>2359</v>
      </c>
      <c r="E269" s="3" t="str">
        <f>IFERROR(__xludf.DUMMYFUNCTION("GOOGLETRANSLATE($D269,""EN"",""RU"")")," Секундомер")</f>
        <v> Секундомер</v>
      </c>
      <c r="F269" s="3" t="s">
        <v>358</v>
      </c>
      <c r="G269" s="3" t="s">
        <v>623</v>
      </c>
      <c r="H269" s="3" t="s">
        <v>53</v>
      </c>
      <c r="I269" s="3" t="s">
        <v>531</v>
      </c>
      <c r="J269" s="3" t="s">
        <v>53</v>
      </c>
      <c r="K269" s="3" t="s">
        <v>1659</v>
      </c>
      <c r="L269" s="3" t="s">
        <v>2360</v>
      </c>
      <c r="M269" s="3" t="s">
        <v>1659</v>
      </c>
      <c r="N269" s="3" t="s">
        <v>1425</v>
      </c>
      <c r="O269" s="3">
        <v>1.0</v>
      </c>
    </row>
    <row r="270" ht="15.75" customHeight="1">
      <c r="A270" s="3" t="s">
        <v>2361</v>
      </c>
      <c r="B270" s="3" t="s">
        <v>2362</v>
      </c>
      <c r="C270" s="3" t="s">
        <v>2363</v>
      </c>
      <c r="D270" s="3" t="s">
        <v>2364</v>
      </c>
      <c r="E270" s="3" t="str">
        <f>IFERROR(__xludf.DUMMYFUNCTION("GOOGLETRANSLATE($D270,""EN"",""RU"")")," Конверт со стрелкой")</f>
        <v> Конверт со стрелкой</v>
      </c>
      <c r="F270" s="3" t="s">
        <v>358</v>
      </c>
      <c r="G270" s="3" t="s">
        <v>612</v>
      </c>
      <c r="H270" s="3" t="s">
        <v>114</v>
      </c>
      <c r="I270" s="3" t="s">
        <v>330</v>
      </c>
      <c r="J270" s="3" t="s">
        <v>187</v>
      </c>
      <c r="K270" s="3" t="s">
        <v>2365</v>
      </c>
      <c r="L270" s="3" t="s">
        <v>2050</v>
      </c>
      <c r="M270" s="3" t="s">
        <v>2366</v>
      </c>
      <c r="N270" s="3" t="s">
        <v>2247</v>
      </c>
      <c r="O270" s="3">
        <v>2.0</v>
      </c>
    </row>
    <row r="271" ht="15.75" customHeight="1">
      <c r="A271" s="3" t="s">
        <v>2367</v>
      </c>
      <c r="B271" s="3" t="s">
        <v>2368</v>
      </c>
      <c r="C271" s="3" t="s">
        <v>2369</v>
      </c>
      <c r="D271" s="3" t="s">
        <v>2370</v>
      </c>
      <c r="E271" s="3" t="str">
        <f>IFERROR(__xludf.DUMMYFUNCTION("GOOGLETRANSLATE($D271,""EN"",""RU"")")," Глобус, показывающий Азию и Австралию")</f>
        <v> Глобус, показывающий Азию и Австралию</v>
      </c>
      <c r="F271" s="3" t="s">
        <v>81</v>
      </c>
      <c r="G271" s="3" t="s">
        <v>612</v>
      </c>
      <c r="H271" s="3" t="s">
        <v>235</v>
      </c>
      <c r="I271" s="3" t="s">
        <v>259</v>
      </c>
      <c r="J271" s="3" t="s">
        <v>138</v>
      </c>
      <c r="K271" s="3" t="s">
        <v>1724</v>
      </c>
      <c r="L271" s="3" t="s">
        <v>2371</v>
      </c>
      <c r="M271" s="3" t="s">
        <v>2372</v>
      </c>
      <c r="N271" s="3" t="s">
        <v>2373</v>
      </c>
      <c r="O271" s="3">
        <v>0.0</v>
      </c>
    </row>
    <row r="272" ht="15.75" customHeight="1">
      <c r="A272" s="3" t="s">
        <v>2374</v>
      </c>
      <c r="B272" s="3" t="s">
        <v>2375</v>
      </c>
      <c r="C272" s="3" t="s">
        <v>2376</v>
      </c>
      <c r="D272" s="3" t="s">
        <v>2377</v>
      </c>
      <c r="E272" s="3" t="str">
        <f>IFERROR(__xludf.DUMMYFUNCTION("GOOGLETRANSLATE($D272,""EN"",""RU"")")," Глаз")</f>
        <v> Глаз</v>
      </c>
      <c r="F272" s="3" t="s">
        <v>178</v>
      </c>
      <c r="G272" s="3" t="s">
        <v>612</v>
      </c>
      <c r="H272" s="3" t="s">
        <v>235</v>
      </c>
      <c r="I272" s="3" t="s">
        <v>187</v>
      </c>
      <c r="J272" s="3" t="s">
        <v>211</v>
      </c>
      <c r="K272" s="3" t="s">
        <v>1724</v>
      </c>
      <c r="L272" s="3" t="s">
        <v>2366</v>
      </c>
      <c r="M272" s="3" t="s">
        <v>2378</v>
      </c>
      <c r="N272" s="3" t="s">
        <v>2379</v>
      </c>
      <c r="O272" s="3">
        <v>1.0</v>
      </c>
    </row>
    <row r="273" ht="15.75" customHeight="1">
      <c r="A273" s="3" t="s">
        <v>2380</v>
      </c>
      <c r="B273" s="3" t="s">
        <v>2381</v>
      </c>
      <c r="C273" s="3" t="s">
        <v>2382</v>
      </c>
      <c r="D273" s="3" t="s">
        <v>2383</v>
      </c>
      <c r="E273" s="3" t="str">
        <f>IFERROR(__xludf.DUMMYFUNCTION("GOOGLETRANSLATE($D273,""EN"",""RU"")")," Красный треугольник, направленный вниз")</f>
        <v> Красный треугольник, направленный вниз</v>
      </c>
      <c r="F273" s="3" t="s">
        <v>637</v>
      </c>
      <c r="G273" s="3" t="s">
        <v>612</v>
      </c>
      <c r="H273" s="3" t="s">
        <v>126</v>
      </c>
      <c r="I273" s="3" t="s">
        <v>414</v>
      </c>
      <c r="J273" s="3" t="s">
        <v>90</v>
      </c>
      <c r="K273" s="3" t="s">
        <v>2384</v>
      </c>
      <c r="L273" s="3" t="s">
        <v>2385</v>
      </c>
      <c r="M273" s="3" t="s">
        <v>2386</v>
      </c>
      <c r="N273" s="3" t="s">
        <v>2387</v>
      </c>
      <c r="O273" s="3">
        <v>1.0</v>
      </c>
    </row>
    <row r="274" ht="15.75" customHeight="1">
      <c r="A274" s="3" t="s">
        <v>2388</v>
      </c>
      <c r="B274" s="3" t="s">
        <v>2389</v>
      </c>
      <c r="C274" s="3" t="s">
        <v>2390</v>
      </c>
      <c r="D274" s="3" t="s">
        <v>2391</v>
      </c>
      <c r="E274" s="3" t="str">
        <f>IFERROR(__xludf.DUMMYFUNCTION("GOOGLETRANSLATE($D274,""EN"",""RU"")")," Камера со вспышкой")</f>
        <v> Камера со вспышкой</v>
      </c>
      <c r="F274" s="3" t="s">
        <v>358</v>
      </c>
      <c r="G274" s="3" t="s">
        <v>600</v>
      </c>
      <c r="H274" s="3" t="s">
        <v>65</v>
      </c>
      <c r="I274" s="3" t="s">
        <v>342</v>
      </c>
      <c r="J274" s="3" t="s">
        <v>211</v>
      </c>
      <c r="K274" s="3" t="s">
        <v>2392</v>
      </c>
      <c r="L274" s="3" t="s">
        <v>2393</v>
      </c>
      <c r="M274" s="3" t="s">
        <v>2394</v>
      </c>
      <c r="N274" s="3" t="s">
        <v>2395</v>
      </c>
      <c r="O274" s="3">
        <v>2.0</v>
      </c>
    </row>
    <row r="275" ht="15.75" customHeight="1">
      <c r="A275" s="3" t="s">
        <v>2396</v>
      </c>
      <c r="B275" s="3" t="s">
        <v>2397</v>
      </c>
      <c r="C275" s="3" t="s">
        <v>2398</v>
      </c>
      <c r="D275" s="3" t="s">
        <v>2399</v>
      </c>
      <c r="E275" s="3" t="str">
        <f>IFERROR(__xludf.DUMMYFUNCTION("GOOGLETRANSLATE($D275,""EN"",""RU"")")," Громкоговоритель")</f>
        <v> Громкоговоритель</v>
      </c>
      <c r="F275" s="3" t="s">
        <v>358</v>
      </c>
      <c r="G275" s="3" t="s">
        <v>600</v>
      </c>
      <c r="H275" s="3" t="s">
        <v>114</v>
      </c>
      <c r="I275" s="3" t="s">
        <v>402</v>
      </c>
      <c r="J275" s="3" t="s">
        <v>102</v>
      </c>
      <c r="K275" s="3" t="s">
        <v>2400</v>
      </c>
      <c r="L275" s="3" t="s">
        <v>2401</v>
      </c>
      <c r="M275" s="3" t="s">
        <v>2402</v>
      </c>
      <c r="N275" s="3" t="s">
        <v>2403</v>
      </c>
      <c r="O275" s="3">
        <v>1.0</v>
      </c>
    </row>
    <row r="276" ht="15.75" customHeight="1">
      <c r="A276" s="3" t="s">
        <v>360</v>
      </c>
      <c r="B276" s="3" t="s">
        <v>2404</v>
      </c>
      <c r="C276" s="3" t="s">
        <v>2405</v>
      </c>
      <c r="D276" s="3" t="s">
        <v>2406</v>
      </c>
      <c r="E276" s="3" t="str">
        <f>IFERROR(__xludf.DUMMYFUNCTION("GOOGLETRANSLATE($D276,""EN"",""RU"")")," Треугольный флаг")</f>
        <v> Треугольный флаг</v>
      </c>
      <c r="F276" s="3" t="s">
        <v>559</v>
      </c>
      <c r="G276" s="3" t="s">
        <v>588</v>
      </c>
      <c r="H276" s="3" t="s">
        <v>102</v>
      </c>
      <c r="I276" s="3" t="s">
        <v>330</v>
      </c>
      <c r="J276" s="3" t="s">
        <v>174</v>
      </c>
      <c r="K276" s="3" t="s">
        <v>2407</v>
      </c>
      <c r="L276" s="3" t="s">
        <v>2408</v>
      </c>
      <c r="M276" s="3" t="s">
        <v>2409</v>
      </c>
      <c r="N276" s="3" t="s">
        <v>2410</v>
      </c>
      <c r="O276" s="3">
        <v>2.0</v>
      </c>
    </row>
    <row r="277" ht="15.75" customHeight="1">
      <c r="A277" s="3" t="s">
        <v>2411</v>
      </c>
      <c r="B277" s="3" t="s">
        <v>2412</v>
      </c>
      <c r="C277" s="3" t="s">
        <v>2413</v>
      </c>
      <c r="D277" s="3" t="s">
        <v>2414</v>
      </c>
      <c r="E277" s="3" t="str">
        <f>IFERROR(__xludf.DUMMYFUNCTION("GOOGLETRANSLATE($D277,""EN"",""RU"")")," Наушники")</f>
        <v> Наушники</v>
      </c>
      <c r="F277" s="3" t="s">
        <v>358</v>
      </c>
      <c r="G277" s="3" t="s">
        <v>588</v>
      </c>
      <c r="H277" s="3" t="s">
        <v>150</v>
      </c>
      <c r="I277" s="3" t="s">
        <v>90</v>
      </c>
      <c r="J277" s="3" t="s">
        <v>367</v>
      </c>
      <c r="K277" s="3" t="s">
        <v>1798</v>
      </c>
      <c r="L277" s="3" t="s">
        <v>1578</v>
      </c>
      <c r="M277" s="3" t="s">
        <v>2415</v>
      </c>
      <c r="N277" s="3" t="s">
        <v>2416</v>
      </c>
      <c r="O277" s="3">
        <v>2.0</v>
      </c>
    </row>
    <row r="278" ht="15.75" customHeight="1">
      <c r="A278" s="3" t="s">
        <v>1339</v>
      </c>
      <c r="B278" s="3" t="s">
        <v>2417</v>
      </c>
      <c r="C278" s="3" t="s">
        <v>2418</v>
      </c>
      <c r="D278" s="3" t="s">
        <v>2419</v>
      </c>
      <c r="E278" s="3" t="str">
        <f>IFERROR(__xludf.DUMMYFUNCTION("GOOGLETRANSLATE($D278,""EN"",""RU"")")," Иордания")</f>
        <v> Иордания</v>
      </c>
      <c r="F278" s="3" t="s">
        <v>559</v>
      </c>
      <c r="G278" s="3" t="s">
        <v>374</v>
      </c>
      <c r="H278" s="3" t="s">
        <v>199</v>
      </c>
      <c r="I278" s="3" t="s">
        <v>2226</v>
      </c>
      <c r="J278" s="3" t="s">
        <v>391</v>
      </c>
      <c r="K278" s="3" t="s">
        <v>2378</v>
      </c>
      <c r="L278" s="3" t="s">
        <v>2420</v>
      </c>
      <c r="M278" s="3" t="s">
        <v>2421</v>
      </c>
      <c r="N278" s="3" t="s">
        <v>2422</v>
      </c>
      <c r="O278" s="3">
        <v>2.0</v>
      </c>
    </row>
    <row r="279" ht="15.75" customHeight="1">
      <c r="A279" s="3" t="s">
        <v>1122</v>
      </c>
      <c r="B279" s="3" t="s">
        <v>2423</v>
      </c>
      <c r="C279" s="3" t="s">
        <v>2424</v>
      </c>
      <c r="D279" s="3" t="s">
        <v>2425</v>
      </c>
      <c r="E279" s="3" t="str">
        <f>IFERROR(__xludf.DUMMYFUNCTION("GOOGLETRANSLATE($D279,""EN"",""RU"")")," Большой оранжевый бриллиант")</f>
        <v> Большой оранжевый бриллиант</v>
      </c>
      <c r="F279" s="3" t="s">
        <v>637</v>
      </c>
      <c r="G279" s="3" t="s">
        <v>374</v>
      </c>
      <c r="H279" s="3" t="s">
        <v>138</v>
      </c>
      <c r="I279" s="3" t="s">
        <v>367</v>
      </c>
      <c r="J279" s="3" t="s">
        <v>90</v>
      </c>
      <c r="K279" s="3" t="s">
        <v>2426</v>
      </c>
      <c r="L279" s="3" t="s">
        <v>2427</v>
      </c>
      <c r="M279" s="3" t="s">
        <v>2428</v>
      </c>
      <c r="N279" s="3" t="s">
        <v>2429</v>
      </c>
      <c r="O279" s="3">
        <v>0.0</v>
      </c>
    </row>
    <row r="280" ht="15.75" customHeight="1">
      <c r="A280" s="3" t="s">
        <v>2430</v>
      </c>
      <c r="B280" s="3" t="s">
        <v>2431</v>
      </c>
      <c r="C280" s="3" t="s">
        <v>2432</v>
      </c>
      <c r="D280" s="3" t="s">
        <v>2433</v>
      </c>
      <c r="E280" s="3" t="str">
        <f>IFERROR(__xludf.DUMMYFUNCTION("GOOGLETRANSLATE($D280,""EN"",""RU"")")," Деньги с крыльями")</f>
        <v> Деньги с крыльями</v>
      </c>
      <c r="F280" s="3" t="s">
        <v>358</v>
      </c>
      <c r="G280" s="3" t="s">
        <v>374</v>
      </c>
      <c r="H280" s="3" t="s">
        <v>247</v>
      </c>
      <c r="I280" s="3" t="s">
        <v>126</v>
      </c>
      <c r="J280" s="3" t="s">
        <v>223</v>
      </c>
      <c r="K280" s="3" t="s">
        <v>2434</v>
      </c>
      <c r="L280" s="3" t="s">
        <v>2435</v>
      </c>
      <c r="M280" s="3" t="s">
        <v>2436</v>
      </c>
      <c r="N280" s="3" t="s">
        <v>2437</v>
      </c>
      <c r="O280" s="3">
        <v>1.0</v>
      </c>
    </row>
    <row r="281" ht="15.75" customHeight="1">
      <c r="A281" s="3" t="s">
        <v>385</v>
      </c>
      <c r="B281" s="3" t="s">
        <v>2438</v>
      </c>
      <c r="C281" s="3" t="s">
        <v>2439</v>
      </c>
      <c r="D281" s="3" t="s">
        <v>2440</v>
      </c>
      <c r="E281" s="3" t="str">
        <f>IFERROR(__xludf.DUMMYFUNCTION("GOOGLETRANSLATE($D281,""EN"",""RU"")")," песочное печенье")</f>
        <v> песочное печенье</v>
      </c>
      <c r="F281" s="3" t="s">
        <v>1510</v>
      </c>
      <c r="G281" s="3" t="s">
        <v>526</v>
      </c>
      <c r="H281" s="3" t="s">
        <v>102</v>
      </c>
      <c r="I281" s="3" t="s">
        <v>138</v>
      </c>
      <c r="J281" s="3" t="s">
        <v>342</v>
      </c>
      <c r="K281" s="3" t="s">
        <v>1929</v>
      </c>
      <c r="L281" s="3" t="s">
        <v>2441</v>
      </c>
      <c r="M281" s="3" t="s">
        <v>2442</v>
      </c>
      <c r="N281" s="3" t="s">
        <v>2176</v>
      </c>
      <c r="O281" s="3">
        <v>2.0</v>
      </c>
    </row>
    <row r="282" ht="15.75" customHeight="1">
      <c r="A282" s="3" t="s">
        <v>2443</v>
      </c>
      <c r="B282" s="3" t="s">
        <v>2444</v>
      </c>
      <c r="C282" s="3" t="s">
        <v>2445</v>
      </c>
      <c r="D282" s="3" t="s">
        <v>2446</v>
      </c>
      <c r="E282" s="3" t="str">
        <f>IFERROR(__xludf.DUMMYFUNCTION("GOOGLETRANSLATE($D282,""EN"",""RU"")")," Кактус")</f>
        <v> Кактус</v>
      </c>
      <c r="F282" s="3" t="s">
        <v>81</v>
      </c>
      <c r="G282" s="3" t="s">
        <v>555</v>
      </c>
      <c r="H282" s="3" t="s">
        <v>187</v>
      </c>
      <c r="I282" s="3" t="s">
        <v>162</v>
      </c>
      <c r="J282" s="3" t="s">
        <v>223</v>
      </c>
      <c r="K282" s="3" t="s">
        <v>2447</v>
      </c>
      <c r="L282" s="3" t="s">
        <v>2333</v>
      </c>
      <c r="M282" s="3" t="s">
        <v>2448</v>
      </c>
      <c r="N282" s="3" t="s">
        <v>2449</v>
      </c>
      <c r="O282" s="3">
        <v>1.0</v>
      </c>
    </row>
    <row r="283" ht="15.75" customHeight="1">
      <c r="A283" s="3" t="s">
        <v>2450</v>
      </c>
      <c r="B283" s="3" t="s">
        <v>2451</v>
      </c>
      <c r="C283" s="3" t="s">
        <v>2452</v>
      </c>
      <c r="D283" s="3" t="s">
        <v>2453</v>
      </c>
      <c r="E283" s="3" t="str">
        <f>IFERROR(__xludf.DUMMYFUNCTION("GOOGLETRANSLATE($D283,""EN"",""RU"")")," Лента напоминания")</f>
        <v> Лента напоминания</v>
      </c>
      <c r="F283" s="3" t="s">
        <v>358</v>
      </c>
      <c r="G283" s="3" t="s">
        <v>543</v>
      </c>
      <c r="H283" s="3" t="s">
        <v>41</v>
      </c>
      <c r="I283" s="3" t="s">
        <v>150</v>
      </c>
      <c r="J283" s="3" t="s">
        <v>367</v>
      </c>
      <c r="K283" s="3" t="s">
        <v>2454</v>
      </c>
      <c r="L283" s="3" t="s">
        <v>2455</v>
      </c>
      <c r="M283" s="3" t="s">
        <v>2456</v>
      </c>
      <c r="N283" s="3" t="s">
        <v>1253</v>
      </c>
      <c r="O283" s="3">
        <v>2.0</v>
      </c>
    </row>
    <row r="284" ht="15.75" customHeight="1">
      <c r="A284" s="3" t="s">
        <v>2457</v>
      </c>
      <c r="B284" s="3" t="s">
        <v>2458</v>
      </c>
      <c r="C284" s="3" t="s">
        <v>2459</v>
      </c>
      <c r="D284" s="3" t="s">
        <v>2460</v>
      </c>
      <c r="E284" s="3" t="str">
        <f>IFERROR(__xludf.DUMMYFUNCTION("GOOGLETRANSLATE($D284,""EN"",""RU"")")," Лак для ногтей")</f>
        <v> Лак для ногтей</v>
      </c>
      <c r="F284" s="3" t="s">
        <v>178</v>
      </c>
      <c r="G284" s="3" t="s">
        <v>543</v>
      </c>
      <c r="H284" s="3" t="s">
        <v>199</v>
      </c>
      <c r="I284" s="3" t="s">
        <v>90</v>
      </c>
      <c r="J284" s="3" t="s">
        <v>271</v>
      </c>
      <c r="K284" s="3" t="s">
        <v>2461</v>
      </c>
      <c r="L284" s="3" t="s">
        <v>1901</v>
      </c>
      <c r="M284" s="3" t="s">
        <v>2462</v>
      </c>
      <c r="N284" s="3" t="s">
        <v>2463</v>
      </c>
      <c r="O284" s="3">
        <v>2.0</v>
      </c>
    </row>
    <row r="285" ht="15.75" customHeight="1">
      <c r="A285" s="3" t="s">
        <v>408</v>
      </c>
      <c r="B285" s="3" t="s">
        <v>2464</v>
      </c>
      <c r="C285" s="3" t="s">
        <v>2465</v>
      </c>
      <c r="D285" s="3" t="s">
        <v>2466</v>
      </c>
      <c r="E285" s="3" t="str">
        <f>IFERROR(__xludf.DUMMYFUNCTION("GOOGLETRANSLATE($D285,""EN"",""RU"")")," Спиральный календарь")</f>
        <v> Спиральный календарь</v>
      </c>
      <c r="F285" s="3" t="s">
        <v>637</v>
      </c>
      <c r="G285" s="3" t="s">
        <v>543</v>
      </c>
      <c r="H285" s="3" t="s">
        <v>77</v>
      </c>
      <c r="I285" s="3" t="s">
        <v>402</v>
      </c>
      <c r="J285" s="3" t="s">
        <v>77</v>
      </c>
      <c r="K285" s="3" t="s">
        <v>2467</v>
      </c>
      <c r="L285" s="3" t="s">
        <v>2468</v>
      </c>
      <c r="M285" s="3" t="s">
        <v>2467</v>
      </c>
      <c r="N285" s="3" t="s">
        <v>1425</v>
      </c>
      <c r="O285" s="3">
        <v>1.0</v>
      </c>
    </row>
    <row r="286" ht="15.75" customHeight="1">
      <c r="A286" s="3" t="s">
        <v>2469</v>
      </c>
      <c r="B286" s="3" t="s">
        <v>2470</v>
      </c>
      <c r="C286" s="3" t="s">
        <v>2471</v>
      </c>
      <c r="D286" s="3" t="s">
        <v>2472</v>
      </c>
      <c r="E286" s="3" t="str">
        <f>IFERROR(__xludf.DUMMYFUNCTION("GOOGLETRANSLATE($D286,""EN"",""RU"")")," Кнопка повтора")</f>
        <v> Кнопка повтора</v>
      </c>
      <c r="F286" s="3" t="s">
        <v>637</v>
      </c>
      <c r="G286" s="3" t="s">
        <v>543</v>
      </c>
      <c r="H286" s="3" t="s">
        <v>102</v>
      </c>
      <c r="I286" s="3" t="s">
        <v>271</v>
      </c>
      <c r="J286" s="3" t="s">
        <v>187</v>
      </c>
      <c r="K286" s="3" t="s">
        <v>2473</v>
      </c>
      <c r="L286" s="3" t="s">
        <v>2462</v>
      </c>
      <c r="M286" s="3" t="s">
        <v>2378</v>
      </c>
      <c r="N286" s="3" t="s">
        <v>2474</v>
      </c>
      <c r="O286" s="3">
        <v>2.0</v>
      </c>
    </row>
    <row r="287" ht="15.75" customHeight="1">
      <c r="A287" s="3" t="s">
        <v>1330</v>
      </c>
      <c r="B287" s="3" t="s">
        <v>2475</v>
      </c>
      <c r="C287" s="3" t="s">
        <v>2476</v>
      </c>
      <c r="D287" s="3" t="s">
        <v>2477</v>
      </c>
      <c r="E287" s="3" t="str">
        <f>IFERROR(__xludf.DUMMYFUNCTION("GOOGLETRANSLATE($D287,""EN"",""RU"")")," Студийный микрофон")</f>
        <v> Студийный микрофон</v>
      </c>
      <c r="F287" s="3" t="s">
        <v>358</v>
      </c>
      <c r="G287" s="3" t="s">
        <v>543</v>
      </c>
      <c r="H287" s="3" t="s">
        <v>53</v>
      </c>
      <c r="I287" s="3" t="s">
        <v>391</v>
      </c>
      <c r="J287" s="3" t="s">
        <v>114</v>
      </c>
      <c r="K287" s="3" t="s">
        <v>2478</v>
      </c>
      <c r="L287" s="3" t="s">
        <v>2235</v>
      </c>
      <c r="M287" s="3" t="s">
        <v>2479</v>
      </c>
      <c r="N287" s="3" t="s">
        <v>2478</v>
      </c>
      <c r="O287" s="3">
        <v>2.0</v>
      </c>
    </row>
    <row r="288" ht="15.75" customHeight="1">
      <c r="A288" s="3" t="s">
        <v>2480</v>
      </c>
      <c r="B288" s="3" t="s">
        <v>2481</v>
      </c>
      <c r="C288" s="3" t="s">
        <v>2482</v>
      </c>
      <c r="D288" s="3" t="s">
        <v>2483</v>
      </c>
      <c r="E288" s="3" t="str">
        <f>IFERROR(__xludf.DUMMYFUNCTION("GOOGLETRANSLATE($D288,""EN"",""RU"")")," Нахмуренное лицо с открытым ртом")</f>
        <v> Нахмуренное лицо с открытым ртом</v>
      </c>
      <c r="F288" s="3" t="s">
        <v>19</v>
      </c>
      <c r="G288" s="3" t="s">
        <v>531</v>
      </c>
      <c r="H288" s="3" t="s">
        <v>449</v>
      </c>
      <c r="I288" s="3" t="s">
        <v>65</v>
      </c>
      <c r="J288" s="3" t="s">
        <v>28</v>
      </c>
      <c r="K288" s="3" t="s">
        <v>2484</v>
      </c>
      <c r="L288" s="3" t="s">
        <v>2485</v>
      </c>
      <c r="M288" s="3" t="s">
        <v>517</v>
      </c>
      <c r="N288" s="3" t="s">
        <v>2486</v>
      </c>
      <c r="O288" s="3">
        <v>0.0</v>
      </c>
    </row>
    <row r="289" ht="15.75" customHeight="1">
      <c r="A289" s="3" t="s">
        <v>2487</v>
      </c>
      <c r="B289" s="3" t="s">
        <v>2488</v>
      </c>
      <c r="C289" s="3" t="s">
        <v>2489</v>
      </c>
      <c r="D289" s="3" t="s">
        <v>2490</v>
      </c>
      <c r="E289" s="3" t="str">
        <f>IFERROR(__xludf.DUMMYFUNCTION("GOOGLETRANSLATE($D289,""EN"",""RU"")")," Облако со снегом")</f>
        <v> Облако со снегом</v>
      </c>
      <c r="F289" s="3" t="s">
        <v>81</v>
      </c>
      <c r="G289" s="3" t="s">
        <v>531</v>
      </c>
      <c r="H289" s="3" t="s">
        <v>77</v>
      </c>
      <c r="I289" s="3" t="s">
        <v>41</v>
      </c>
      <c r="J289" s="3" t="s">
        <v>426</v>
      </c>
      <c r="K289" s="3" t="s">
        <v>2491</v>
      </c>
      <c r="L289" s="3" t="s">
        <v>1970</v>
      </c>
      <c r="M289" s="3" t="s">
        <v>2492</v>
      </c>
      <c r="N289" s="3" t="s">
        <v>2493</v>
      </c>
      <c r="O289" s="3">
        <v>2.0</v>
      </c>
    </row>
    <row r="290" ht="15.75" customHeight="1">
      <c r="A290" s="3" t="s">
        <v>1320</v>
      </c>
      <c r="B290" s="3" t="s">
        <v>2494</v>
      </c>
      <c r="C290" s="3" t="s">
        <v>2495</v>
      </c>
      <c r="D290" s="3" t="s">
        <v>2496</v>
      </c>
      <c r="E290" s="3" t="str">
        <f>IFERROR(__xludf.DUMMYFUNCTION("GOOGLETRANSLATE($D290,""EN"",""RU"")")," Солнце за облаком")</f>
        <v> Солнце за облаком</v>
      </c>
      <c r="F290" s="3" t="s">
        <v>81</v>
      </c>
      <c r="G290" s="3" t="s">
        <v>531</v>
      </c>
      <c r="H290" s="3" t="s">
        <v>28</v>
      </c>
      <c r="I290" s="3" t="s">
        <v>126</v>
      </c>
      <c r="J290" s="3" t="s">
        <v>391</v>
      </c>
      <c r="K290" s="3" t="s">
        <v>517</v>
      </c>
      <c r="L290" s="3" t="s">
        <v>2497</v>
      </c>
      <c r="M290" s="3" t="s">
        <v>2498</v>
      </c>
      <c r="N290" s="3" t="s">
        <v>2499</v>
      </c>
      <c r="O290" s="3">
        <v>2.0</v>
      </c>
    </row>
    <row r="291" ht="15.75" customHeight="1">
      <c r="A291" s="3" t="s">
        <v>2500</v>
      </c>
      <c r="B291" s="3" t="s">
        <v>2501</v>
      </c>
      <c r="C291" s="3" t="s">
        <v>2502</v>
      </c>
      <c r="D291" s="3" t="s">
        <v>2503</v>
      </c>
      <c r="E291" s="3" t="str">
        <f>IFERROR(__xludf.DUMMYFUNCTION("GOOGLETRANSLATE($D291,""EN"",""RU"")")," Волнистая черта")</f>
        <v> Волнистая черта</v>
      </c>
      <c r="F291" s="3" t="s">
        <v>637</v>
      </c>
      <c r="G291" s="3" t="s">
        <v>531</v>
      </c>
      <c r="H291" s="3" t="s">
        <v>53</v>
      </c>
      <c r="I291" s="3" t="s">
        <v>330</v>
      </c>
      <c r="J291" s="3" t="s">
        <v>162</v>
      </c>
      <c r="K291" s="3" t="s">
        <v>2504</v>
      </c>
      <c r="L291" s="3" t="s">
        <v>2505</v>
      </c>
      <c r="M291" s="3" t="s">
        <v>2506</v>
      </c>
      <c r="N291" s="3" t="s">
        <v>2507</v>
      </c>
      <c r="O291" s="3">
        <v>2.0</v>
      </c>
    </row>
    <row r="292" ht="15.75" customHeight="1">
      <c r="A292" s="3" t="s">
        <v>325</v>
      </c>
      <c r="B292" s="3" t="s">
        <v>2508</v>
      </c>
      <c r="C292" s="3" t="s">
        <v>2509</v>
      </c>
      <c r="D292" s="3" t="s">
        <v>2510</v>
      </c>
      <c r="E292" s="3" t="str">
        <f>IFERROR(__xludf.DUMMYFUNCTION("GOOGLETRANSLATE($D292,""EN"",""RU"")")," Тяжелое умножение X")</f>
        <v> Тяжелое умножение X</v>
      </c>
      <c r="F292" s="3" t="s">
        <v>637</v>
      </c>
      <c r="G292" s="3" t="s">
        <v>531</v>
      </c>
      <c r="H292" s="3" t="s">
        <v>114</v>
      </c>
      <c r="I292" s="3" t="s">
        <v>379</v>
      </c>
      <c r="J292" s="3" t="s">
        <v>53</v>
      </c>
      <c r="K292" s="3" t="s">
        <v>1978</v>
      </c>
      <c r="L292" s="3" t="s">
        <v>2511</v>
      </c>
      <c r="M292" s="3" t="s">
        <v>2504</v>
      </c>
      <c r="N292" s="3" t="s">
        <v>2512</v>
      </c>
      <c r="O292" s="3">
        <v>0.0</v>
      </c>
    </row>
    <row r="293" ht="15.75" customHeight="1">
      <c r="A293" s="3" t="s">
        <v>2513</v>
      </c>
      <c r="B293" s="3" t="s">
        <v>2514</v>
      </c>
      <c r="C293" s="3" t="s">
        <v>2515</v>
      </c>
      <c r="D293" s="3" t="s">
        <v>2516</v>
      </c>
      <c r="E293" s="3" t="str">
        <f>IFERROR(__xludf.DUMMYFUNCTION("GOOGLETRANSLATE($D293,""EN"",""RU"")")," Горшок меда")</f>
        <v> Горшок меда</v>
      </c>
      <c r="F293" s="3" t="s">
        <v>1510</v>
      </c>
      <c r="G293" s="3" t="s">
        <v>531</v>
      </c>
      <c r="H293" s="3" t="s">
        <v>41</v>
      </c>
      <c r="I293" s="3" t="s">
        <v>342</v>
      </c>
      <c r="J293" s="3" t="s">
        <v>162</v>
      </c>
      <c r="K293" s="3" t="s">
        <v>1970</v>
      </c>
      <c r="L293" s="3" t="s">
        <v>2493</v>
      </c>
      <c r="M293" s="3" t="s">
        <v>2506</v>
      </c>
      <c r="N293" s="3" t="s">
        <v>2517</v>
      </c>
      <c r="O293" s="3">
        <v>2.0</v>
      </c>
    </row>
    <row r="294" ht="15.75" customHeight="1">
      <c r="A294" s="3" t="s">
        <v>2518</v>
      </c>
      <c r="B294" s="3" t="s">
        <v>2519</v>
      </c>
      <c r="C294" s="3" t="s">
        <v>2520</v>
      </c>
      <c r="D294" s="3" t="s">
        <v>2521</v>
      </c>
      <c r="E294" s="3" t="str">
        <f>IFERROR(__xludf.DUMMYFUNCTION("GOOGLETRANSLATE($D294,""EN"",""RU"")")," Глобус, показывающий Америку")</f>
        <v> Глобус, показывающий Америку</v>
      </c>
      <c r="F294" s="3" t="s">
        <v>81</v>
      </c>
      <c r="G294" s="3" t="s">
        <v>520</v>
      </c>
      <c r="H294" s="3" t="s">
        <v>211</v>
      </c>
      <c r="I294" s="3" t="s">
        <v>174</v>
      </c>
      <c r="J294" s="3" t="s">
        <v>150</v>
      </c>
      <c r="K294" s="3" t="s">
        <v>2522</v>
      </c>
      <c r="L294" s="3" t="s">
        <v>2523</v>
      </c>
      <c r="M294" s="3" t="s">
        <v>2524</v>
      </c>
      <c r="N294" s="3" t="s">
        <v>2525</v>
      </c>
      <c r="O294" s="3">
        <v>0.0</v>
      </c>
    </row>
    <row r="295" ht="15.75" customHeight="1">
      <c r="A295" s="3" t="s">
        <v>2526</v>
      </c>
      <c r="B295" s="3" t="s">
        <v>2527</v>
      </c>
      <c r="C295" s="3" t="s">
        <v>2528</v>
      </c>
      <c r="D295" s="3" t="s">
        <v>2529</v>
      </c>
      <c r="E295" s="3" t="str">
        <f>IFERROR(__xludf.DUMMYFUNCTION("GOOGLETRANSLATE($D295,""EN"",""RU"")")," Знак СТОП")</f>
        <v> Знак СТОП</v>
      </c>
      <c r="F295" s="3" t="s">
        <v>637</v>
      </c>
      <c r="G295" s="3" t="s">
        <v>520</v>
      </c>
      <c r="H295" s="3" t="s">
        <v>162</v>
      </c>
      <c r="I295" s="3" t="s">
        <v>223</v>
      </c>
      <c r="J295" s="3" t="s">
        <v>150</v>
      </c>
      <c r="K295" s="3" t="s">
        <v>2530</v>
      </c>
      <c r="L295" s="3" t="s">
        <v>2531</v>
      </c>
      <c r="M295" s="3" t="s">
        <v>2524</v>
      </c>
      <c r="N295" s="3" t="s">
        <v>2532</v>
      </c>
      <c r="O295" s="3">
        <v>1.0</v>
      </c>
    </row>
    <row r="296" ht="15.75" customHeight="1">
      <c r="A296" s="3" t="s">
        <v>1304</v>
      </c>
      <c r="B296" s="3" t="s">
        <v>2533</v>
      </c>
      <c r="C296" s="3" t="s">
        <v>2534</v>
      </c>
      <c r="D296" s="3" t="s">
        <v>2535</v>
      </c>
      <c r="E296" s="3" t="str">
        <f>IFERROR(__xludf.DUMMYFUNCTION("GOOGLETRANSLATE($D296,""EN"",""RU"")")," Позвони мне, рука")</f>
        <v> Позвони мне, рука</v>
      </c>
      <c r="F296" s="3" t="s">
        <v>178</v>
      </c>
      <c r="G296" s="3" t="s">
        <v>520</v>
      </c>
      <c r="H296" s="3" t="s">
        <v>126</v>
      </c>
      <c r="I296" s="3" t="s">
        <v>77</v>
      </c>
      <c r="J296" s="3" t="s">
        <v>330</v>
      </c>
      <c r="K296" s="3" t="s">
        <v>2536</v>
      </c>
      <c r="L296" s="3" t="s">
        <v>2537</v>
      </c>
      <c r="M296" s="3" t="s">
        <v>2538</v>
      </c>
      <c r="N296" s="3" t="s">
        <v>2539</v>
      </c>
      <c r="O296" s="3">
        <v>2.0</v>
      </c>
    </row>
    <row r="297" ht="15.75" customHeight="1">
      <c r="A297" s="3" t="s">
        <v>1295</v>
      </c>
      <c r="B297" s="3" t="s">
        <v>2540</v>
      </c>
      <c r="C297" s="3" t="s">
        <v>2541</v>
      </c>
      <c r="D297" s="3" t="s">
        <v>2542</v>
      </c>
      <c r="E297" s="3" t="str">
        <f>IFERROR(__xludf.DUMMYFUNCTION("GOOGLETRANSLATE($D297,""EN"",""RU"")")," Мечеть")</f>
        <v> Мечеть</v>
      </c>
      <c r="F297" s="3" t="s">
        <v>2127</v>
      </c>
      <c r="G297" s="3" t="s">
        <v>509</v>
      </c>
      <c r="H297" s="3" t="s">
        <v>28</v>
      </c>
      <c r="I297" s="3" t="s">
        <v>307</v>
      </c>
      <c r="J297" s="3" t="s">
        <v>187</v>
      </c>
      <c r="K297" s="3" t="s">
        <v>2288</v>
      </c>
      <c r="L297" s="3" t="s">
        <v>1991</v>
      </c>
      <c r="M297" s="3" t="s">
        <v>2543</v>
      </c>
      <c r="N297" s="3" t="s">
        <v>2544</v>
      </c>
      <c r="O297" s="3">
        <v>2.0</v>
      </c>
    </row>
    <row r="298" ht="15.75" customHeight="1">
      <c r="A298" s="3" t="s">
        <v>230</v>
      </c>
      <c r="B298" s="3" t="s">
        <v>2545</v>
      </c>
      <c r="C298" s="3" t="s">
        <v>2546</v>
      </c>
      <c r="D298" s="3" t="s">
        <v>2547</v>
      </c>
      <c r="E298" s="3" t="str">
        <f>IFERROR(__xludf.DUMMYFUNCTION("GOOGLETRANSLATE($D298,""EN"",""RU"")")," Водная волна")</f>
        <v> Водная волна</v>
      </c>
      <c r="F298" s="3" t="s">
        <v>81</v>
      </c>
      <c r="G298" s="3" t="s">
        <v>509</v>
      </c>
      <c r="H298" s="3" t="s">
        <v>53</v>
      </c>
      <c r="I298" s="3" t="s">
        <v>162</v>
      </c>
      <c r="J298" s="3" t="s">
        <v>307</v>
      </c>
      <c r="K298" s="3" t="s">
        <v>2247</v>
      </c>
      <c r="L298" s="3" t="s">
        <v>2548</v>
      </c>
      <c r="M298" s="3" t="s">
        <v>1991</v>
      </c>
      <c r="N298" s="3" t="s">
        <v>2549</v>
      </c>
      <c r="O298" s="3">
        <v>2.0</v>
      </c>
    </row>
    <row r="299" ht="15.75" customHeight="1">
      <c r="A299" s="3" t="s">
        <v>650</v>
      </c>
      <c r="B299" s="3" t="s">
        <v>2550</v>
      </c>
      <c r="C299" s="3" t="s">
        <v>2551</v>
      </c>
      <c r="D299" s="3" t="s">
        <v>2552</v>
      </c>
      <c r="E299" s="3" t="str">
        <f>IFERROR(__xludf.DUMMYFUNCTION("GOOGLETRANSLATE($D299,""EN"",""RU"")")," Камера")</f>
        <v> Камера</v>
      </c>
      <c r="F299" s="3" t="s">
        <v>358</v>
      </c>
      <c r="G299" s="3" t="s">
        <v>509</v>
      </c>
      <c r="H299" s="3" t="s">
        <v>53</v>
      </c>
      <c r="I299" s="3" t="s">
        <v>295</v>
      </c>
      <c r="J299" s="3" t="s">
        <v>174</v>
      </c>
      <c r="K299" s="3" t="s">
        <v>2247</v>
      </c>
      <c r="L299" s="3" t="s">
        <v>2553</v>
      </c>
      <c r="M299" s="3" t="s">
        <v>2378</v>
      </c>
      <c r="N299" s="3" t="s">
        <v>2372</v>
      </c>
      <c r="O299" s="3">
        <v>2.0</v>
      </c>
    </row>
    <row r="300" ht="15.75" customHeight="1">
      <c r="A300" s="3" t="s">
        <v>2554</v>
      </c>
      <c r="B300" s="3" t="s">
        <v>2555</v>
      </c>
      <c r="C300" s="3" t="s">
        <v>2556</v>
      </c>
      <c r="D300" s="3" t="s">
        <v>2557</v>
      </c>
      <c r="E300" s="3" t="str">
        <f>IFERROR(__xludf.DUMMYFUNCTION("GOOGLETRANSLATE($D300,""EN"",""RU"")")," Мегафон")</f>
        <v> Мегафон</v>
      </c>
      <c r="F300" s="3" t="s">
        <v>358</v>
      </c>
      <c r="G300" s="3" t="s">
        <v>509</v>
      </c>
      <c r="H300" s="3" t="s">
        <v>150</v>
      </c>
      <c r="I300" s="3" t="s">
        <v>259</v>
      </c>
      <c r="J300" s="3" t="s">
        <v>114</v>
      </c>
      <c r="K300" s="3" t="s">
        <v>2544</v>
      </c>
      <c r="L300" s="3" t="s">
        <v>2558</v>
      </c>
      <c r="M300" s="3" t="s">
        <v>2372</v>
      </c>
      <c r="N300" s="3" t="s">
        <v>2559</v>
      </c>
      <c r="O300" s="3">
        <v>0.0</v>
      </c>
    </row>
    <row r="301" ht="15.75" customHeight="1">
      <c r="A301" s="3" t="s">
        <v>1286</v>
      </c>
      <c r="B301" s="3" t="s">
        <v>2560</v>
      </c>
      <c r="C301" s="3" t="s">
        <v>2561</v>
      </c>
      <c r="D301" s="3" t="s">
        <v>2562</v>
      </c>
      <c r="E301" s="3" t="str">
        <f>IFERROR(__xludf.DUMMYFUNCTION("GOOGLETRANSLATE($D301,""EN"",""RU"")")," бенгальский огонь")</f>
        <v> бенгальский огонь</v>
      </c>
      <c r="F301" s="3" t="s">
        <v>358</v>
      </c>
      <c r="G301" s="3" t="s">
        <v>497</v>
      </c>
      <c r="H301" s="3" t="s">
        <v>41</v>
      </c>
      <c r="I301" s="3" t="s">
        <v>187</v>
      </c>
      <c r="J301" s="3" t="s">
        <v>283</v>
      </c>
      <c r="K301" s="3" t="s">
        <v>1659</v>
      </c>
      <c r="L301" s="3" t="s">
        <v>2221</v>
      </c>
      <c r="M301" s="3" t="s">
        <v>2079</v>
      </c>
      <c r="N301" s="3" t="s">
        <v>2563</v>
      </c>
      <c r="O301" s="3">
        <v>2.0</v>
      </c>
    </row>
    <row r="302" ht="15.75" customHeight="1">
      <c r="A302" s="3" t="s">
        <v>2564</v>
      </c>
      <c r="B302" s="3" t="s">
        <v>2565</v>
      </c>
      <c r="C302" s="3" t="s">
        <v>2566</v>
      </c>
      <c r="D302" s="3" t="s">
        <v>2567</v>
      </c>
      <c r="E302" s="3" t="str">
        <f>IFERROR(__xludf.DUMMYFUNCTION("GOOGLETRANSLATE($D302,""EN"",""RU"")")," Ззз")</f>
        <v> Ззз</v>
      </c>
      <c r="F302" s="3" t="s">
        <v>637</v>
      </c>
      <c r="G302" s="3" t="s">
        <v>497</v>
      </c>
      <c r="H302" s="3" t="s">
        <v>53</v>
      </c>
      <c r="I302" s="3" t="s">
        <v>90</v>
      </c>
      <c r="J302" s="3" t="s">
        <v>367</v>
      </c>
      <c r="K302" s="3" t="s">
        <v>2568</v>
      </c>
      <c r="L302" s="3" t="s">
        <v>2569</v>
      </c>
      <c r="M302" s="3" t="s">
        <v>2570</v>
      </c>
      <c r="N302" s="3" t="s">
        <v>2571</v>
      </c>
      <c r="O302" s="3">
        <v>2.0</v>
      </c>
    </row>
    <row r="303" ht="15.75" customHeight="1">
      <c r="A303" s="3" t="s">
        <v>442</v>
      </c>
      <c r="B303" s="3" t="s">
        <v>2572</v>
      </c>
      <c r="C303" s="3" t="s">
        <v>2573</v>
      </c>
      <c r="D303" s="3" t="s">
        <v>2574</v>
      </c>
      <c r="E303" s="3" t="str">
        <f>IFERROR(__xludf.DUMMYFUNCTION("GOOGLETRANSLATE($D303,""EN"",""RU"")")," Таблетка")</f>
        <v> Таблетка</v>
      </c>
      <c r="F303" s="3" t="s">
        <v>358</v>
      </c>
      <c r="G303" s="3" t="s">
        <v>497</v>
      </c>
      <c r="H303" s="3" t="s">
        <v>138</v>
      </c>
      <c r="I303" s="3" t="s">
        <v>102</v>
      </c>
      <c r="J303" s="3" t="s">
        <v>271</v>
      </c>
      <c r="K303" s="3" t="s">
        <v>2575</v>
      </c>
      <c r="L303" s="3" t="s">
        <v>2576</v>
      </c>
      <c r="M303" s="3" t="s">
        <v>2577</v>
      </c>
      <c r="N303" s="3" t="s">
        <v>1798</v>
      </c>
      <c r="O303" s="3">
        <v>2.0</v>
      </c>
    </row>
    <row r="304" ht="15.75" customHeight="1">
      <c r="A304" s="3" t="s">
        <v>1277</v>
      </c>
      <c r="B304" s="3" t="s">
        <v>2578</v>
      </c>
      <c r="C304" s="3" t="s">
        <v>2579</v>
      </c>
      <c r="D304" s="3" t="s">
        <v>2580</v>
      </c>
      <c r="E304" s="3" t="str">
        <f>IFERROR(__xludf.DUMMYFUNCTION("GOOGLETRANSLATE($D304,""EN"",""RU"")")," Сигарета")</f>
        <v> Сигарета</v>
      </c>
      <c r="F304" s="3" t="s">
        <v>358</v>
      </c>
      <c r="G304" s="3" t="s">
        <v>497</v>
      </c>
      <c r="H304" s="3" t="s">
        <v>187</v>
      </c>
      <c r="I304" s="3" t="s">
        <v>138</v>
      </c>
      <c r="J304" s="3" t="s">
        <v>187</v>
      </c>
      <c r="K304" s="3" t="s">
        <v>2221</v>
      </c>
      <c r="L304" s="3" t="s">
        <v>2575</v>
      </c>
      <c r="M304" s="3" t="s">
        <v>2221</v>
      </c>
      <c r="N304" s="3" t="s">
        <v>1425</v>
      </c>
      <c r="O304" s="3">
        <v>1.0</v>
      </c>
    </row>
    <row r="305" ht="15.75" customHeight="1">
      <c r="A305" s="3" t="s">
        <v>2581</v>
      </c>
      <c r="B305" s="3" t="s">
        <v>2582</v>
      </c>
      <c r="C305" s="3" t="s">
        <v>2583</v>
      </c>
      <c r="D305" s="3" t="s">
        <v>2584</v>
      </c>
      <c r="E305" s="3" t="str">
        <f>IFERROR(__xludf.DUMMYFUNCTION("GOOGLETRANSLATE($D305,""EN"",""RU"")")," Медаль за 1 место")</f>
        <v> Медаль за 1 место</v>
      </c>
      <c r="F305" s="3" t="s">
        <v>358</v>
      </c>
      <c r="G305" s="3" t="s">
        <v>485</v>
      </c>
      <c r="H305" s="3" t="s">
        <v>138</v>
      </c>
      <c r="I305" s="3" t="s">
        <v>126</v>
      </c>
      <c r="J305" s="3" t="s">
        <v>235</v>
      </c>
      <c r="K305" s="3" t="s">
        <v>2585</v>
      </c>
      <c r="L305" s="3" t="s">
        <v>2014</v>
      </c>
      <c r="M305" s="3" t="s">
        <v>2586</v>
      </c>
      <c r="N305" s="3" t="s">
        <v>2587</v>
      </c>
      <c r="O305" s="3">
        <v>2.0</v>
      </c>
    </row>
    <row r="306" ht="15.75" customHeight="1">
      <c r="A306" s="3" t="s">
        <v>361</v>
      </c>
      <c r="B306" s="3" t="s">
        <v>2588</v>
      </c>
      <c r="C306" s="3" t="s">
        <v>2589</v>
      </c>
      <c r="D306" s="3" t="s">
        <v>2590</v>
      </c>
      <c r="E306" s="3" t="str">
        <f>IFERROR(__xludf.DUMMYFUNCTION("GOOGLETRANSLATE($D306,""EN"",""RU"")")," Открой книгу")</f>
        <v> Открой книгу</v>
      </c>
      <c r="F306" s="3" t="s">
        <v>358</v>
      </c>
      <c r="G306" s="3" t="s">
        <v>485</v>
      </c>
      <c r="H306" s="3" t="s">
        <v>41</v>
      </c>
      <c r="I306" s="3" t="s">
        <v>138</v>
      </c>
      <c r="J306" s="3" t="s">
        <v>319</v>
      </c>
      <c r="K306" s="3" t="s">
        <v>2591</v>
      </c>
      <c r="L306" s="3" t="s">
        <v>2585</v>
      </c>
      <c r="M306" s="3" t="s">
        <v>2592</v>
      </c>
      <c r="N306" s="3" t="s">
        <v>2593</v>
      </c>
      <c r="O306" s="3">
        <v>2.0</v>
      </c>
    </row>
    <row r="307" ht="15.75" customHeight="1">
      <c r="A307" s="3" t="s">
        <v>2594</v>
      </c>
      <c r="B307" s="3" t="s">
        <v>2595</v>
      </c>
      <c r="C307" s="3" t="s">
        <v>2596</v>
      </c>
      <c r="D307" s="3" t="s">
        <v>2597</v>
      </c>
      <c r="E307" s="3" t="str">
        <f>IFERROR(__xludf.DUMMYFUNCTION("GOOGLETRANSLATE($D307,""EN"",""RU"")")," Лицо клоуна")</f>
        <v> Лицо клоуна</v>
      </c>
      <c r="F307" s="3" t="s">
        <v>358</v>
      </c>
      <c r="G307" s="3" t="s">
        <v>485</v>
      </c>
      <c r="H307" s="3" t="s">
        <v>307</v>
      </c>
      <c r="I307" s="3" t="s">
        <v>102</v>
      </c>
      <c r="J307" s="3" t="s">
        <v>90</v>
      </c>
      <c r="K307" s="3" t="s">
        <v>2598</v>
      </c>
      <c r="L307" s="3" t="s">
        <v>2599</v>
      </c>
      <c r="M307" s="3" t="s">
        <v>2587</v>
      </c>
      <c r="N307" s="3" t="s">
        <v>2600</v>
      </c>
      <c r="O307" s="3">
        <v>0.0</v>
      </c>
    </row>
    <row r="308" ht="15.75" customHeight="1">
      <c r="A308" s="3" t="s">
        <v>2601</v>
      </c>
      <c r="B308" s="3" t="s">
        <v>2602</v>
      </c>
      <c r="C308" s="3" t="s">
        <v>2603</v>
      </c>
      <c r="D308" s="3" t="s">
        <v>2604</v>
      </c>
      <c r="E308" s="3" t="str">
        <f>IFERROR(__xludf.DUMMYFUNCTION("GOOGLETRANSLATE($D308,""EN"",""RU"")")," Черный Малый Квадрат")</f>
        <v> Черный Малый Квадрат</v>
      </c>
      <c r="F308" s="3" t="s">
        <v>637</v>
      </c>
      <c r="G308" s="3" t="s">
        <v>485</v>
      </c>
      <c r="H308" s="3" t="s">
        <v>126</v>
      </c>
      <c r="I308" s="3" t="s">
        <v>283</v>
      </c>
      <c r="J308" s="3" t="s">
        <v>90</v>
      </c>
      <c r="K308" s="3" t="s">
        <v>2014</v>
      </c>
      <c r="L308" s="3" t="s">
        <v>2605</v>
      </c>
      <c r="M308" s="3" t="s">
        <v>2587</v>
      </c>
      <c r="N308" s="3" t="s">
        <v>2606</v>
      </c>
      <c r="O308" s="3">
        <v>0.0</v>
      </c>
    </row>
    <row r="309" ht="15.75" customHeight="1">
      <c r="A309" s="3" t="s">
        <v>2607</v>
      </c>
      <c r="B309" s="3" t="s">
        <v>2608</v>
      </c>
      <c r="C309" s="3" t="s">
        <v>2609</v>
      </c>
      <c r="D309" s="3" t="s">
        <v>2610</v>
      </c>
      <c r="E309" s="3" t="str">
        <f>IFERROR(__xludf.DUMMYFUNCTION("GOOGLETRANSLATE($D309,""EN"",""RU"")")," Белый цветок")</f>
        <v> Белый цветок</v>
      </c>
      <c r="F309" s="3" t="s">
        <v>81</v>
      </c>
      <c r="G309" s="3" t="s">
        <v>485</v>
      </c>
      <c r="H309" s="3" t="s">
        <v>2226</v>
      </c>
      <c r="I309" s="3" t="s">
        <v>235</v>
      </c>
      <c r="J309" s="3" t="s">
        <v>259</v>
      </c>
      <c r="K309" s="3" t="s">
        <v>2611</v>
      </c>
      <c r="L309" s="3" t="s">
        <v>2586</v>
      </c>
      <c r="M309" s="3" t="s">
        <v>2612</v>
      </c>
      <c r="N309" s="3" t="s">
        <v>2613</v>
      </c>
      <c r="O309" s="3">
        <v>2.0</v>
      </c>
    </row>
    <row r="310" ht="15.75" customHeight="1">
      <c r="A310" s="3" t="s">
        <v>1030</v>
      </c>
      <c r="B310" s="3" t="s">
        <v>2614</v>
      </c>
      <c r="C310" s="3" t="s">
        <v>2615</v>
      </c>
      <c r="D310" s="3" t="s">
        <v>2616</v>
      </c>
      <c r="E310" s="3" t="str">
        <f>IFERROR(__xludf.DUMMYFUNCTION("GOOGLETRANSLATE($D310,""EN"",""RU"")")," Кнопка со стрелками против часовой стрелки")</f>
        <v> Кнопка со стрелками против часовой стрелки</v>
      </c>
      <c r="F310" s="3" t="s">
        <v>637</v>
      </c>
      <c r="G310" s="3" t="s">
        <v>473</v>
      </c>
      <c r="H310" s="3" t="s">
        <v>15</v>
      </c>
      <c r="I310" s="3" t="s">
        <v>342</v>
      </c>
      <c r="J310" s="3" t="s">
        <v>126</v>
      </c>
      <c r="K310" s="3" t="s">
        <v>2617</v>
      </c>
      <c r="L310" s="3" t="s">
        <v>1051</v>
      </c>
      <c r="M310" s="3" t="s">
        <v>2618</v>
      </c>
      <c r="N310" s="3" t="s">
        <v>2619</v>
      </c>
      <c r="O310" s="3">
        <v>2.0</v>
      </c>
    </row>
    <row r="311" ht="15.75" customHeight="1">
      <c r="A311" s="3" t="s">
        <v>2620</v>
      </c>
      <c r="B311" s="3" t="s">
        <v>2621</v>
      </c>
      <c r="C311" s="3" t="s">
        <v>2622</v>
      </c>
      <c r="D311" s="3" t="s">
        <v>2623</v>
      </c>
      <c r="E311" s="3" t="str">
        <f>IFERROR(__xludf.DUMMYFUNCTION("GOOGLETRANSLATE($D311,""EN"",""RU"")")," Символ регионального индикатора, буква K")</f>
        <v> Символ регионального индикатора, буква K</v>
      </c>
      <c r="F311" s="3" t="s">
        <v>637</v>
      </c>
      <c r="G311" s="3" t="s">
        <v>473</v>
      </c>
      <c r="H311" s="3" t="s">
        <v>41</v>
      </c>
      <c r="I311" s="3" t="s">
        <v>174</v>
      </c>
      <c r="J311" s="3" t="s">
        <v>271</v>
      </c>
      <c r="K311" s="3" t="s">
        <v>1708</v>
      </c>
      <c r="L311" s="3" t="s">
        <v>2624</v>
      </c>
      <c r="M311" s="3" t="s">
        <v>2625</v>
      </c>
      <c r="N311" s="3" t="s">
        <v>2626</v>
      </c>
      <c r="O311" s="3">
        <v>2.0</v>
      </c>
    </row>
    <row r="312" ht="15.75" customHeight="1">
      <c r="A312" s="3" t="s">
        <v>1267</v>
      </c>
      <c r="B312" s="3" t="s">
        <v>2627</v>
      </c>
      <c r="C312" s="3" t="s">
        <v>2628</v>
      </c>
      <c r="D312" s="3" t="s">
        <v>2629</v>
      </c>
      <c r="E312" s="3" t="str">
        <f>IFERROR(__xludf.DUMMYFUNCTION("GOOGLETRANSLATE($D312,""EN"",""RU"")")," Стрелка вправо, изгибающаяся вниз")</f>
        <v> Стрелка вправо, изгибающаяся вниз</v>
      </c>
      <c r="F312" s="3" t="s">
        <v>637</v>
      </c>
      <c r="G312" s="3" t="s">
        <v>473</v>
      </c>
      <c r="H312" s="3" t="s">
        <v>90</v>
      </c>
      <c r="I312" s="3" t="s">
        <v>223</v>
      </c>
      <c r="J312" s="3" t="s">
        <v>174</v>
      </c>
      <c r="K312" s="3" t="s">
        <v>2630</v>
      </c>
      <c r="L312" s="3" t="s">
        <v>2631</v>
      </c>
      <c r="M312" s="3" t="s">
        <v>2624</v>
      </c>
      <c r="N312" s="3" t="s">
        <v>2632</v>
      </c>
      <c r="O312" s="3">
        <v>2.0</v>
      </c>
    </row>
    <row r="313" ht="15.75" customHeight="1">
      <c r="A313" s="3" t="s">
        <v>2633</v>
      </c>
      <c r="B313" s="3" t="s">
        <v>2634</v>
      </c>
      <c r="C313" s="3" t="s">
        <v>2635</v>
      </c>
      <c r="D313" s="3" t="s">
        <v>2636</v>
      </c>
      <c r="E313" s="3" t="str">
        <f>IFERROR(__xludf.DUMMYFUNCTION("GOOGLETRANSLATE($D313,""EN"",""RU"")")," Дерево Танабата")</f>
        <v> Дерево Танабата</v>
      </c>
      <c r="F313" s="3" t="s">
        <v>81</v>
      </c>
      <c r="G313" s="3" t="s">
        <v>461</v>
      </c>
      <c r="H313" s="3" t="s">
        <v>41</v>
      </c>
      <c r="I313" s="3" t="s">
        <v>187</v>
      </c>
      <c r="J313" s="3" t="s">
        <v>247</v>
      </c>
      <c r="K313" s="3" t="s">
        <v>2637</v>
      </c>
      <c r="L313" s="3" t="s">
        <v>2638</v>
      </c>
      <c r="M313" s="3" t="s">
        <v>2639</v>
      </c>
      <c r="N313" s="3" t="s">
        <v>2640</v>
      </c>
      <c r="O313" s="3">
        <v>2.0</v>
      </c>
    </row>
    <row r="314" ht="15.75" customHeight="1">
      <c r="A314" s="3" t="s">
        <v>253</v>
      </c>
      <c r="B314" s="3" t="s">
        <v>2641</v>
      </c>
      <c r="C314" s="3" t="s">
        <v>2642</v>
      </c>
      <c r="D314" s="3" t="s">
        <v>2643</v>
      </c>
      <c r="E314" s="3" t="str">
        <f>IFERROR(__xludf.DUMMYFUNCTION("GOOGLETRANSLATE($D314,""EN"",""RU"")")," Ливия")</f>
        <v> Ливия</v>
      </c>
      <c r="F314" s="3" t="s">
        <v>559</v>
      </c>
      <c r="G314" s="3" t="s">
        <v>461</v>
      </c>
      <c r="H314" s="3" t="s">
        <v>28</v>
      </c>
      <c r="I314" s="3" t="s">
        <v>402</v>
      </c>
      <c r="J314" s="3" t="s">
        <v>41</v>
      </c>
      <c r="K314" s="3" t="s">
        <v>1787</v>
      </c>
      <c r="L314" s="3" t="s">
        <v>2644</v>
      </c>
      <c r="M314" s="3" t="s">
        <v>2637</v>
      </c>
      <c r="N314" s="3" t="s">
        <v>2645</v>
      </c>
      <c r="O314" s="3">
        <v>1.0</v>
      </c>
    </row>
    <row r="315" ht="15.75" customHeight="1">
      <c r="A315" s="3" t="s">
        <v>1151</v>
      </c>
      <c r="B315" s="3" t="s">
        <v>2646</v>
      </c>
      <c r="C315" s="3" t="s">
        <v>2647</v>
      </c>
      <c r="D315" s="3" t="s">
        <v>2648</v>
      </c>
      <c r="E315" s="3" t="str">
        <f>IFERROR(__xludf.DUMMYFUNCTION("GOOGLETRANSLATE($D315,""EN"",""RU"")")," Пара с сердцем")</f>
        <v> Пара с сердцем</v>
      </c>
      <c r="F315" s="3" t="s">
        <v>2649</v>
      </c>
      <c r="G315" s="3" t="s">
        <v>461</v>
      </c>
      <c r="H315" s="3" t="s">
        <v>53</v>
      </c>
      <c r="I315" s="3" t="s">
        <v>138</v>
      </c>
      <c r="J315" s="3" t="s">
        <v>283</v>
      </c>
      <c r="K315" s="3" t="s">
        <v>2650</v>
      </c>
      <c r="L315" s="3" t="s">
        <v>2651</v>
      </c>
      <c r="M315" s="3" t="s">
        <v>2652</v>
      </c>
      <c r="N315" s="3" t="s">
        <v>2653</v>
      </c>
      <c r="O315" s="3">
        <v>2.0</v>
      </c>
    </row>
    <row r="316" ht="15.75" customHeight="1">
      <c r="A316" s="3" t="s">
        <v>2654</v>
      </c>
      <c r="B316" s="3" t="s">
        <v>2655</v>
      </c>
      <c r="C316" s="3" t="s">
        <v>2656</v>
      </c>
      <c r="D316" s="3" t="s">
        <v>2657</v>
      </c>
      <c r="E316" s="3" t="str">
        <f>IFERROR(__xludf.DUMMYFUNCTION("GOOGLETRANSLATE($D316,""EN"",""RU"")")," Черное перо")</f>
        <v> Черное перо</v>
      </c>
      <c r="F316" s="3" t="s">
        <v>358</v>
      </c>
      <c r="G316" s="3" t="s">
        <v>461</v>
      </c>
      <c r="H316" s="3" t="s">
        <v>77</v>
      </c>
      <c r="I316" s="3" t="s">
        <v>187</v>
      </c>
      <c r="J316" s="3" t="s">
        <v>211</v>
      </c>
      <c r="K316" s="3" t="s">
        <v>2658</v>
      </c>
      <c r="L316" s="3" t="s">
        <v>2638</v>
      </c>
      <c r="M316" s="3" t="s">
        <v>2659</v>
      </c>
      <c r="N316" s="3" t="s">
        <v>2660</v>
      </c>
      <c r="O316" s="3">
        <v>2.0</v>
      </c>
    </row>
    <row r="317" ht="15.75" customHeight="1">
      <c r="A317" s="3" t="s">
        <v>2661</v>
      </c>
      <c r="B317" s="3" t="s">
        <v>2662</v>
      </c>
      <c r="C317" s="3" t="s">
        <v>2663</v>
      </c>
      <c r="D317" s="3" t="s">
        <v>2664</v>
      </c>
      <c r="E317" s="3" t="str">
        <f>IFERROR(__xludf.DUMMYFUNCTION("GOOGLETRANSLATE($D317,""EN"",""RU"")")," Настольный компьютер")</f>
        <v> Настольный компьютер</v>
      </c>
      <c r="F317" s="3" t="s">
        <v>358</v>
      </c>
      <c r="G317" s="3" t="s">
        <v>449</v>
      </c>
      <c r="H317" s="3" t="s">
        <v>2226</v>
      </c>
      <c r="I317" s="3" t="s">
        <v>449</v>
      </c>
      <c r="J317" s="3" t="s">
        <v>2226</v>
      </c>
      <c r="K317" s="3" t="s">
        <v>2665</v>
      </c>
      <c r="L317" s="3" t="s">
        <v>2666</v>
      </c>
      <c r="M317" s="3" t="s">
        <v>2665</v>
      </c>
      <c r="N317" s="3" t="s">
        <v>1425</v>
      </c>
      <c r="O317" s="3">
        <v>1.0</v>
      </c>
    </row>
    <row r="318" ht="15.75" customHeight="1">
      <c r="A318" s="3" t="s">
        <v>2667</v>
      </c>
      <c r="B318" s="3" t="s">
        <v>2668</v>
      </c>
      <c r="C318" s="3" t="s">
        <v>2669</v>
      </c>
      <c r="D318" s="3" t="s">
        <v>2670</v>
      </c>
      <c r="E318" s="3" t="str">
        <f>IFERROR(__xludf.DUMMYFUNCTION("GOOGLETRANSLATE($D318,""EN"",""RU"")")," Алмаз с точкой")</f>
        <v> Алмаз с точкой</v>
      </c>
      <c r="F318" s="3" t="s">
        <v>358</v>
      </c>
      <c r="G318" s="3" t="s">
        <v>449</v>
      </c>
      <c r="H318" s="3" t="s">
        <v>2226</v>
      </c>
      <c r="I318" s="3" t="s">
        <v>247</v>
      </c>
      <c r="J318" s="3" t="s">
        <v>211</v>
      </c>
      <c r="K318" s="3" t="s">
        <v>2665</v>
      </c>
      <c r="L318" s="3" t="s">
        <v>2671</v>
      </c>
      <c r="M318" s="3" t="s">
        <v>2672</v>
      </c>
      <c r="N318" s="3" t="s">
        <v>2673</v>
      </c>
      <c r="O318" s="3">
        <v>2.0</v>
      </c>
    </row>
    <row r="319" ht="15.75" customHeight="1">
      <c r="A319" s="3" t="s">
        <v>1048</v>
      </c>
      <c r="B319" s="3" t="s">
        <v>2674</v>
      </c>
      <c r="C319" s="3" t="s">
        <v>2675</v>
      </c>
      <c r="D319" s="3" t="s">
        <v>2676</v>
      </c>
      <c r="E319" s="3" t="str">
        <f>IFERROR(__xludf.DUMMYFUNCTION("GOOGLETRANSLATE($D319,""EN"",""RU"")")," Белый Малый Квадрат")</f>
        <v> Белый Малый Квадрат</v>
      </c>
      <c r="F319" s="3" t="s">
        <v>637</v>
      </c>
      <c r="G319" s="3" t="s">
        <v>449</v>
      </c>
      <c r="H319" s="3" t="s">
        <v>90</v>
      </c>
      <c r="I319" s="3" t="s">
        <v>271</v>
      </c>
      <c r="J319" s="3" t="s">
        <v>102</v>
      </c>
      <c r="K319" s="3" t="s">
        <v>940</v>
      </c>
      <c r="L319" s="3" t="s">
        <v>2677</v>
      </c>
      <c r="M319" s="3" t="s">
        <v>2678</v>
      </c>
      <c r="N319" s="3" t="s">
        <v>2679</v>
      </c>
      <c r="O319" s="3">
        <v>1.0</v>
      </c>
    </row>
    <row r="320" ht="15.75" customHeight="1">
      <c r="A320" s="3" t="s">
        <v>2680</v>
      </c>
      <c r="B320" s="3" t="s">
        <v>2681</v>
      </c>
      <c r="C320" s="3" t="s">
        <v>2682</v>
      </c>
      <c r="D320" s="3" t="s">
        <v>2683</v>
      </c>
      <c r="E320" s="3" t="str">
        <f>IFERROR(__xludf.DUMMYFUNCTION("GOOGLETRANSLATE($D320,""EN"",""RU"")")," Надутая кошачья морда")</f>
        <v> Надутая кошачья морда</v>
      </c>
      <c r="F320" s="3" t="s">
        <v>19</v>
      </c>
      <c r="G320" s="3" t="s">
        <v>449</v>
      </c>
      <c r="H320" s="3" t="s">
        <v>330</v>
      </c>
      <c r="I320" s="3" t="s">
        <v>28</v>
      </c>
      <c r="J320" s="3" t="s">
        <v>102</v>
      </c>
      <c r="K320" s="3" t="s">
        <v>2684</v>
      </c>
      <c r="L320" s="3" t="s">
        <v>2685</v>
      </c>
      <c r="M320" s="3" t="s">
        <v>2678</v>
      </c>
      <c r="N320" s="3" t="s">
        <v>2686</v>
      </c>
      <c r="O320" s="3">
        <v>0.0</v>
      </c>
    </row>
    <row r="321" ht="15.75" customHeight="1">
      <c r="A321" s="3" t="s">
        <v>2687</v>
      </c>
      <c r="B321" s="3" t="s">
        <v>2688</v>
      </c>
      <c r="C321" s="3" t="s">
        <v>2689</v>
      </c>
      <c r="D321" s="3" t="s">
        <v>2690</v>
      </c>
      <c r="E321" s="3" t="str">
        <f>IFERROR(__xludf.DUMMYFUNCTION("GOOGLETRANSLATE($D321,""EN"",""RU"")")," Капелька")</f>
        <v> Капелька</v>
      </c>
      <c r="F321" s="3" t="s">
        <v>81</v>
      </c>
      <c r="G321" s="3" t="s">
        <v>449</v>
      </c>
      <c r="H321" s="3" t="s">
        <v>77</v>
      </c>
      <c r="I321" s="3" t="s">
        <v>150</v>
      </c>
      <c r="J321" s="3" t="s">
        <v>235</v>
      </c>
      <c r="K321" s="3" t="s">
        <v>2691</v>
      </c>
      <c r="L321" s="3" t="s">
        <v>2692</v>
      </c>
      <c r="M321" s="3" t="s">
        <v>1675</v>
      </c>
      <c r="N321" s="3" t="s">
        <v>2692</v>
      </c>
      <c r="O321" s="3">
        <v>2.0</v>
      </c>
    </row>
    <row r="322" ht="15.75" customHeight="1">
      <c r="A322" s="3" t="s">
        <v>2693</v>
      </c>
      <c r="B322" s="3" t="s">
        <v>2694</v>
      </c>
      <c r="C322" s="3" t="s">
        <v>2695</v>
      </c>
      <c r="D322" s="3" t="s">
        <v>2696</v>
      </c>
      <c r="E322" s="3" t="str">
        <f>IFERROR(__xludf.DUMMYFUNCTION("GOOGLETRANSLATE($D322,""EN"",""RU"")")," Кошачье лицо с кривой улыбкой")</f>
        <v> Кошачье лицо с кривой улыбкой</v>
      </c>
      <c r="F322" s="3" t="s">
        <v>19</v>
      </c>
      <c r="G322" s="3" t="s">
        <v>449</v>
      </c>
      <c r="H322" s="3" t="s">
        <v>379</v>
      </c>
      <c r="I322" s="3" t="s">
        <v>28</v>
      </c>
      <c r="J322" s="3" t="s">
        <v>53</v>
      </c>
      <c r="K322" s="3" t="s">
        <v>2056</v>
      </c>
      <c r="L322" s="3" t="s">
        <v>2685</v>
      </c>
      <c r="M322" s="3" t="s">
        <v>2463</v>
      </c>
      <c r="N322" s="3" t="s">
        <v>2697</v>
      </c>
      <c r="O322" s="3">
        <v>0.0</v>
      </c>
    </row>
    <row r="323" ht="15.75" customHeight="1">
      <c r="A323" s="3" t="s">
        <v>2698</v>
      </c>
      <c r="B323" s="3" t="s">
        <v>2699</v>
      </c>
      <c r="C323" s="3" t="s">
        <v>2700</v>
      </c>
      <c r="D323" s="3" t="s">
        <v>2701</v>
      </c>
      <c r="E323" s="3" t="str">
        <f>IFERROR(__xludf.DUMMYFUNCTION("GOOGLETRANSLATE($D323,""EN"",""RU"")")," Ливан")</f>
        <v> Ливан</v>
      </c>
      <c r="F323" s="3" t="s">
        <v>559</v>
      </c>
      <c r="G323" s="3" t="s">
        <v>449</v>
      </c>
      <c r="H323" s="3" t="s">
        <v>126</v>
      </c>
      <c r="I323" s="3" t="s">
        <v>41</v>
      </c>
      <c r="J323" s="3" t="s">
        <v>295</v>
      </c>
      <c r="K323" s="3" t="s">
        <v>2702</v>
      </c>
      <c r="L323" s="3" t="s">
        <v>1990</v>
      </c>
      <c r="M323" s="3" t="s">
        <v>1950</v>
      </c>
      <c r="N323" s="3" t="s">
        <v>1342</v>
      </c>
      <c r="O323" s="3">
        <v>2.0</v>
      </c>
    </row>
    <row r="324" ht="15.75" customHeight="1">
      <c r="A324" s="3" t="s">
        <v>2703</v>
      </c>
      <c r="B324" s="3" t="s">
        <v>2704</v>
      </c>
      <c r="C324" s="3" t="s">
        <v>2705</v>
      </c>
      <c r="D324" s="3" t="s">
        <v>2706</v>
      </c>
      <c r="E324" s="3" t="str">
        <f>IFERROR(__xludf.DUMMYFUNCTION("GOOGLETRANSLATE($D324,""EN"",""RU"")")," Балансовая шкала")</f>
        <v> Балансовая шкала</v>
      </c>
      <c r="F324" s="3" t="s">
        <v>358</v>
      </c>
      <c r="G324" s="3" t="s">
        <v>426</v>
      </c>
      <c r="H324" s="3" t="s">
        <v>199</v>
      </c>
      <c r="I324" s="3" t="s">
        <v>199</v>
      </c>
      <c r="J324" s="3" t="s">
        <v>41</v>
      </c>
      <c r="K324" s="3" t="s">
        <v>2707</v>
      </c>
      <c r="L324" s="3" t="s">
        <v>2707</v>
      </c>
      <c r="M324" s="3" t="s">
        <v>2708</v>
      </c>
      <c r="N324" s="3" t="s">
        <v>2709</v>
      </c>
      <c r="O324" s="3">
        <v>0.0</v>
      </c>
    </row>
    <row r="325" ht="15.75" customHeight="1">
      <c r="A325" s="3" t="s">
        <v>2710</v>
      </c>
      <c r="B325" s="3" t="s">
        <v>2711</v>
      </c>
      <c r="C325" s="3" t="s">
        <v>2712</v>
      </c>
      <c r="D325" s="3" t="s">
        <v>2713</v>
      </c>
      <c r="E325" s="3" t="str">
        <f>IFERROR(__xludf.DUMMYFUNCTION("GOOGLETRANSLATE($D325,""EN"",""RU"")")," Видеокамера")</f>
        <v> Видеокамера</v>
      </c>
      <c r="F325" s="3" t="s">
        <v>358</v>
      </c>
      <c r="G325" s="3" t="s">
        <v>426</v>
      </c>
      <c r="H325" s="3" t="s">
        <v>53</v>
      </c>
      <c r="I325" s="3" t="s">
        <v>319</v>
      </c>
      <c r="J325" s="3" t="s">
        <v>65</v>
      </c>
      <c r="K325" s="3" t="s">
        <v>2714</v>
      </c>
      <c r="L325" s="3" t="s">
        <v>2715</v>
      </c>
      <c r="M325" s="3" t="s">
        <v>2095</v>
      </c>
      <c r="N325" s="3" t="s">
        <v>2716</v>
      </c>
      <c r="O325" s="3">
        <v>1.0</v>
      </c>
    </row>
    <row r="326" ht="15.75" customHeight="1">
      <c r="A326" s="3" t="s">
        <v>1257</v>
      </c>
      <c r="B326" s="3" t="s">
        <v>2717</v>
      </c>
      <c r="C326" s="3" t="s">
        <v>2718</v>
      </c>
      <c r="D326" s="3" t="s">
        <v>2719</v>
      </c>
      <c r="E326" s="3" t="str">
        <f>IFERROR(__xludf.DUMMYFUNCTION("GOOGLETRANSLATE($D326,""EN"",""RU"")")," Переключатель")</f>
        <v> Переключатель</v>
      </c>
      <c r="F326" s="3" t="s">
        <v>637</v>
      </c>
      <c r="G326" s="3" t="s">
        <v>426</v>
      </c>
      <c r="H326" s="3" t="s">
        <v>102</v>
      </c>
      <c r="I326" s="3" t="s">
        <v>235</v>
      </c>
      <c r="J326" s="3" t="s">
        <v>102</v>
      </c>
      <c r="K326" s="3" t="s">
        <v>2093</v>
      </c>
      <c r="L326" s="3" t="s">
        <v>2720</v>
      </c>
      <c r="M326" s="3" t="s">
        <v>2093</v>
      </c>
      <c r="N326" s="3" t="s">
        <v>1425</v>
      </c>
      <c r="O326" s="3">
        <v>1.0</v>
      </c>
    </row>
    <row r="327" ht="15.75" customHeight="1">
      <c r="A327" s="3" t="s">
        <v>1105</v>
      </c>
      <c r="B327" s="3" t="s">
        <v>2721</v>
      </c>
      <c r="C327" s="3" t="s">
        <v>2722</v>
      </c>
      <c r="D327" s="3" t="s">
        <v>2723</v>
      </c>
      <c r="E327" s="3" t="str">
        <f>IFERROR(__xludf.DUMMYFUNCTION("GOOGLETRANSLATE($D327,""EN"",""RU"")")," Японский символ для начинающих")</f>
        <v> Японский символ для начинающих</v>
      </c>
      <c r="F327" s="3" t="s">
        <v>637</v>
      </c>
      <c r="G327" s="3" t="s">
        <v>426</v>
      </c>
      <c r="H327" s="3" t="s">
        <v>2226</v>
      </c>
      <c r="I327" s="3" t="s">
        <v>330</v>
      </c>
      <c r="J327" s="3" t="s">
        <v>102</v>
      </c>
      <c r="K327" s="3" t="s">
        <v>2716</v>
      </c>
      <c r="L327" s="3" t="s">
        <v>2086</v>
      </c>
      <c r="M327" s="3" t="s">
        <v>2093</v>
      </c>
      <c r="N327" s="3" t="s">
        <v>2724</v>
      </c>
      <c r="O327" s="3">
        <v>2.0</v>
      </c>
    </row>
    <row r="328" ht="15.75" customHeight="1">
      <c r="A328" s="3" t="s">
        <v>2725</v>
      </c>
      <c r="B328" s="3" t="s">
        <v>2726</v>
      </c>
      <c r="C328" s="3" t="s">
        <v>2727</v>
      </c>
      <c r="D328" s="3" t="s">
        <v>2728</v>
      </c>
      <c r="E328" s="3" t="str">
        <f>IFERROR(__xludf.DUMMYFUNCTION("GOOGLETRANSLATE($D328,""EN"",""RU"")")," Символ регионального индикатора, буква W")</f>
        <v> Символ регионального индикатора, буква W</v>
      </c>
      <c r="F328" s="3" t="s">
        <v>637</v>
      </c>
      <c r="G328" s="3" t="s">
        <v>426</v>
      </c>
      <c r="H328" s="3" t="s">
        <v>41</v>
      </c>
      <c r="I328" s="3" t="s">
        <v>138</v>
      </c>
      <c r="J328" s="3" t="s">
        <v>259</v>
      </c>
      <c r="K328" s="3" t="s">
        <v>2708</v>
      </c>
      <c r="L328" s="3" t="s">
        <v>2729</v>
      </c>
      <c r="M328" s="3" t="s">
        <v>2730</v>
      </c>
      <c r="N328" s="3" t="s">
        <v>2731</v>
      </c>
      <c r="O328" s="3">
        <v>2.0</v>
      </c>
    </row>
    <row r="329" ht="15.75" customHeight="1">
      <c r="A329" s="3" t="s">
        <v>2732</v>
      </c>
      <c r="B329" s="3" t="s">
        <v>2733</v>
      </c>
      <c r="C329" s="3" t="s">
        <v>2734</v>
      </c>
      <c r="D329" s="3" t="s">
        <v>2735</v>
      </c>
      <c r="E329" s="3" t="str">
        <f>IFERROR(__xludf.DUMMYFUNCTION("GOOGLETRANSLATE($D329,""EN"",""RU"")")," Белый круг")</f>
        <v> Белый круг</v>
      </c>
      <c r="F329" s="3" t="s">
        <v>637</v>
      </c>
      <c r="G329" s="3" t="s">
        <v>426</v>
      </c>
      <c r="H329" s="3" t="s">
        <v>102</v>
      </c>
      <c r="I329" s="3" t="s">
        <v>162</v>
      </c>
      <c r="J329" s="3" t="s">
        <v>174</v>
      </c>
      <c r="K329" s="3" t="s">
        <v>2093</v>
      </c>
      <c r="L329" s="3" t="s">
        <v>2736</v>
      </c>
      <c r="M329" s="3" t="s">
        <v>2737</v>
      </c>
      <c r="N329" s="3" t="s">
        <v>2738</v>
      </c>
      <c r="O329" s="3">
        <v>2.0</v>
      </c>
    </row>
    <row r="330" ht="15.75" customHeight="1">
      <c r="A330" s="3" t="s">
        <v>582</v>
      </c>
      <c r="B330" s="3" t="s">
        <v>2739</v>
      </c>
      <c r="C330" s="3" t="s">
        <v>2740</v>
      </c>
      <c r="D330" s="3" t="s">
        <v>2741</v>
      </c>
      <c r="E330" s="3" t="str">
        <f>IFERROR(__xludf.DUMMYFUNCTION("GOOGLETRANSLATE($D330,""EN"",""RU"")")," Швеция")</f>
        <v> Швеция</v>
      </c>
      <c r="F330" s="3" t="s">
        <v>559</v>
      </c>
      <c r="G330" s="3" t="s">
        <v>426</v>
      </c>
      <c r="H330" s="3" t="s">
        <v>41</v>
      </c>
      <c r="I330" s="3" t="s">
        <v>391</v>
      </c>
      <c r="J330" s="3" t="s">
        <v>2226</v>
      </c>
      <c r="K330" s="3" t="s">
        <v>2708</v>
      </c>
      <c r="L330" s="3" t="s">
        <v>2742</v>
      </c>
      <c r="M330" s="3" t="s">
        <v>2716</v>
      </c>
      <c r="N330" s="3" t="s">
        <v>2743</v>
      </c>
      <c r="O330" s="3">
        <v>0.0</v>
      </c>
    </row>
    <row r="331" ht="15.75" customHeight="1">
      <c r="A331" s="3" t="s">
        <v>2744</v>
      </c>
      <c r="B331" s="3" t="s">
        <v>2745</v>
      </c>
      <c r="C331" s="3" t="s">
        <v>2746</v>
      </c>
      <c r="D331" s="3" t="s">
        <v>2747</v>
      </c>
      <c r="E331" s="3" t="str">
        <f>IFERROR(__xludf.DUMMYFUNCTION("GOOGLETRANSLATE($D331,""EN"",""RU"")")," Плитка шоколада")</f>
        <v> Плитка шоколада</v>
      </c>
      <c r="F331" s="3" t="s">
        <v>1510</v>
      </c>
      <c r="G331" s="3" t="s">
        <v>414</v>
      </c>
      <c r="H331" s="3" t="s">
        <v>53</v>
      </c>
      <c r="I331" s="3" t="s">
        <v>162</v>
      </c>
      <c r="J331" s="3" t="s">
        <v>211</v>
      </c>
      <c r="K331" s="3" t="s">
        <v>2748</v>
      </c>
      <c r="L331" s="3" t="s">
        <v>2749</v>
      </c>
      <c r="M331" s="3" t="s">
        <v>2750</v>
      </c>
      <c r="N331" s="3" t="s">
        <v>2751</v>
      </c>
      <c r="O331" s="3">
        <v>2.0</v>
      </c>
    </row>
    <row r="332" ht="15.75" customHeight="1">
      <c r="A332" s="3" t="s">
        <v>2752</v>
      </c>
      <c r="B332" s="3" t="s">
        <v>2753</v>
      </c>
      <c r="C332" s="3" t="s">
        <v>2754</v>
      </c>
      <c r="D332" s="3" t="s">
        <v>2755</v>
      </c>
      <c r="E332" s="3" t="str">
        <f>IFERROR(__xludf.DUMMYFUNCTION("GOOGLETRANSLATE($D332,""EN"",""RU"")")," Мужчина танцует")</f>
        <v> Мужчина танцует</v>
      </c>
      <c r="F332" s="3" t="s">
        <v>178</v>
      </c>
      <c r="G332" s="3" t="s">
        <v>414</v>
      </c>
      <c r="H332" s="3" t="s">
        <v>77</v>
      </c>
      <c r="I332" s="3" t="s">
        <v>90</v>
      </c>
      <c r="J332" s="3" t="s">
        <v>259</v>
      </c>
      <c r="K332" s="3" t="s">
        <v>2756</v>
      </c>
      <c r="L332" s="3" t="s">
        <v>2757</v>
      </c>
      <c r="M332" s="3" t="s">
        <v>2758</v>
      </c>
      <c r="N332" s="3" t="s">
        <v>2759</v>
      </c>
      <c r="O332" s="3">
        <v>2.0</v>
      </c>
    </row>
    <row r="333" ht="15.75" customHeight="1">
      <c r="A333" s="3" t="s">
        <v>2760</v>
      </c>
      <c r="B333" s="3" t="s">
        <v>2761</v>
      </c>
      <c r="C333" s="3" t="s">
        <v>2762</v>
      </c>
      <c r="D333" s="3" t="s">
        <v>2763</v>
      </c>
      <c r="E333" s="3" t="str">
        <f>IFERROR(__xludf.DUMMYFUNCTION("GOOGLETRANSLATE($D333,""EN"",""RU"")")," Сердитое лицо с рогами")</f>
        <v> Сердитое лицо с рогами</v>
      </c>
      <c r="F333" s="3" t="s">
        <v>19</v>
      </c>
      <c r="G333" s="3" t="s">
        <v>414</v>
      </c>
      <c r="H333" s="3" t="s">
        <v>354</v>
      </c>
      <c r="I333" s="3" t="s">
        <v>65</v>
      </c>
      <c r="J333" s="3" t="s">
        <v>2226</v>
      </c>
      <c r="K333" s="3" t="s">
        <v>2764</v>
      </c>
      <c r="L333" s="3" t="s">
        <v>2765</v>
      </c>
      <c r="M333" s="3" t="s">
        <v>2128</v>
      </c>
      <c r="N333" s="3" t="s">
        <v>2766</v>
      </c>
      <c r="O333" s="3">
        <v>0.0</v>
      </c>
    </row>
    <row r="334" ht="15.75" customHeight="1">
      <c r="A334" s="3" t="s">
        <v>1195</v>
      </c>
      <c r="B334" s="3" t="s">
        <v>2767</v>
      </c>
      <c r="C334" s="3" t="s">
        <v>2768</v>
      </c>
      <c r="D334" s="3" t="s">
        <v>2769</v>
      </c>
      <c r="E334" s="3" t="str">
        <f>IFERROR(__xludf.DUMMYFUNCTION("GOOGLETRANSLATE($D334,""EN"",""RU"")")," Перьевая ручка")</f>
        <v> Перьевая ручка</v>
      </c>
      <c r="F334" s="3" t="s">
        <v>358</v>
      </c>
      <c r="G334" s="3" t="s">
        <v>414</v>
      </c>
      <c r="H334" s="3" t="s">
        <v>53</v>
      </c>
      <c r="I334" s="3" t="s">
        <v>259</v>
      </c>
      <c r="J334" s="3" t="s">
        <v>114</v>
      </c>
      <c r="K334" s="3" t="s">
        <v>2748</v>
      </c>
      <c r="L334" s="3" t="s">
        <v>2758</v>
      </c>
      <c r="M334" s="3" t="s">
        <v>2770</v>
      </c>
      <c r="N334" s="3" t="s">
        <v>2748</v>
      </c>
      <c r="O334" s="3">
        <v>2.0</v>
      </c>
    </row>
    <row r="335" ht="15.75" customHeight="1">
      <c r="A335" s="3" t="s">
        <v>2771</v>
      </c>
      <c r="B335" s="3" t="s">
        <v>2772</v>
      </c>
      <c r="C335" s="3" t="s">
        <v>2773</v>
      </c>
      <c r="D335" s="3" t="s">
        <v>2774</v>
      </c>
      <c r="E335" s="3" t="str">
        <f>IFERROR(__xludf.DUMMYFUNCTION("GOOGLETRANSLATE($D335,""EN"",""RU"")")," Молоток")</f>
        <v> Молоток</v>
      </c>
      <c r="F335" s="3" t="s">
        <v>358</v>
      </c>
      <c r="G335" s="3" t="s">
        <v>414</v>
      </c>
      <c r="H335" s="3" t="s">
        <v>211</v>
      </c>
      <c r="I335" s="3" t="s">
        <v>102</v>
      </c>
      <c r="J335" s="3" t="s">
        <v>114</v>
      </c>
      <c r="K335" s="3" t="s">
        <v>2750</v>
      </c>
      <c r="L335" s="3" t="s">
        <v>2775</v>
      </c>
      <c r="M335" s="3" t="s">
        <v>2770</v>
      </c>
      <c r="N335" s="3" t="s">
        <v>2776</v>
      </c>
      <c r="O335" s="3">
        <v>0.0</v>
      </c>
    </row>
    <row r="336" ht="15.75" customHeight="1">
      <c r="A336" s="3" t="s">
        <v>2777</v>
      </c>
      <c r="B336" s="3" t="s">
        <v>2778</v>
      </c>
      <c r="C336" s="3" t="s">
        <v>2779</v>
      </c>
      <c r="D336" s="3" t="s">
        <v>2780</v>
      </c>
      <c r="E336" s="3" t="str">
        <f>IFERROR(__xludf.DUMMYFUNCTION("GOOGLETRANSLATE($D336,""EN"",""RU"")")," Бюст в силуэте")</f>
        <v> Бюст в силуэте</v>
      </c>
      <c r="F336" s="3" t="s">
        <v>2649</v>
      </c>
      <c r="G336" s="3" t="s">
        <v>402</v>
      </c>
      <c r="H336" s="3" t="s">
        <v>28</v>
      </c>
      <c r="I336" s="3" t="s">
        <v>307</v>
      </c>
      <c r="J336" s="3" t="s">
        <v>77</v>
      </c>
      <c r="K336" s="3" t="s">
        <v>2454</v>
      </c>
      <c r="L336" s="3" t="s">
        <v>2781</v>
      </c>
      <c r="M336" s="3" t="s">
        <v>2782</v>
      </c>
      <c r="N336" s="3" t="s">
        <v>2783</v>
      </c>
      <c r="O336" s="3">
        <v>2.0</v>
      </c>
    </row>
    <row r="337" ht="15.75" customHeight="1">
      <c r="A337" s="3" t="s">
        <v>2784</v>
      </c>
      <c r="B337" s="3" t="s">
        <v>2785</v>
      </c>
      <c r="C337" s="3" t="s">
        <v>2786</v>
      </c>
      <c r="D337" s="3" t="s">
        <v>2787</v>
      </c>
      <c r="E337" s="3" t="str">
        <f>IFERROR(__xludf.DUMMYFUNCTION("GOOGLETRANSLATE($D337,""EN"",""RU"")")," Речевой шар")</f>
        <v> Речевой шар</v>
      </c>
      <c r="F337" s="3" t="s">
        <v>637</v>
      </c>
      <c r="G337" s="3" t="s">
        <v>402</v>
      </c>
      <c r="H337" s="3" t="s">
        <v>53</v>
      </c>
      <c r="I337" s="3" t="s">
        <v>150</v>
      </c>
      <c r="J337" s="3" t="s">
        <v>211</v>
      </c>
      <c r="K337" s="3" t="s">
        <v>2788</v>
      </c>
      <c r="L337" s="3" t="s">
        <v>2789</v>
      </c>
      <c r="M337" s="3" t="s">
        <v>1675</v>
      </c>
      <c r="N337" s="3" t="s">
        <v>2789</v>
      </c>
      <c r="O337" s="3">
        <v>2.0</v>
      </c>
    </row>
    <row r="338" ht="15.75" customHeight="1">
      <c r="A338" s="3" t="s">
        <v>2790</v>
      </c>
      <c r="B338" s="3" t="s">
        <v>2791</v>
      </c>
      <c r="C338" s="3" t="s">
        <v>2792</v>
      </c>
      <c r="D338" s="3" t="s">
        <v>2793</v>
      </c>
      <c r="E338" s="3" t="str">
        <f>IFERROR(__xludf.DUMMYFUNCTION("GOOGLETRANSLATE($D338,""EN"",""RU"")")," Восьмиконечная звездочка")</f>
        <v> Восьмиконечная звездочка</v>
      </c>
      <c r="F338" s="3" t="s">
        <v>637</v>
      </c>
      <c r="G338" s="3" t="s">
        <v>402</v>
      </c>
      <c r="H338" s="3" t="s">
        <v>65</v>
      </c>
      <c r="I338" s="3" t="s">
        <v>223</v>
      </c>
      <c r="J338" s="3" t="s">
        <v>126</v>
      </c>
      <c r="K338" s="3" t="s">
        <v>1901</v>
      </c>
      <c r="L338" s="3" t="s">
        <v>2794</v>
      </c>
      <c r="M338" s="3" t="s">
        <v>2795</v>
      </c>
      <c r="N338" s="3" t="s">
        <v>2796</v>
      </c>
      <c r="O338" s="3">
        <v>2.0</v>
      </c>
    </row>
    <row r="339" ht="15.75" customHeight="1">
      <c r="A339" s="3" t="s">
        <v>2797</v>
      </c>
      <c r="B339" s="3" t="s">
        <v>2798</v>
      </c>
      <c r="C339" s="3" t="s">
        <v>2799</v>
      </c>
      <c r="D339" s="3" t="s">
        <v>2800</v>
      </c>
      <c r="E339" s="3" t="str">
        <f>IFERROR(__xludf.DUMMYFUNCTION("GOOGLETRANSLATE($D339,""EN"",""RU"")")," Клубника")</f>
        <v> Клубника</v>
      </c>
      <c r="F339" s="3" t="s">
        <v>1510</v>
      </c>
      <c r="G339" s="3" t="s">
        <v>391</v>
      </c>
      <c r="H339" s="3" t="s">
        <v>126</v>
      </c>
      <c r="I339" s="3" t="s">
        <v>65</v>
      </c>
      <c r="J339" s="3" t="s">
        <v>211</v>
      </c>
      <c r="K339" s="3" t="s">
        <v>2801</v>
      </c>
      <c r="L339" s="3" t="s">
        <v>2802</v>
      </c>
      <c r="M339" s="3" t="s">
        <v>2177</v>
      </c>
      <c r="N339" s="3" t="s">
        <v>940</v>
      </c>
      <c r="O339" s="3">
        <v>2.0</v>
      </c>
    </row>
    <row r="340" ht="15.75" customHeight="1">
      <c r="A340" s="3" t="s">
        <v>2803</v>
      </c>
      <c r="B340" s="3" t="s">
        <v>2804</v>
      </c>
      <c r="C340" s="3" t="s">
        <v>2805</v>
      </c>
      <c r="D340" s="3" t="s">
        <v>2806</v>
      </c>
      <c r="E340" s="3" t="str">
        <f>IFERROR(__xludf.DUMMYFUNCTION("GOOGLETRANSLATE($D340,""EN"",""RU"")")," Кааба")</f>
        <v> Кааба</v>
      </c>
      <c r="F340" s="3" t="s">
        <v>2127</v>
      </c>
      <c r="G340" s="3" t="s">
        <v>391</v>
      </c>
      <c r="H340" s="3" t="s">
        <v>77</v>
      </c>
      <c r="I340" s="3" t="s">
        <v>77</v>
      </c>
      <c r="J340" s="3" t="s">
        <v>247</v>
      </c>
      <c r="K340" s="3" t="s">
        <v>940</v>
      </c>
      <c r="L340" s="3" t="s">
        <v>940</v>
      </c>
      <c r="M340" s="3" t="s">
        <v>786</v>
      </c>
      <c r="N340" s="3" t="s">
        <v>2176</v>
      </c>
      <c r="O340" s="3">
        <v>2.0</v>
      </c>
    </row>
    <row r="341" ht="15.75" customHeight="1">
      <c r="A341" s="3" t="s">
        <v>2807</v>
      </c>
      <c r="B341" s="3" t="s">
        <v>2808</v>
      </c>
      <c r="C341" s="3" t="s">
        <v>2809</v>
      </c>
      <c r="D341" s="3" t="s">
        <v>2810</v>
      </c>
      <c r="E341" s="3" t="str">
        <f>IFERROR(__xludf.DUMMYFUNCTION("GOOGLETRANSLATE($D341,""EN"",""RU"")")," Почтовый Рог")</f>
        <v> Почтовый Рог</v>
      </c>
      <c r="F341" s="3" t="s">
        <v>358</v>
      </c>
      <c r="G341" s="3" t="s">
        <v>391</v>
      </c>
      <c r="H341" s="3" t="s">
        <v>28</v>
      </c>
      <c r="I341" s="3" t="s">
        <v>102</v>
      </c>
      <c r="J341" s="3" t="s">
        <v>271</v>
      </c>
      <c r="K341" s="3" t="s">
        <v>1519</v>
      </c>
      <c r="L341" s="3" t="s">
        <v>2811</v>
      </c>
      <c r="M341" s="3" t="s">
        <v>2188</v>
      </c>
      <c r="N341" s="3" t="s">
        <v>2812</v>
      </c>
      <c r="O341" s="3">
        <v>2.0</v>
      </c>
    </row>
    <row r="342" ht="15.75" customHeight="1">
      <c r="A342" s="3" t="s">
        <v>2813</v>
      </c>
      <c r="B342" s="3" t="s">
        <v>2814</v>
      </c>
      <c r="C342" s="3" t="s">
        <v>2815</v>
      </c>
      <c r="D342" s="3" t="s">
        <v>2816</v>
      </c>
      <c r="E342" s="3" t="str">
        <f>IFERROR(__xludf.DUMMYFUNCTION("GOOGLETRANSLATE($D342,""EN"",""RU"")")," Конверт")</f>
        <v> Конверт</v>
      </c>
      <c r="F342" s="3" t="s">
        <v>358</v>
      </c>
      <c r="G342" s="3" t="s">
        <v>391</v>
      </c>
      <c r="H342" s="3" t="s">
        <v>102</v>
      </c>
      <c r="I342" s="3" t="s">
        <v>102</v>
      </c>
      <c r="J342" s="3" t="s">
        <v>199</v>
      </c>
      <c r="K342" s="3" t="s">
        <v>2811</v>
      </c>
      <c r="L342" s="3" t="s">
        <v>2811</v>
      </c>
      <c r="M342" s="3" t="s">
        <v>2817</v>
      </c>
      <c r="N342" s="3" t="s">
        <v>2818</v>
      </c>
      <c r="O342" s="3">
        <v>2.0</v>
      </c>
    </row>
    <row r="343" ht="15.75" customHeight="1">
      <c r="A343" s="3" t="s">
        <v>35</v>
      </c>
      <c r="B343" s="3" t="s">
        <v>2819</v>
      </c>
      <c r="C343" s="3" t="s">
        <v>2820</v>
      </c>
      <c r="D343" s="3" t="s">
        <v>2821</v>
      </c>
      <c r="E343" s="3" t="str">
        <f>IFERROR(__xludf.DUMMYFUNCTION("GOOGLETRANSLATE($D343,""EN"",""RU"")")," Символ переработки")</f>
        <v> Символ переработки</v>
      </c>
      <c r="F343" s="3" t="s">
        <v>637</v>
      </c>
      <c r="G343" s="3" t="s">
        <v>391</v>
      </c>
      <c r="H343" s="3" t="s">
        <v>2226</v>
      </c>
      <c r="I343" s="3" t="s">
        <v>259</v>
      </c>
      <c r="J343" s="3" t="s">
        <v>138</v>
      </c>
      <c r="K343" s="3" t="s">
        <v>2822</v>
      </c>
      <c r="L343" s="3" t="s">
        <v>1232</v>
      </c>
      <c r="M343" s="3" t="s">
        <v>2823</v>
      </c>
      <c r="N343" s="3" t="s">
        <v>2801</v>
      </c>
      <c r="O343" s="3">
        <v>2.0</v>
      </c>
    </row>
    <row r="344" ht="15.75" customHeight="1">
      <c r="A344" s="3" t="s">
        <v>1222</v>
      </c>
      <c r="B344" s="3" t="s">
        <v>2824</v>
      </c>
      <c r="C344" s="3" t="s">
        <v>2825</v>
      </c>
      <c r="D344" s="3" t="s">
        <v>2826</v>
      </c>
      <c r="E344" s="3" t="str">
        <f>IFERROR(__xludf.DUMMYFUNCTION("GOOGLETRANSLATE($D344,""EN"",""RU"")")," Неслышащая зла обезьяна")</f>
        <v> Неслышащая зла обезьяна</v>
      </c>
      <c r="F344" s="3" t="s">
        <v>178</v>
      </c>
      <c r="G344" s="3" t="s">
        <v>391</v>
      </c>
      <c r="H344" s="3" t="s">
        <v>138</v>
      </c>
      <c r="I344" s="3" t="s">
        <v>199</v>
      </c>
      <c r="J344" s="3" t="s">
        <v>65</v>
      </c>
      <c r="K344" s="3" t="s">
        <v>2823</v>
      </c>
      <c r="L344" s="3" t="s">
        <v>2817</v>
      </c>
      <c r="M344" s="3" t="s">
        <v>2802</v>
      </c>
      <c r="N344" s="3" t="s">
        <v>2827</v>
      </c>
      <c r="O344" s="3">
        <v>0.0</v>
      </c>
    </row>
    <row r="345" ht="15.75" customHeight="1">
      <c r="A345" s="3" t="s">
        <v>1239</v>
      </c>
      <c r="B345" s="3" t="s">
        <v>2828</v>
      </c>
      <c r="C345" s="3" t="s">
        <v>2829</v>
      </c>
      <c r="D345" s="3" t="s">
        <v>2830</v>
      </c>
      <c r="E345" s="3" t="str">
        <f>IFERROR(__xludf.DUMMYFUNCTION("GOOGLETRANSLATE($D345,""EN"",""RU"")")," Символ регионального индикатора, буква M")</f>
        <v> Символ регионального индикатора, буква M</v>
      </c>
      <c r="F345" s="3" t="s">
        <v>637</v>
      </c>
      <c r="G345" s="3" t="s">
        <v>391</v>
      </c>
      <c r="H345" s="3" t="s">
        <v>41</v>
      </c>
      <c r="I345" s="3" t="s">
        <v>223</v>
      </c>
      <c r="J345" s="3" t="s">
        <v>138</v>
      </c>
      <c r="K345" s="3" t="s">
        <v>2831</v>
      </c>
      <c r="L345" s="3" t="s">
        <v>2832</v>
      </c>
      <c r="M345" s="3" t="s">
        <v>2823</v>
      </c>
      <c r="N345" s="3" t="s">
        <v>2818</v>
      </c>
      <c r="O345" s="3">
        <v>2.0</v>
      </c>
    </row>
    <row r="346" ht="15.75" customHeight="1">
      <c r="A346" s="3" t="s">
        <v>1009</v>
      </c>
      <c r="B346" s="3" t="s">
        <v>2833</v>
      </c>
      <c r="C346" s="3" t="s">
        <v>2834</v>
      </c>
      <c r="D346" s="3" t="s">
        <v>2835</v>
      </c>
      <c r="E346" s="3" t="str">
        <f>IFERROR(__xludf.DUMMYFUNCTION("GOOGLETRANSLATE($D346,""EN"",""RU"")")," Леджер")</f>
        <v> Леджер</v>
      </c>
      <c r="F346" s="3" t="s">
        <v>358</v>
      </c>
      <c r="G346" s="3" t="s">
        <v>379</v>
      </c>
      <c r="H346" s="3" t="s">
        <v>102</v>
      </c>
      <c r="I346" s="3" t="s">
        <v>235</v>
      </c>
      <c r="J346" s="3" t="s">
        <v>53</v>
      </c>
      <c r="K346" s="3" t="s">
        <v>2836</v>
      </c>
      <c r="L346" s="3" t="s">
        <v>2837</v>
      </c>
      <c r="M346" s="3" t="s">
        <v>2838</v>
      </c>
      <c r="N346" s="3" t="s">
        <v>2839</v>
      </c>
      <c r="O346" s="3">
        <v>0.0</v>
      </c>
    </row>
    <row r="347" ht="15.75" customHeight="1">
      <c r="A347" s="3" t="s">
        <v>2840</v>
      </c>
      <c r="B347" s="3" t="s">
        <v>2841</v>
      </c>
      <c r="C347" s="3" t="s">
        <v>2842</v>
      </c>
      <c r="D347" s="3" t="s">
        <v>2843</v>
      </c>
      <c r="E347" s="3" t="str">
        <f>IFERROR(__xludf.DUMMYFUNCTION("GOOGLETRANSLATE($D347,""EN"",""RU"")")," Человек, дающий чаевые")</f>
        <v> Человек, дающий чаевые</v>
      </c>
      <c r="F347" s="3" t="s">
        <v>178</v>
      </c>
      <c r="G347" s="3" t="s">
        <v>379</v>
      </c>
      <c r="H347" s="3" t="s">
        <v>199</v>
      </c>
      <c r="I347" s="3" t="s">
        <v>41</v>
      </c>
      <c r="J347" s="3" t="s">
        <v>150</v>
      </c>
      <c r="K347" s="3" t="s">
        <v>1675</v>
      </c>
      <c r="L347" s="3" t="s">
        <v>1909</v>
      </c>
      <c r="M347" s="3" t="s">
        <v>2844</v>
      </c>
      <c r="N347" s="3" t="s">
        <v>2845</v>
      </c>
      <c r="O347" s="3">
        <v>0.0</v>
      </c>
    </row>
    <row r="348" ht="15.75" customHeight="1">
      <c r="A348" s="3" t="s">
        <v>536</v>
      </c>
      <c r="B348" s="3" t="s">
        <v>2846</v>
      </c>
      <c r="C348" s="3" t="s">
        <v>2847</v>
      </c>
      <c r="D348" s="3" t="s">
        <v>2848</v>
      </c>
      <c r="E348" s="3" t="str">
        <f>IFERROR(__xludf.DUMMYFUNCTION("GOOGLETRANSLATE($D348,""EN"",""RU"")")," Леденец")</f>
        <v> Леденец</v>
      </c>
      <c r="F348" s="3" t="s">
        <v>1510</v>
      </c>
      <c r="G348" s="3" t="s">
        <v>379</v>
      </c>
      <c r="H348" s="3" t="s">
        <v>53</v>
      </c>
      <c r="I348" s="3" t="s">
        <v>187</v>
      </c>
      <c r="J348" s="3" t="s">
        <v>150</v>
      </c>
      <c r="K348" s="3" t="s">
        <v>2838</v>
      </c>
      <c r="L348" s="3" t="s">
        <v>2849</v>
      </c>
      <c r="M348" s="3" t="s">
        <v>2844</v>
      </c>
      <c r="N348" s="3" t="s">
        <v>2426</v>
      </c>
      <c r="O348" s="3">
        <v>2.0</v>
      </c>
    </row>
    <row r="349" ht="15.75" customHeight="1">
      <c r="A349" s="3" t="s">
        <v>132</v>
      </c>
      <c r="B349" s="3" t="s">
        <v>2850</v>
      </c>
      <c r="C349" s="3" t="s">
        <v>2851</v>
      </c>
      <c r="D349" s="3" t="s">
        <v>2852</v>
      </c>
      <c r="E349" s="3" t="str">
        <f>IFERROR(__xludf.DUMMYFUNCTION("GOOGLETRANSLATE($D349,""EN"",""RU"")")," Скрещенные мечи")</f>
        <v> Скрещенные мечи</v>
      </c>
      <c r="F349" s="3" t="s">
        <v>358</v>
      </c>
      <c r="G349" s="3" t="s">
        <v>367</v>
      </c>
      <c r="H349" s="3" t="s">
        <v>53</v>
      </c>
      <c r="I349" s="3" t="s">
        <v>138</v>
      </c>
      <c r="J349" s="3" t="s">
        <v>187</v>
      </c>
      <c r="K349" s="3" t="s">
        <v>2853</v>
      </c>
      <c r="L349" s="3" t="s">
        <v>2221</v>
      </c>
      <c r="M349" s="3" t="s">
        <v>2854</v>
      </c>
      <c r="N349" s="3" t="s">
        <v>2855</v>
      </c>
      <c r="O349" s="3">
        <v>2.0</v>
      </c>
    </row>
    <row r="350" ht="15.75" customHeight="1">
      <c r="A350" s="3" t="s">
        <v>2856</v>
      </c>
      <c r="B350" s="3" t="s">
        <v>2857</v>
      </c>
      <c r="C350" s="3" t="s">
        <v>2858</v>
      </c>
      <c r="D350" s="3" t="s">
        <v>2859</v>
      </c>
      <c r="E350" s="3" t="str">
        <f>IFERROR(__xludf.DUMMYFUNCTION("GOOGLETRANSLATE($D350,""EN"",""RU"")")," Бразилия")</f>
        <v> Бразилия</v>
      </c>
      <c r="F350" s="3" t="s">
        <v>559</v>
      </c>
      <c r="G350" s="3" t="s">
        <v>367</v>
      </c>
      <c r="H350" s="3" t="s">
        <v>65</v>
      </c>
      <c r="I350" s="3" t="s">
        <v>138</v>
      </c>
      <c r="J350" s="3" t="s">
        <v>174</v>
      </c>
      <c r="K350" s="3" t="s">
        <v>2569</v>
      </c>
      <c r="L350" s="3" t="s">
        <v>2221</v>
      </c>
      <c r="M350" s="3" t="s">
        <v>2563</v>
      </c>
      <c r="N350" s="3" t="s">
        <v>2575</v>
      </c>
      <c r="O350" s="3">
        <v>2.0</v>
      </c>
    </row>
    <row r="351" ht="15.75" customHeight="1">
      <c r="A351" s="3" t="s">
        <v>2860</v>
      </c>
      <c r="B351" s="3" t="s">
        <v>2861</v>
      </c>
      <c r="C351" s="3" t="s">
        <v>2862</v>
      </c>
      <c r="D351" s="3" t="s">
        <v>2863</v>
      </c>
      <c r="E351" s="3" t="str">
        <f>IFERROR(__xludf.DUMMYFUNCTION("GOOGLETRANSLATE($D351,""EN"",""RU"")")," Комета")</f>
        <v> Комета</v>
      </c>
      <c r="F351" s="3" t="s">
        <v>81</v>
      </c>
      <c r="G351" s="3" t="s">
        <v>367</v>
      </c>
      <c r="H351" s="3" t="s">
        <v>162</v>
      </c>
      <c r="I351" s="3" t="s">
        <v>138</v>
      </c>
      <c r="J351" s="3" t="s">
        <v>77</v>
      </c>
      <c r="K351" s="3" t="s">
        <v>2864</v>
      </c>
      <c r="L351" s="3" t="s">
        <v>2221</v>
      </c>
      <c r="M351" s="3" t="s">
        <v>2865</v>
      </c>
      <c r="N351" s="3" t="s">
        <v>2866</v>
      </c>
      <c r="O351" s="3">
        <v>0.0</v>
      </c>
    </row>
    <row r="352" ht="15.75" customHeight="1">
      <c r="A352" s="3" t="s">
        <v>1058</v>
      </c>
      <c r="B352" s="3" t="s">
        <v>2867</v>
      </c>
      <c r="C352" s="3" t="s">
        <v>2868</v>
      </c>
      <c r="D352" s="3" t="s">
        <v>2869</v>
      </c>
      <c r="E352" s="3" t="str">
        <f>IFERROR(__xludf.DUMMYFUNCTION("GOOGLETRANSLATE($D352,""EN"",""RU"")")," Рыбный пирог с завитком")</f>
        <v> Рыбный пирог с завитком</v>
      </c>
      <c r="F352" s="3" t="s">
        <v>1510</v>
      </c>
      <c r="G352" s="3" t="s">
        <v>367</v>
      </c>
      <c r="H352" s="3" t="s">
        <v>2226</v>
      </c>
      <c r="I352" s="3" t="s">
        <v>138</v>
      </c>
      <c r="J352" s="3" t="s">
        <v>235</v>
      </c>
      <c r="K352" s="3" t="s">
        <v>2870</v>
      </c>
      <c r="L352" s="3" t="s">
        <v>2221</v>
      </c>
      <c r="M352" s="3" t="s">
        <v>2871</v>
      </c>
      <c r="N352" s="3" t="s">
        <v>2872</v>
      </c>
      <c r="O352" s="3">
        <v>2.0</v>
      </c>
    </row>
    <row r="353" ht="15.75" customHeight="1">
      <c r="A353" s="3" t="s">
        <v>2873</v>
      </c>
      <c r="B353" s="3" t="s">
        <v>2874</v>
      </c>
      <c r="C353" s="3" t="s">
        <v>2875</v>
      </c>
      <c r="D353" s="3" t="s">
        <v>2876</v>
      </c>
      <c r="E353" s="3" t="str">
        <f>IFERROR(__xludf.DUMMYFUNCTION("GOOGLETRANSLATE($D353,""EN"",""RU"")")," Символ регионального индикатора, буква Y")</f>
        <v> Символ регионального индикатора, буква Y</v>
      </c>
      <c r="F353" s="3" t="s">
        <v>637</v>
      </c>
      <c r="G353" s="3" t="s">
        <v>367</v>
      </c>
      <c r="H353" s="3" t="s">
        <v>53</v>
      </c>
      <c r="I353" s="3" t="s">
        <v>102</v>
      </c>
      <c r="J353" s="3" t="s">
        <v>223</v>
      </c>
      <c r="K353" s="3" t="s">
        <v>2853</v>
      </c>
      <c r="L353" s="3" t="s">
        <v>2575</v>
      </c>
      <c r="M353" s="3" t="s">
        <v>2872</v>
      </c>
      <c r="N353" s="3" t="s">
        <v>2877</v>
      </c>
      <c r="O353" s="3">
        <v>2.0</v>
      </c>
    </row>
    <row r="354" ht="15.75" customHeight="1">
      <c r="A354" s="3" t="s">
        <v>2878</v>
      </c>
      <c r="B354" s="3" t="s">
        <v>2879</v>
      </c>
      <c r="C354" s="3" t="s">
        <v>2880</v>
      </c>
      <c r="D354" s="3" t="s">
        <v>2881</v>
      </c>
      <c r="E354" s="3" t="str">
        <f>IFERROR(__xludf.DUMMYFUNCTION("GOOGLETRANSLATE($D354,""EN"",""RU"")")," Убегая прочь")</f>
        <v> Убегая прочь</v>
      </c>
      <c r="F354" s="3" t="s">
        <v>637</v>
      </c>
      <c r="G354" s="3" t="s">
        <v>367</v>
      </c>
      <c r="H354" s="3" t="s">
        <v>90</v>
      </c>
      <c r="I354" s="3" t="s">
        <v>53</v>
      </c>
      <c r="J354" s="3" t="s">
        <v>235</v>
      </c>
      <c r="K354" s="3" t="s">
        <v>2882</v>
      </c>
      <c r="L354" s="3" t="s">
        <v>2853</v>
      </c>
      <c r="M354" s="3" t="s">
        <v>2871</v>
      </c>
      <c r="N354" s="3" t="s">
        <v>2221</v>
      </c>
      <c r="O354" s="3">
        <v>2.0</v>
      </c>
    </row>
    <row r="355" ht="15.75" customHeight="1">
      <c r="A355" s="3" t="s">
        <v>2883</v>
      </c>
      <c r="B355" s="3" t="s">
        <v>2884</v>
      </c>
      <c r="C355" s="3" t="s">
        <v>2885</v>
      </c>
      <c r="D355" s="3" t="s">
        <v>2886</v>
      </c>
      <c r="E355" s="3" t="str">
        <f>IFERROR(__xludf.DUMMYFUNCTION("GOOGLETRANSLATE($D355,""EN"",""RU"")")," Большой Голубой Бриллиант")</f>
        <v> Большой Голубой Бриллиант</v>
      </c>
      <c r="F355" s="3" t="s">
        <v>637</v>
      </c>
      <c r="G355" s="3" t="s">
        <v>354</v>
      </c>
      <c r="H355" s="3" t="s">
        <v>90</v>
      </c>
      <c r="I355" s="3" t="s">
        <v>199</v>
      </c>
      <c r="J355" s="3" t="s">
        <v>77</v>
      </c>
      <c r="K355" s="3" t="s">
        <v>1798</v>
      </c>
      <c r="L355" s="3" t="s">
        <v>2887</v>
      </c>
      <c r="M355" s="3" t="s">
        <v>1951</v>
      </c>
      <c r="N355" s="3" t="s">
        <v>2888</v>
      </c>
      <c r="O355" s="3">
        <v>1.0</v>
      </c>
    </row>
    <row r="356" ht="15.75" customHeight="1">
      <c r="A356" s="3" t="s">
        <v>2889</v>
      </c>
      <c r="B356" s="3" t="s">
        <v>2890</v>
      </c>
      <c r="C356" s="3" t="s">
        <v>2891</v>
      </c>
      <c r="D356" s="3" t="s">
        <v>2892</v>
      </c>
      <c r="E356" s="3" t="str">
        <f>IFERROR(__xludf.DUMMYFUNCTION("GOOGLETRANSLATE($D356,""EN"",""RU"")")," Офицер полиции")</f>
        <v> Офицер полиции</v>
      </c>
      <c r="F356" s="3" t="s">
        <v>2649</v>
      </c>
      <c r="G356" s="3" t="s">
        <v>354</v>
      </c>
      <c r="H356" s="3" t="s">
        <v>126</v>
      </c>
      <c r="I356" s="3" t="s">
        <v>90</v>
      </c>
      <c r="J356" s="3" t="s">
        <v>150</v>
      </c>
      <c r="K356" s="3" t="s">
        <v>2893</v>
      </c>
      <c r="L356" s="3" t="s">
        <v>1798</v>
      </c>
      <c r="M356" s="3" t="s">
        <v>2894</v>
      </c>
      <c r="N356" s="3" t="s">
        <v>1952</v>
      </c>
      <c r="O356" s="3">
        <v>1.0</v>
      </c>
    </row>
    <row r="357" ht="15.75" customHeight="1">
      <c r="A357" s="3" t="s">
        <v>877</v>
      </c>
      <c r="B357" s="3" t="s">
        <v>2895</v>
      </c>
      <c r="C357" s="3" t="s">
        <v>2896</v>
      </c>
      <c r="D357" s="3" t="s">
        <v>2897</v>
      </c>
      <c r="E357" s="3" t="str">
        <f>IFERROR(__xludf.DUMMYFUNCTION("GOOGLETRANSLATE($D357,""EN"",""RU"")")," Пистолет")</f>
        <v> Пистолет</v>
      </c>
      <c r="F357" s="3" t="s">
        <v>358</v>
      </c>
      <c r="G357" s="3" t="s">
        <v>354</v>
      </c>
      <c r="H357" s="3" t="s">
        <v>235</v>
      </c>
      <c r="I357" s="3" t="s">
        <v>65</v>
      </c>
      <c r="J357" s="3" t="s">
        <v>65</v>
      </c>
      <c r="K357" s="3" t="s">
        <v>1950</v>
      </c>
      <c r="L357" s="3" t="s">
        <v>2473</v>
      </c>
      <c r="M357" s="3" t="s">
        <v>2473</v>
      </c>
      <c r="N357" s="3" t="s">
        <v>2898</v>
      </c>
      <c r="O357" s="3">
        <v>0.0</v>
      </c>
    </row>
    <row r="358" ht="15.75" customHeight="1">
      <c r="A358" s="3" t="s">
        <v>2899</v>
      </c>
      <c r="B358" s="3" t="s">
        <v>2900</v>
      </c>
      <c r="C358" s="3" t="s">
        <v>2901</v>
      </c>
      <c r="D358" s="3" t="s">
        <v>2902</v>
      </c>
      <c r="E358" s="3" t="str">
        <f>IFERROR(__xludf.DUMMYFUNCTION("GOOGLETRANSLATE($D358,""EN"",""RU"")")," Гамбургер")</f>
        <v> Гамбургер</v>
      </c>
      <c r="F358" s="3" t="s">
        <v>1510</v>
      </c>
      <c r="G358" s="3" t="s">
        <v>354</v>
      </c>
      <c r="H358" s="3" t="s">
        <v>114</v>
      </c>
      <c r="I358" s="3" t="s">
        <v>199</v>
      </c>
      <c r="J358" s="3" t="s">
        <v>53</v>
      </c>
      <c r="K358" s="3" t="s">
        <v>2903</v>
      </c>
      <c r="L358" s="3" t="s">
        <v>2887</v>
      </c>
      <c r="M358" s="3" t="s">
        <v>1949</v>
      </c>
      <c r="N358" s="3" t="s">
        <v>2904</v>
      </c>
      <c r="O358" s="3">
        <v>0.0</v>
      </c>
    </row>
    <row r="359" ht="15.75" customHeight="1">
      <c r="A359" s="3" t="s">
        <v>955</v>
      </c>
      <c r="B359" s="3" t="s">
        <v>2905</v>
      </c>
      <c r="C359" s="3" t="s">
        <v>2906</v>
      </c>
      <c r="D359" s="3" t="s">
        <v>2907</v>
      </c>
      <c r="E359" s="3" t="str">
        <f>IFERROR(__xludf.DUMMYFUNCTION("GOOGLETRANSLATE($D359,""EN"",""RU"")")," Символ регионального индикатора, буква O")</f>
        <v> Символ регионального индикатора, буква O</v>
      </c>
      <c r="F359" s="3" t="s">
        <v>637</v>
      </c>
      <c r="G359" s="3" t="s">
        <v>342</v>
      </c>
      <c r="H359" s="3" t="s">
        <v>15</v>
      </c>
      <c r="I359" s="3" t="s">
        <v>199</v>
      </c>
      <c r="J359" s="3" t="s">
        <v>138</v>
      </c>
      <c r="K359" s="3" t="s">
        <v>2908</v>
      </c>
      <c r="L359" s="3" t="s">
        <v>2909</v>
      </c>
      <c r="M359" s="3" t="s">
        <v>2910</v>
      </c>
      <c r="N359" s="3" t="s">
        <v>2911</v>
      </c>
      <c r="O359" s="3">
        <v>2.0</v>
      </c>
    </row>
    <row r="360" ht="15.75" customHeight="1">
      <c r="A360" s="3" t="s">
        <v>2912</v>
      </c>
      <c r="B360" s="3" t="s">
        <v>2913</v>
      </c>
      <c r="C360" s="3" t="s">
        <v>2914</v>
      </c>
      <c r="D360" s="3" t="s">
        <v>2915</v>
      </c>
      <c r="E360" s="3" t="str">
        <f>IFERROR(__xludf.DUMMYFUNCTION("GOOGLETRANSLATE($D360,""EN"",""RU"")")," невеста с вуалью")</f>
        <v> невеста с вуалью</v>
      </c>
      <c r="F360" s="3" t="s">
        <v>2649</v>
      </c>
      <c r="G360" s="3" t="s">
        <v>342</v>
      </c>
      <c r="H360" s="3" t="s">
        <v>41</v>
      </c>
      <c r="I360" s="3" t="s">
        <v>90</v>
      </c>
      <c r="J360" s="3" t="s">
        <v>223</v>
      </c>
      <c r="K360" s="3" t="s">
        <v>2253</v>
      </c>
      <c r="L360" s="3" t="s">
        <v>2916</v>
      </c>
      <c r="M360" s="3" t="s">
        <v>2917</v>
      </c>
      <c r="N360" s="3" t="s">
        <v>2918</v>
      </c>
      <c r="O360" s="3">
        <v>2.0</v>
      </c>
    </row>
    <row r="361" ht="15.75" customHeight="1">
      <c r="A361" s="3" t="s">
        <v>917</v>
      </c>
      <c r="B361" s="3" t="s">
        <v>2919</v>
      </c>
      <c r="C361" s="3" t="s">
        <v>2920</v>
      </c>
      <c r="D361" s="3" t="s">
        <v>2921</v>
      </c>
      <c r="E361" s="3" t="str">
        <f>IFERROR(__xludf.DUMMYFUNCTION("GOOGLETRANSLATE($D361,""EN"",""RU"")")," Дельфин")</f>
        <v> Дельфин</v>
      </c>
      <c r="F361" s="3" t="s">
        <v>81</v>
      </c>
      <c r="G361" s="3" t="s">
        <v>342</v>
      </c>
      <c r="H361" s="3" t="s">
        <v>2226</v>
      </c>
      <c r="I361" s="3" t="s">
        <v>307</v>
      </c>
      <c r="J361" s="3" t="s">
        <v>41</v>
      </c>
      <c r="K361" s="3" t="s">
        <v>1214</v>
      </c>
      <c r="L361" s="3" t="s">
        <v>2922</v>
      </c>
      <c r="M361" s="3" t="s">
        <v>2253</v>
      </c>
      <c r="N361" s="3" t="s">
        <v>2923</v>
      </c>
      <c r="O361" s="3">
        <v>2.0</v>
      </c>
    </row>
    <row r="362" ht="15.75" customHeight="1">
      <c r="A362" s="3" t="s">
        <v>2924</v>
      </c>
      <c r="B362" s="3" t="s">
        <v>2925</v>
      </c>
      <c r="C362" s="3" t="s">
        <v>2926</v>
      </c>
      <c r="D362" s="3" t="s">
        <v>2927</v>
      </c>
      <c r="E362" s="3" t="str">
        <f>IFERROR(__xludf.DUMMYFUNCTION("GOOGLETRANSLATE($D362,""EN"",""RU"")")," Лук и стрела")</f>
        <v> Лук и стрела</v>
      </c>
      <c r="F362" s="3" t="s">
        <v>358</v>
      </c>
      <c r="G362" s="3" t="s">
        <v>342</v>
      </c>
      <c r="H362" s="3" t="s">
        <v>53</v>
      </c>
      <c r="I362" s="3" t="s">
        <v>90</v>
      </c>
      <c r="J362" s="3" t="s">
        <v>211</v>
      </c>
      <c r="K362" s="3" t="s">
        <v>2928</v>
      </c>
      <c r="L362" s="3" t="s">
        <v>2916</v>
      </c>
      <c r="M362" s="3" t="s">
        <v>2929</v>
      </c>
      <c r="N362" s="3" t="s">
        <v>2930</v>
      </c>
      <c r="O362" s="3">
        <v>2.0</v>
      </c>
    </row>
    <row r="363" ht="15.75" customHeight="1">
      <c r="A363" s="3" t="s">
        <v>2931</v>
      </c>
      <c r="B363" s="3" t="s">
        <v>2932</v>
      </c>
      <c r="C363" s="3" t="s">
        <v>2933</v>
      </c>
      <c r="D363" s="3" t="s">
        <v>2934</v>
      </c>
      <c r="E363" s="3" t="str">
        <f>IFERROR(__xludf.DUMMYFUNCTION("GOOGLETRANSLATE($D363,""EN"",""RU"")")," куча какашек")</f>
        <v> куча какашек</v>
      </c>
      <c r="F363" s="3" t="s">
        <v>358</v>
      </c>
      <c r="G363" s="3" t="s">
        <v>342</v>
      </c>
      <c r="H363" s="3" t="s">
        <v>319</v>
      </c>
      <c r="I363" s="3" t="s">
        <v>28</v>
      </c>
      <c r="J363" s="3" t="s">
        <v>2226</v>
      </c>
      <c r="K363" s="3" t="s">
        <v>2935</v>
      </c>
      <c r="L363" s="3" t="s">
        <v>2923</v>
      </c>
      <c r="M363" s="3" t="s">
        <v>1214</v>
      </c>
      <c r="N363" s="3" t="s">
        <v>2936</v>
      </c>
      <c r="O363" s="3">
        <v>0.0</v>
      </c>
    </row>
    <row r="364" ht="15.75" customHeight="1">
      <c r="A364" s="3" t="s">
        <v>2937</v>
      </c>
      <c r="B364" s="3" t="s">
        <v>2938</v>
      </c>
      <c r="C364" s="3" t="s">
        <v>2939</v>
      </c>
      <c r="D364" s="3" t="s">
        <v>2940</v>
      </c>
      <c r="E364" s="3" t="str">
        <f>IFERROR(__xludf.DUMMYFUNCTION("GOOGLETRANSLATE($D364,""EN"",""RU"")")," Малыш")</f>
        <v> Малыш</v>
      </c>
      <c r="F364" s="3" t="s">
        <v>19</v>
      </c>
      <c r="G364" s="3" t="s">
        <v>342</v>
      </c>
      <c r="H364" s="3" t="s">
        <v>126</v>
      </c>
      <c r="I364" s="3" t="s">
        <v>102</v>
      </c>
      <c r="J364" s="3" t="s">
        <v>126</v>
      </c>
      <c r="K364" s="3" t="s">
        <v>1651</v>
      </c>
      <c r="L364" s="3" t="s">
        <v>2941</v>
      </c>
      <c r="M364" s="3" t="s">
        <v>1651</v>
      </c>
      <c r="N364" s="3" t="s">
        <v>1425</v>
      </c>
      <c r="O364" s="3">
        <v>1.0</v>
      </c>
    </row>
    <row r="365" ht="15.75" customHeight="1">
      <c r="A365" s="3" t="s">
        <v>2942</v>
      </c>
      <c r="B365" s="3" t="s">
        <v>2943</v>
      </c>
      <c r="C365" s="3" t="s">
        <v>2944</v>
      </c>
      <c r="D365" s="3" t="s">
        <v>2945</v>
      </c>
      <c r="E365" s="3" t="str">
        <f>IFERROR(__xludf.DUMMYFUNCTION("GOOGLETRANSLATE($D365,""EN"",""RU"")")," Отрывной календарь")</f>
        <v> Отрывной календарь</v>
      </c>
      <c r="F365" s="3" t="s">
        <v>358</v>
      </c>
      <c r="G365" s="3" t="s">
        <v>342</v>
      </c>
      <c r="H365" s="3" t="s">
        <v>53</v>
      </c>
      <c r="I365" s="3" t="s">
        <v>199</v>
      </c>
      <c r="J365" s="3" t="s">
        <v>102</v>
      </c>
      <c r="K365" s="3" t="s">
        <v>2928</v>
      </c>
      <c r="L365" s="3" t="s">
        <v>2909</v>
      </c>
      <c r="M365" s="3" t="s">
        <v>2941</v>
      </c>
      <c r="N365" s="3" t="s">
        <v>2946</v>
      </c>
      <c r="O365" s="3">
        <v>2.0</v>
      </c>
    </row>
    <row r="366" ht="15.75" customHeight="1">
      <c r="A366" s="3" t="s">
        <v>2947</v>
      </c>
      <c r="B366" s="3" t="s">
        <v>2948</v>
      </c>
      <c r="C366" s="3" t="s">
        <v>2949</v>
      </c>
      <c r="D366" s="3" t="s">
        <v>2950</v>
      </c>
      <c r="E366" s="3" t="str">
        <f>IFERROR(__xludf.DUMMYFUNCTION("GOOGLETRANSLATE($D366,""EN"",""RU"")")," красное яблоко")</f>
        <v> красное яблоко</v>
      </c>
      <c r="F366" s="3" t="s">
        <v>1510</v>
      </c>
      <c r="G366" s="3" t="s">
        <v>330</v>
      </c>
      <c r="H366" s="3" t="s">
        <v>90</v>
      </c>
      <c r="I366" s="3" t="s">
        <v>126</v>
      </c>
      <c r="J366" s="3" t="s">
        <v>126</v>
      </c>
      <c r="K366" s="3" t="s">
        <v>2951</v>
      </c>
      <c r="L366" s="3" t="s">
        <v>2952</v>
      </c>
      <c r="M366" s="3" t="s">
        <v>2952</v>
      </c>
      <c r="N366" s="3" t="s">
        <v>2953</v>
      </c>
      <c r="O366" s="3">
        <v>2.0</v>
      </c>
    </row>
    <row r="367" ht="15.75" customHeight="1">
      <c r="A367" s="3" t="s">
        <v>1096</v>
      </c>
      <c r="B367" s="3" t="s">
        <v>2954</v>
      </c>
      <c r="C367" s="3" t="s">
        <v>2955</v>
      </c>
      <c r="D367" s="3" t="s">
        <v>2956</v>
      </c>
      <c r="E367" s="3" t="str">
        <f>IFERROR(__xludf.DUMMYFUNCTION("GOOGLETRANSLATE($D367,""EN"",""RU"")")," Знак Рога")</f>
        <v> Знак Рога</v>
      </c>
      <c r="F367" s="3" t="s">
        <v>178</v>
      </c>
      <c r="G367" s="3" t="s">
        <v>330</v>
      </c>
      <c r="H367" s="3" t="s">
        <v>77</v>
      </c>
      <c r="I367" s="3" t="s">
        <v>90</v>
      </c>
      <c r="J367" s="3" t="s">
        <v>174</v>
      </c>
      <c r="K367" s="3" t="s">
        <v>1512</v>
      </c>
      <c r="L367" s="3" t="s">
        <v>2951</v>
      </c>
      <c r="M367" s="3" t="s">
        <v>1675</v>
      </c>
      <c r="N367" s="3" t="s">
        <v>2951</v>
      </c>
      <c r="O367" s="3">
        <v>2.0</v>
      </c>
    </row>
    <row r="368" ht="15.75" customHeight="1">
      <c r="A368" s="3" t="s">
        <v>313</v>
      </c>
      <c r="B368" s="3" t="s">
        <v>2957</v>
      </c>
      <c r="C368" s="3" t="s">
        <v>2958</v>
      </c>
      <c r="D368" s="3" t="s">
        <v>2959</v>
      </c>
      <c r="E368" s="3" t="str">
        <f>IFERROR(__xludf.DUMMYFUNCTION("GOOGLETRANSLATE($D368,""EN"",""RU"")")," Яркая кнопка")</f>
        <v> Яркая кнопка</v>
      </c>
      <c r="F368" s="3" t="s">
        <v>637</v>
      </c>
      <c r="G368" s="3" t="s">
        <v>330</v>
      </c>
      <c r="H368" s="3" t="s">
        <v>15</v>
      </c>
      <c r="I368" s="3" t="s">
        <v>283</v>
      </c>
      <c r="J368" s="3" t="s">
        <v>41</v>
      </c>
      <c r="K368" s="3" t="s">
        <v>2288</v>
      </c>
      <c r="L368" s="3" t="s">
        <v>2056</v>
      </c>
      <c r="M368" s="3" t="s">
        <v>2101</v>
      </c>
      <c r="N368" s="3" t="s">
        <v>2288</v>
      </c>
      <c r="O368" s="3">
        <v>2.0</v>
      </c>
    </row>
    <row r="369" ht="15.75" customHeight="1">
      <c r="A369" s="3" t="s">
        <v>1221</v>
      </c>
      <c r="B369" s="3" t="s">
        <v>2960</v>
      </c>
      <c r="C369" s="3" t="s">
        <v>2961</v>
      </c>
      <c r="D369" s="3" t="s">
        <v>2962</v>
      </c>
      <c r="E369" s="3" t="str">
        <f>IFERROR(__xludf.DUMMYFUNCTION("GOOGLETRANSLATE($D369,""EN"",""RU"")")," Заперто ключом")</f>
        <v> Заперто ключом</v>
      </c>
      <c r="F369" s="3" t="s">
        <v>637</v>
      </c>
      <c r="G369" s="3" t="s">
        <v>330</v>
      </c>
      <c r="H369" s="3" t="s">
        <v>65</v>
      </c>
      <c r="I369" s="3" t="s">
        <v>199</v>
      </c>
      <c r="J369" s="3" t="s">
        <v>77</v>
      </c>
      <c r="K369" s="3" t="s">
        <v>940</v>
      </c>
      <c r="L369" s="3" t="s">
        <v>2963</v>
      </c>
      <c r="M369" s="3" t="s">
        <v>1512</v>
      </c>
      <c r="N369" s="3" t="s">
        <v>2964</v>
      </c>
      <c r="O369" s="3">
        <v>1.0</v>
      </c>
    </row>
    <row r="370" ht="15.75" customHeight="1">
      <c r="A370" s="3" t="s">
        <v>1213</v>
      </c>
      <c r="B370" s="3" t="s">
        <v>2965</v>
      </c>
      <c r="C370" s="3" t="s">
        <v>2966</v>
      </c>
      <c r="D370" s="3" t="s">
        <v>2967</v>
      </c>
      <c r="E370" s="3" t="str">
        <f>IFERROR(__xludf.DUMMYFUNCTION("GOOGLETRANSLATE($D370,""EN"",""RU"")")," Судан")</f>
        <v> Судан</v>
      </c>
      <c r="F370" s="3" t="s">
        <v>559</v>
      </c>
      <c r="G370" s="3" t="s">
        <v>330</v>
      </c>
      <c r="H370" s="3" t="s">
        <v>162</v>
      </c>
      <c r="I370" s="3" t="s">
        <v>28</v>
      </c>
      <c r="J370" s="3" t="s">
        <v>150</v>
      </c>
      <c r="K370" s="3" t="s">
        <v>1882</v>
      </c>
      <c r="L370" s="3" t="s">
        <v>1990</v>
      </c>
      <c r="M370" s="3" t="s">
        <v>2968</v>
      </c>
      <c r="N370" s="3" t="s">
        <v>2969</v>
      </c>
      <c r="O370" s="3">
        <v>1.0</v>
      </c>
    </row>
    <row r="371" ht="15.75" customHeight="1">
      <c r="A371" s="3" t="s">
        <v>2970</v>
      </c>
      <c r="B371" s="3" t="s">
        <v>2971</v>
      </c>
      <c r="C371" s="3" t="s">
        <v>2972</v>
      </c>
      <c r="D371" s="3" t="s">
        <v>2973</v>
      </c>
      <c r="E371" s="3" t="str">
        <f>IFERROR(__xludf.DUMMYFUNCTION("GOOGLETRANSLATE($D371,""EN"",""RU"")")," Розетка")</f>
        <v> Розетка</v>
      </c>
      <c r="F371" s="3" t="s">
        <v>81</v>
      </c>
      <c r="G371" s="3" t="s">
        <v>330</v>
      </c>
      <c r="H371" s="3" t="s">
        <v>15</v>
      </c>
      <c r="I371" s="3" t="s">
        <v>77</v>
      </c>
      <c r="J371" s="3" t="s">
        <v>247</v>
      </c>
      <c r="K371" s="3" t="s">
        <v>2288</v>
      </c>
      <c r="L371" s="3" t="s">
        <v>1512</v>
      </c>
      <c r="M371" s="3" t="s">
        <v>2684</v>
      </c>
      <c r="N371" s="3" t="s">
        <v>2974</v>
      </c>
      <c r="O371" s="3">
        <v>2.0</v>
      </c>
    </row>
    <row r="372" ht="15.75" customHeight="1">
      <c r="A372" s="3" t="s">
        <v>2975</v>
      </c>
      <c r="B372" s="3" t="s">
        <v>2976</v>
      </c>
      <c r="C372" s="3" t="s">
        <v>2977</v>
      </c>
      <c r="D372" s="3" t="s">
        <v>2978</v>
      </c>
      <c r="E372" s="3" t="str">
        <f>IFERROR(__xludf.DUMMYFUNCTION("GOOGLETRANSLATE($D372,""EN"",""RU"")")," Ирландия")</f>
        <v> Ирландия</v>
      </c>
      <c r="F372" s="3" t="s">
        <v>559</v>
      </c>
      <c r="G372" s="3" t="s">
        <v>330</v>
      </c>
      <c r="H372" s="3" t="s">
        <v>2226</v>
      </c>
      <c r="I372" s="3" t="s">
        <v>235</v>
      </c>
      <c r="J372" s="3" t="s">
        <v>102</v>
      </c>
      <c r="K372" s="3" t="s">
        <v>2979</v>
      </c>
      <c r="L372" s="3" t="s">
        <v>1450</v>
      </c>
      <c r="M372" s="3" t="s">
        <v>2980</v>
      </c>
      <c r="N372" s="3" t="s">
        <v>2951</v>
      </c>
      <c r="O372" s="3">
        <v>2.0</v>
      </c>
    </row>
    <row r="373" ht="15.75" customHeight="1">
      <c r="A373" s="3" t="s">
        <v>1204</v>
      </c>
      <c r="B373" s="3" t="s">
        <v>2981</v>
      </c>
      <c r="C373" s="3" t="s">
        <v>2982</v>
      </c>
      <c r="D373" s="3" t="s">
        <v>2983</v>
      </c>
      <c r="E373" s="3" t="str">
        <f>IFERROR(__xludf.DUMMYFUNCTION("GOOGLETRANSLATE($D373,""EN"",""RU"")")," Человек, получающий массаж")</f>
        <v> Человек, получающий массаж</v>
      </c>
      <c r="F373" s="3" t="s">
        <v>2649</v>
      </c>
      <c r="G373" s="3" t="s">
        <v>330</v>
      </c>
      <c r="H373" s="3" t="s">
        <v>77</v>
      </c>
      <c r="I373" s="3" t="s">
        <v>90</v>
      </c>
      <c r="J373" s="3" t="s">
        <v>174</v>
      </c>
      <c r="K373" s="3" t="s">
        <v>1512</v>
      </c>
      <c r="L373" s="3" t="s">
        <v>2951</v>
      </c>
      <c r="M373" s="3" t="s">
        <v>1675</v>
      </c>
      <c r="N373" s="3" t="s">
        <v>2951</v>
      </c>
      <c r="O373" s="3">
        <v>2.0</v>
      </c>
    </row>
    <row r="374" ht="15.75" customHeight="1">
      <c r="A374" s="3" t="s">
        <v>2984</v>
      </c>
      <c r="B374" s="3" t="s">
        <v>2985</v>
      </c>
      <c r="C374" s="3" t="s">
        <v>2986</v>
      </c>
      <c r="D374" s="3" t="s">
        <v>2987</v>
      </c>
      <c r="E374" s="3" t="str">
        <f>IFERROR(__xludf.DUMMYFUNCTION("GOOGLETRANSLATE($D374,""EN"",""RU"")")," печенье")</f>
        <v> печенье</v>
      </c>
      <c r="F374" s="3" t="s">
        <v>1510</v>
      </c>
      <c r="G374" s="3" t="s">
        <v>330</v>
      </c>
      <c r="H374" s="3" t="s">
        <v>41</v>
      </c>
      <c r="I374" s="3" t="s">
        <v>114</v>
      </c>
      <c r="J374" s="3" t="s">
        <v>187</v>
      </c>
      <c r="K374" s="3" t="s">
        <v>2101</v>
      </c>
      <c r="L374" s="3" t="s">
        <v>2378</v>
      </c>
      <c r="M374" s="3" t="s">
        <v>2988</v>
      </c>
      <c r="N374" s="3" t="s">
        <v>2176</v>
      </c>
      <c r="O374" s="3">
        <v>2.0</v>
      </c>
    </row>
    <row r="375" ht="15.75" customHeight="1">
      <c r="A375" s="3" t="s">
        <v>420</v>
      </c>
      <c r="B375" s="3" t="s">
        <v>2989</v>
      </c>
      <c r="C375" s="3" t="s">
        <v>2990</v>
      </c>
      <c r="D375" s="3" t="s">
        <v>2991</v>
      </c>
      <c r="E375" s="3" t="str">
        <f>IFERROR(__xludf.DUMMYFUNCTION("GOOGLETRANSLATE($D375,""EN"",""RU"")")," Цилиндр")</f>
        <v> Цилиндр</v>
      </c>
      <c r="F375" s="3" t="s">
        <v>358</v>
      </c>
      <c r="G375" s="3" t="s">
        <v>319</v>
      </c>
      <c r="H375" s="3" t="s">
        <v>65</v>
      </c>
      <c r="I375" s="3" t="s">
        <v>150</v>
      </c>
      <c r="J375" s="3" t="s">
        <v>114</v>
      </c>
      <c r="K375" s="3" t="s">
        <v>2992</v>
      </c>
      <c r="L375" s="3" t="s">
        <v>2993</v>
      </c>
      <c r="M375" s="3" t="s">
        <v>2327</v>
      </c>
      <c r="N375" s="3" t="s">
        <v>2994</v>
      </c>
      <c r="O375" s="3">
        <v>2.0</v>
      </c>
    </row>
    <row r="376" ht="15.75" customHeight="1">
      <c r="A376" s="3" t="s">
        <v>2995</v>
      </c>
      <c r="B376" s="3" t="s">
        <v>2996</v>
      </c>
      <c r="C376" s="3" t="s">
        <v>2997</v>
      </c>
      <c r="D376" s="3" t="s">
        <v>2998</v>
      </c>
      <c r="E376" s="3" t="str">
        <f>IFERROR(__xludf.DUMMYFUNCTION("GOOGLETRANSLATE($D376,""EN"",""RU"")")," Змея")</f>
        <v> Змея</v>
      </c>
      <c r="F376" s="3" t="s">
        <v>81</v>
      </c>
      <c r="G376" s="3" t="s">
        <v>319</v>
      </c>
      <c r="H376" s="3" t="s">
        <v>247</v>
      </c>
      <c r="I376" s="3" t="s">
        <v>65</v>
      </c>
      <c r="J376" s="3" t="s">
        <v>15</v>
      </c>
      <c r="K376" s="3" t="s">
        <v>2999</v>
      </c>
      <c r="L376" s="3" t="s">
        <v>2992</v>
      </c>
      <c r="M376" s="3" t="s">
        <v>3000</v>
      </c>
      <c r="N376" s="3" t="s">
        <v>3001</v>
      </c>
      <c r="O376" s="3">
        <v>0.0</v>
      </c>
    </row>
    <row r="377" ht="15.75" customHeight="1">
      <c r="A377" s="3" t="s">
        <v>907</v>
      </c>
      <c r="B377" s="3" t="s">
        <v>3002</v>
      </c>
      <c r="C377" s="3" t="s">
        <v>3003</v>
      </c>
      <c r="D377" s="3" t="s">
        <v>3004</v>
      </c>
      <c r="E377" s="3" t="str">
        <f>IFERROR(__xludf.DUMMYFUNCTION("GOOGLETRANSLATE($D377,""EN"",""RU"")")," Символ регионального индикатора, буква P")</f>
        <v> Символ регионального индикатора, буква P</v>
      </c>
      <c r="F377" s="3" t="s">
        <v>637</v>
      </c>
      <c r="G377" s="3" t="s">
        <v>319</v>
      </c>
      <c r="H377" s="3" t="s">
        <v>150</v>
      </c>
      <c r="I377" s="3" t="s">
        <v>162</v>
      </c>
      <c r="J377" s="3" t="s">
        <v>15</v>
      </c>
      <c r="K377" s="3" t="s">
        <v>2993</v>
      </c>
      <c r="L377" s="3" t="s">
        <v>1136</v>
      </c>
      <c r="M377" s="3" t="s">
        <v>3000</v>
      </c>
      <c r="N377" s="3" t="s">
        <v>3005</v>
      </c>
      <c r="O377" s="3">
        <v>0.0</v>
      </c>
    </row>
    <row r="378" ht="15.75" customHeight="1">
      <c r="A378" s="3" t="s">
        <v>3006</v>
      </c>
      <c r="B378" s="3" t="s">
        <v>3007</v>
      </c>
      <c r="C378" s="3" t="s">
        <v>3008</v>
      </c>
      <c r="D378" s="3" t="s">
        <v>3009</v>
      </c>
      <c r="E378" s="3" t="str">
        <f>IFERROR(__xludf.DUMMYFUNCTION("GOOGLETRANSLATE($D378,""EN"",""RU"")")," Левый речевой пузырь")</f>
        <v> Левый речевой пузырь</v>
      </c>
      <c r="F378" s="3" t="s">
        <v>637</v>
      </c>
      <c r="G378" s="3" t="s">
        <v>319</v>
      </c>
      <c r="H378" s="3" t="s">
        <v>114</v>
      </c>
      <c r="I378" s="3" t="s">
        <v>174</v>
      </c>
      <c r="J378" s="3" t="s">
        <v>41</v>
      </c>
      <c r="K378" s="3" t="s">
        <v>2327</v>
      </c>
      <c r="L378" s="3" t="s">
        <v>3010</v>
      </c>
      <c r="M378" s="3" t="s">
        <v>2329</v>
      </c>
      <c r="N378" s="3" t="s">
        <v>3011</v>
      </c>
      <c r="O378" s="3">
        <v>0.0</v>
      </c>
    </row>
    <row r="379" ht="15.75" customHeight="1">
      <c r="A379" s="3" t="s">
        <v>3012</v>
      </c>
      <c r="B379" s="3" t="s">
        <v>3013</v>
      </c>
      <c r="C379" s="3" t="s">
        <v>3014</v>
      </c>
      <c r="D379" s="3" t="s">
        <v>3015</v>
      </c>
      <c r="E379" s="3" t="str">
        <f>IFERROR(__xludf.DUMMYFUNCTION("GOOGLETRANSLATE($D379,""EN"",""RU"")")," Клавиатура Цифра Ноль")</f>
        <v> Клавиатура Цифра Ноль</v>
      </c>
      <c r="F379" s="3" t="s">
        <v>637</v>
      </c>
      <c r="G379" s="3" t="s">
        <v>319</v>
      </c>
      <c r="H379" s="3" t="s">
        <v>2226</v>
      </c>
      <c r="I379" s="3" t="s">
        <v>295</v>
      </c>
      <c r="J379" s="3" t="s">
        <v>28</v>
      </c>
      <c r="K379" s="3" t="s">
        <v>3016</v>
      </c>
      <c r="L379" s="3" t="s">
        <v>3017</v>
      </c>
      <c r="M379" s="3" t="s">
        <v>3018</v>
      </c>
      <c r="N379" s="3" t="s">
        <v>3000</v>
      </c>
      <c r="O379" s="3">
        <v>2.0</v>
      </c>
    </row>
    <row r="380" ht="15.75" customHeight="1">
      <c r="A380" s="3" t="s">
        <v>1186</v>
      </c>
      <c r="B380" s="3" t="s">
        <v>3019</v>
      </c>
      <c r="C380" s="3" t="s">
        <v>3020</v>
      </c>
      <c r="D380" s="3" t="s">
        <v>3021</v>
      </c>
      <c r="E380" s="3" t="str">
        <f>IFERROR(__xludf.DUMMYFUNCTION("GOOGLETRANSLATE($D380,""EN"",""RU"")")," Пивная кружка")</f>
        <v> Пивная кружка</v>
      </c>
      <c r="F380" s="3" t="s">
        <v>1510</v>
      </c>
      <c r="G380" s="3" t="s">
        <v>319</v>
      </c>
      <c r="H380" s="3" t="s">
        <v>162</v>
      </c>
      <c r="I380" s="3" t="s">
        <v>77</v>
      </c>
      <c r="J380" s="3" t="s">
        <v>90</v>
      </c>
      <c r="K380" s="3" t="s">
        <v>1136</v>
      </c>
      <c r="L380" s="3" t="s">
        <v>3022</v>
      </c>
      <c r="M380" s="3" t="s">
        <v>3023</v>
      </c>
      <c r="N380" s="3" t="s">
        <v>3011</v>
      </c>
      <c r="O380" s="3">
        <v>0.0</v>
      </c>
    </row>
    <row r="381" ht="15.75" customHeight="1">
      <c r="A381" s="3" t="s">
        <v>168</v>
      </c>
      <c r="B381" s="3" t="s">
        <v>3024</v>
      </c>
      <c r="C381" s="3" t="s">
        <v>3025</v>
      </c>
      <c r="D381" s="3" t="s">
        <v>3026</v>
      </c>
      <c r="E381" s="3" t="str">
        <f>IFERROR(__xludf.DUMMYFUNCTION("GOOGLETRANSLATE($D381,""EN"",""RU"")")," Ухо")</f>
        <v> Ухо</v>
      </c>
      <c r="F381" s="3" t="s">
        <v>178</v>
      </c>
      <c r="G381" s="3" t="s">
        <v>319</v>
      </c>
      <c r="H381" s="3" t="s">
        <v>150</v>
      </c>
      <c r="I381" s="3" t="s">
        <v>90</v>
      </c>
      <c r="J381" s="3" t="s">
        <v>90</v>
      </c>
      <c r="K381" s="3" t="s">
        <v>2993</v>
      </c>
      <c r="L381" s="3" t="s">
        <v>3023</v>
      </c>
      <c r="M381" s="3" t="s">
        <v>3023</v>
      </c>
      <c r="N381" s="3" t="s">
        <v>3027</v>
      </c>
      <c r="O381" s="3">
        <v>0.0</v>
      </c>
    </row>
    <row r="382" ht="15.75" customHeight="1">
      <c r="A382" s="3" t="s">
        <v>3028</v>
      </c>
      <c r="B382" s="3" t="s">
        <v>3029</v>
      </c>
      <c r="C382" s="3" t="s">
        <v>3030</v>
      </c>
      <c r="D382" s="3" t="s">
        <v>3031</v>
      </c>
      <c r="E382" s="3" t="str">
        <f>IFERROR(__xludf.DUMMYFUNCTION("GOOGLETRANSLATE($D382,""EN"",""RU"")")," Стрелка назад")</f>
        <v> Стрелка назад</v>
      </c>
      <c r="F382" s="3" t="s">
        <v>637</v>
      </c>
      <c r="G382" s="3" t="s">
        <v>319</v>
      </c>
      <c r="H382" s="3" t="s">
        <v>90</v>
      </c>
      <c r="I382" s="3" t="s">
        <v>235</v>
      </c>
      <c r="J382" s="3" t="s">
        <v>2226</v>
      </c>
      <c r="K382" s="3" t="s">
        <v>3023</v>
      </c>
      <c r="L382" s="3" t="s">
        <v>3032</v>
      </c>
      <c r="M382" s="3" t="s">
        <v>3016</v>
      </c>
      <c r="N382" s="3" t="s">
        <v>3033</v>
      </c>
      <c r="O382" s="3">
        <v>0.0</v>
      </c>
    </row>
    <row r="383" ht="15.75" customHeight="1">
      <c r="A383" s="3" t="s">
        <v>3034</v>
      </c>
      <c r="B383" s="3" t="s">
        <v>3035</v>
      </c>
      <c r="C383" s="3" t="s">
        <v>3036</v>
      </c>
      <c r="D383" s="3" t="s">
        <v>3037</v>
      </c>
      <c r="E383" s="3" t="str">
        <f>IFERROR(__xludf.DUMMYFUNCTION("GOOGLETRANSLATE($D383,""EN"",""RU"")")," Конфеты")</f>
        <v> Конфеты</v>
      </c>
      <c r="F383" s="3" t="s">
        <v>1510</v>
      </c>
      <c r="G383" s="3" t="s">
        <v>319</v>
      </c>
      <c r="H383" s="3" t="s">
        <v>28</v>
      </c>
      <c r="I383" s="3" t="s">
        <v>126</v>
      </c>
      <c r="J383" s="3" t="s">
        <v>174</v>
      </c>
      <c r="K383" s="3" t="s">
        <v>3018</v>
      </c>
      <c r="L383" s="3" t="s">
        <v>3038</v>
      </c>
      <c r="M383" s="3" t="s">
        <v>3010</v>
      </c>
      <c r="N383" s="3" t="s">
        <v>3039</v>
      </c>
      <c r="O383" s="3">
        <v>2.0</v>
      </c>
    </row>
    <row r="384" ht="15.75" customHeight="1">
      <c r="A384" s="3" t="s">
        <v>3040</v>
      </c>
      <c r="B384" s="3" t="s">
        <v>3041</v>
      </c>
      <c r="C384" s="3" t="s">
        <v>3042</v>
      </c>
      <c r="D384" s="3" t="s">
        <v>3043</v>
      </c>
      <c r="E384" s="3" t="str">
        <f>IFERROR(__xludf.DUMMYFUNCTION("GOOGLETRANSLATE($D384,""EN"",""RU"")")," Мужчина и женщина, держась за руки")</f>
        <v> Мужчина и женщина, держась за руки</v>
      </c>
      <c r="F384" s="3" t="s">
        <v>2649</v>
      </c>
      <c r="G384" s="3" t="s">
        <v>307</v>
      </c>
      <c r="H384" s="3" t="s">
        <v>90</v>
      </c>
      <c r="I384" s="3" t="s">
        <v>90</v>
      </c>
      <c r="J384" s="3" t="s">
        <v>138</v>
      </c>
      <c r="K384" s="3" t="s">
        <v>2333</v>
      </c>
      <c r="L384" s="3" t="s">
        <v>2333</v>
      </c>
      <c r="M384" s="3" t="s">
        <v>3044</v>
      </c>
      <c r="N384" s="3" t="s">
        <v>1601</v>
      </c>
      <c r="O384" s="3">
        <v>2.0</v>
      </c>
    </row>
    <row r="385" ht="15.75" customHeight="1">
      <c r="A385" s="3" t="s">
        <v>1176</v>
      </c>
      <c r="B385" s="3" t="s">
        <v>3045</v>
      </c>
      <c r="C385" s="3" t="s">
        <v>3046</v>
      </c>
      <c r="D385" s="3" t="s">
        <v>3047</v>
      </c>
      <c r="E385" s="3" t="str">
        <f>IFERROR(__xludf.DUMMYFUNCTION("GOOGLETRANSLATE($D385,""EN"",""RU"")")," Кнопка «Вниз»")</f>
        <v> Кнопка «Вниз»</v>
      </c>
      <c r="F385" s="3" t="s">
        <v>637</v>
      </c>
      <c r="G385" s="3" t="s">
        <v>307</v>
      </c>
      <c r="H385" s="3" t="s">
        <v>199</v>
      </c>
      <c r="I385" s="3" t="s">
        <v>65</v>
      </c>
      <c r="J385" s="3" t="s">
        <v>53</v>
      </c>
      <c r="K385" s="3" t="s">
        <v>3048</v>
      </c>
      <c r="L385" s="3" t="s">
        <v>1772</v>
      </c>
      <c r="M385" s="3" t="s">
        <v>3049</v>
      </c>
      <c r="N385" s="3" t="s">
        <v>3050</v>
      </c>
      <c r="O385" s="3">
        <v>0.0</v>
      </c>
    </row>
    <row r="386" ht="15.75" customHeight="1">
      <c r="A386" s="3" t="s">
        <v>3051</v>
      </c>
      <c r="B386" s="3" t="s">
        <v>3052</v>
      </c>
      <c r="C386" s="3" t="s">
        <v>3053</v>
      </c>
      <c r="D386" s="3" t="s">
        <v>3054</v>
      </c>
      <c r="E386" s="3" t="str">
        <f>IFERROR(__xludf.DUMMYFUNCTION("GOOGLETRANSLATE($D386,""EN"",""RU"")")," Клаппер Совет")</f>
        <v> Клаппер Совет</v>
      </c>
      <c r="F386" s="3" t="s">
        <v>358</v>
      </c>
      <c r="G386" s="3" t="s">
        <v>307</v>
      </c>
      <c r="H386" s="3" t="s">
        <v>114</v>
      </c>
      <c r="I386" s="3" t="s">
        <v>65</v>
      </c>
      <c r="J386" s="3" t="s">
        <v>138</v>
      </c>
      <c r="K386" s="3" t="s">
        <v>2624</v>
      </c>
      <c r="L386" s="3" t="s">
        <v>1772</v>
      </c>
      <c r="M386" s="3" t="s">
        <v>3044</v>
      </c>
      <c r="N386" s="3" t="s">
        <v>3055</v>
      </c>
      <c r="O386" s="3">
        <v>2.0</v>
      </c>
    </row>
    <row r="387" ht="15.75" customHeight="1">
      <c r="A387" s="3" t="s">
        <v>3056</v>
      </c>
      <c r="B387" s="3" t="s">
        <v>3057</v>
      </c>
      <c r="C387" s="3" t="s">
        <v>3058</v>
      </c>
      <c r="D387" s="3" t="s">
        <v>3059</v>
      </c>
      <c r="E387" s="3" t="str">
        <f>IFERROR(__xludf.DUMMYFUNCTION("GOOGLETRANSLATE($D387,""EN"",""RU"")")," Смотреть")</f>
        <v> Смотреть</v>
      </c>
      <c r="F387" s="3" t="s">
        <v>358</v>
      </c>
      <c r="G387" s="3" t="s">
        <v>307</v>
      </c>
      <c r="H387" s="3" t="s">
        <v>65</v>
      </c>
      <c r="I387" s="3" t="s">
        <v>162</v>
      </c>
      <c r="J387" s="3" t="s">
        <v>90</v>
      </c>
      <c r="K387" s="3" t="s">
        <v>1772</v>
      </c>
      <c r="L387" s="3" t="s">
        <v>1675</v>
      </c>
      <c r="M387" s="3" t="s">
        <v>2333</v>
      </c>
      <c r="N387" s="3" t="s">
        <v>1773</v>
      </c>
      <c r="O387" s="3">
        <v>2.0</v>
      </c>
    </row>
    <row r="388" ht="15.75" customHeight="1">
      <c r="A388" s="3" t="s">
        <v>1167</v>
      </c>
      <c r="B388" s="3" t="s">
        <v>3060</v>
      </c>
      <c r="C388" s="3" t="s">
        <v>3061</v>
      </c>
      <c r="D388" s="3" t="s">
        <v>3062</v>
      </c>
      <c r="E388" s="3" t="str">
        <f>IFERROR(__xludf.DUMMYFUNCTION("GOOGLETRANSLATE($D388,""EN"",""RU"")")," Вертикальные стрелки по часовой стрелке")</f>
        <v> Вертикальные стрелки по часовой стрелке</v>
      </c>
      <c r="F388" s="3" t="s">
        <v>637</v>
      </c>
      <c r="G388" s="3" t="s">
        <v>307</v>
      </c>
      <c r="H388" s="3" t="s">
        <v>15</v>
      </c>
      <c r="I388" s="3" t="s">
        <v>211</v>
      </c>
      <c r="J388" s="3" t="s">
        <v>90</v>
      </c>
      <c r="K388" s="3" t="s">
        <v>1773</v>
      </c>
      <c r="L388" s="3" t="s">
        <v>1771</v>
      </c>
      <c r="M388" s="3" t="s">
        <v>2333</v>
      </c>
      <c r="N388" s="3" t="s">
        <v>1772</v>
      </c>
      <c r="O388" s="3">
        <v>2.0</v>
      </c>
    </row>
    <row r="389" ht="15.75" customHeight="1">
      <c r="A389" s="3" t="s">
        <v>3063</v>
      </c>
      <c r="B389" s="3" t="s">
        <v>3064</v>
      </c>
      <c r="C389" s="3" t="s">
        <v>3065</v>
      </c>
      <c r="D389" s="3" t="s">
        <v>3066</v>
      </c>
      <c r="E389" s="3" t="str">
        <f>IFERROR(__xludf.DUMMYFUNCTION("GOOGLETRANSLATE($D389,""EN"",""RU"")")," Пончик")</f>
        <v> Пончик</v>
      </c>
      <c r="F389" s="3" t="s">
        <v>1510</v>
      </c>
      <c r="G389" s="3" t="s">
        <v>307</v>
      </c>
      <c r="H389" s="3" t="s">
        <v>28</v>
      </c>
      <c r="I389" s="3" t="s">
        <v>126</v>
      </c>
      <c r="J389" s="3" t="s">
        <v>162</v>
      </c>
      <c r="K389" s="3" t="s">
        <v>1856</v>
      </c>
      <c r="L389" s="3" t="s">
        <v>3067</v>
      </c>
      <c r="M389" s="3" t="s">
        <v>1675</v>
      </c>
      <c r="N389" s="3" t="s">
        <v>3067</v>
      </c>
      <c r="O389" s="3">
        <v>2.0</v>
      </c>
    </row>
    <row r="390" ht="15.75" customHeight="1">
      <c r="A390" s="3" t="s">
        <v>3068</v>
      </c>
      <c r="B390" s="3" t="s">
        <v>3069</v>
      </c>
      <c r="C390" s="3" t="s">
        <v>3070</v>
      </c>
      <c r="D390" s="3" t="s">
        <v>3071</v>
      </c>
      <c r="E390" s="3" t="str">
        <f>IFERROR(__xludf.DUMMYFUNCTION("GOOGLETRANSLATE($D390,""EN"",""RU"")")," Мороженое")</f>
        <v> Мороженое</v>
      </c>
      <c r="F390" s="3" t="s">
        <v>1510</v>
      </c>
      <c r="G390" s="3" t="s">
        <v>307</v>
      </c>
      <c r="H390" s="3" t="s">
        <v>28</v>
      </c>
      <c r="I390" s="3" t="s">
        <v>114</v>
      </c>
      <c r="J390" s="3" t="s">
        <v>174</v>
      </c>
      <c r="K390" s="3" t="s">
        <v>1856</v>
      </c>
      <c r="L390" s="3" t="s">
        <v>2624</v>
      </c>
      <c r="M390" s="3" t="s">
        <v>2342</v>
      </c>
      <c r="N390" s="3" t="s">
        <v>3044</v>
      </c>
      <c r="O390" s="3">
        <v>2.0</v>
      </c>
    </row>
    <row r="391" ht="15.75" customHeight="1">
      <c r="A391" s="3" t="s">
        <v>83</v>
      </c>
      <c r="B391" s="3" t="s">
        <v>3072</v>
      </c>
      <c r="C391" s="3" t="s">
        <v>3073</v>
      </c>
      <c r="D391" s="3" t="s">
        <v>3074</v>
      </c>
      <c r="E391" s="3" t="str">
        <f>IFERROR(__xludf.DUMMYFUNCTION("GOOGLETRANSLATE($D391,""EN"",""RU"")")," Берег Слоновой Кости")</f>
        <v> Берег Слоновой Кости</v>
      </c>
      <c r="F391" s="3" t="s">
        <v>559</v>
      </c>
      <c r="G391" s="3" t="s">
        <v>307</v>
      </c>
      <c r="H391" s="3" t="s">
        <v>15</v>
      </c>
      <c r="I391" s="3" t="s">
        <v>295</v>
      </c>
      <c r="J391" s="3" t="s">
        <v>2226</v>
      </c>
      <c r="K391" s="3" t="s">
        <v>1773</v>
      </c>
      <c r="L391" s="3" t="s">
        <v>3075</v>
      </c>
      <c r="M391" s="3" t="s">
        <v>3076</v>
      </c>
      <c r="N391" s="3" t="s">
        <v>3077</v>
      </c>
      <c r="O391" s="3">
        <v>1.0</v>
      </c>
    </row>
    <row r="392" ht="15.75" customHeight="1">
      <c r="A392" s="3" t="s">
        <v>936</v>
      </c>
      <c r="B392" s="3" t="s">
        <v>3078</v>
      </c>
      <c r="C392" s="3" t="s">
        <v>3079</v>
      </c>
      <c r="D392" s="3" t="s">
        <v>3080</v>
      </c>
      <c r="E392" s="3" t="str">
        <f>IFERROR(__xludf.DUMMYFUNCTION("GOOGLETRANSLATE($D392,""EN"",""RU"")")," Никто младше восемнадцати")</f>
        <v> Никто младше восемнадцати</v>
      </c>
      <c r="F392" s="3" t="s">
        <v>637</v>
      </c>
      <c r="G392" s="3" t="s">
        <v>295</v>
      </c>
      <c r="H392" s="3" t="s">
        <v>199</v>
      </c>
      <c r="I392" s="3" t="s">
        <v>102</v>
      </c>
      <c r="J392" s="3" t="s">
        <v>2226</v>
      </c>
      <c r="K392" s="3" t="s">
        <v>3081</v>
      </c>
      <c r="L392" s="3" t="s">
        <v>2378</v>
      </c>
      <c r="M392" s="3" t="s">
        <v>3082</v>
      </c>
      <c r="N392" s="3" t="s">
        <v>3083</v>
      </c>
      <c r="O392" s="3">
        <v>0.0</v>
      </c>
    </row>
    <row r="393" ht="15.75" customHeight="1">
      <c r="A393" s="3" t="s">
        <v>3084</v>
      </c>
      <c r="B393" s="3" t="s">
        <v>3085</v>
      </c>
      <c r="C393" s="3" t="s">
        <v>3086</v>
      </c>
      <c r="D393" s="3" t="s">
        <v>3087</v>
      </c>
      <c r="E393" s="3" t="str">
        <f>IFERROR(__xludf.DUMMYFUNCTION("GOOGLETRANSLATE($D393,""EN"",""RU"")")," Персик")</f>
        <v> Персик</v>
      </c>
      <c r="F393" s="3" t="s">
        <v>1510</v>
      </c>
      <c r="G393" s="3" t="s">
        <v>295</v>
      </c>
      <c r="H393" s="3" t="s">
        <v>174</v>
      </c>
      <c r="I393" s="3" t="s">
        <v>15</v>
      </c>
      <c r="J393" s="3" t="s">
        <v>114</v>
      </c>
      <c r="K393" s="3" t="s">
        <v>2553</v>
      </c>
      <c r="L393" s="3" t="s">
        <v>3088</v>
      </c>
      <c r="M393" s="3" t="s">
        <v>1724</v>
      </c>
      <c r="N393" s="3" t="s">
        <v>3089</v>
      </c>
      <c r="O393" s="3">
        <v>0.0</v>
      </c>
    </row>
    <row r="394" ht="15.75" customHeight="1">
      <c r="A394" s="3" t="s">
        <v>3090</v>
      </c>
      <c r="B394" s="3" t="s">
        <v>3091</v>
      </c>
      <c r="C394" s="3" t="s">
        <v>3092</v>
      </c>
      <c r="D394" s="3" t="s">
        <v>3093</v>
      </c>
      <c r="E394" s="3" t="str">
        <f>IFERROR(__xludf.DUMMYFUNCTION("GOOGLETRANSLATE($D394,""EN"",""RU"")")," Млечный Путь")</f>
        <v> Млечный Путь</v>
      </c>
      <c r="F394" s="3" t="s">
        <v>81</v>
      </c>
      <c r="G394" s="3" t="s">
        <v>295</v>
      </c>
      <c r="H394" s="3" t="s">
        <v>41</v>
      </c>
      <c r="I394" s="3" t="s">
        <v>126</v>
      </c>
      <c r="J394" s="3" t="s">
        <v>138</v>
      </c>
      <c r="K394" s="3" t="s">
        <v>2386</v>
      </c>
      <c r="L394" s="3" t="s">
        <v>2371</v>
      </c>
      <c r="M394" s="3" t="s">
        <v>3094</v>
      </c>
      <c r="N394" s="3" t="s">
        <v>2366</v>
      </c>
      <c r="O394" s="3">
        <v>2.0</v>
      </c>
    </row>
    <row r="395" ht="15.75" customHeight="1">
      <c r="A395" s="3" t="s">
        <v>1159</v>
      </c>
      <c r="B395" s="3" t="s">
        <v>3095</v>
      </c>
      <c r="C395" s="3" t="s">
        <v>3096</v>
      </c>
      <c r="D395" s="3" t="s">
        <v>3097</v>
      </c>
      <c r="E395" s="3" t="str">
        <f>IFERROR(__xludf.DUMMYFUNCTION("GOOGLETRANSLATE($D395,""EN"",""RU"")")," Орел")</f>
        <v> Орел</v>
      </c>
      <c r="F395" s="3" t="s">
        <v>81</v>
      </c>
      <c r="G395" s="3" t="s">
        <v>295</v>
      </c>
      <c r="H395" s="3" t="s">
        <v>53</v>
      </c>
      <c r="I395" s="3" t="s">
        <v>65</v>
      </c>
      <c r="J395" s="3" t="s">
        <v>187</v>
      </c>
      <c r="K395" s="3" t="s">
        <v>2365</v>
      </c>
      <c r="L395" s="3" t="s">
        <v>2372</v>
      </c>
      <c r="M395" s="3" t="s">
        <v>3098</v>
      </c>
      <c r="N395" s="3" t="s">
        <v>2371</v>
      </c>
      <c r="O395" s="3">
        <v>2.0</v>
      </c>
    </row>
    <row r="396" ht="15.75" customHeight="1">
      <c r="A396" s="3" t="s">
        <v>218</v>
      </c>
      <c r="B396" s="3" t="s">
        <v>3099</v>
      </c>
      <c r="C396" s="3" t="s">
        <v>3100</v>
      </c>
      <c r="D396" s="3" t="s">
        <v>3101</v>
      </c>
      <c r="E396" s="3" t="str">
        <f>IFERROR(__xludf.DUMMYFUNCTION("GOOGLETRANSLATE($D396,""EN"",""RU"")")," Виноград")</f>
        <v> Виноград</v>
      </c>
      <c r="F396" s="3" t="s">
        <v>1510</v>
      </c>
      <c r="G396" s="3" t="s">
        <v>295</v>
      </c>
      <c r="H396" s="3" t="s">
        <v>53</v>
      </c>
      <c r="I396" s="3" t="s">
        <v>65</v>
      </c>
      <c r="J396" s="3" t="s">
        <v>187</v>
      </c>
      <c r="K396" s="3" t="s">
        <v>2365</v>
      </c>
      <c r="L396" s="3" t="s">
        <v>2372</v>
      </c>
      <c r="M396" s="3" t="s">
        <v>3098</v>
      </c>
      <c r="N396" s="3" t="s">
        <v>2371</v>
      </c>
      <c r="O396" s="3">
        <v>2.0</v>
      </c>
    </row>
    <row r="397" ht="15.75" customHeight="1">
      <c r="A397" s="3" t="s">
        <v>3102</v>
      </c>
      <c r="B397" s="3" t="s">
        <v>3103</v>
      </c>
      <c r="C397" s="3" t="s">
        <v>3104</v>
      </c>
      <c r="D397" s="3" t="s">
        <v>3105</v>
      </c>
      <c r="E397" s="3" t="str">
        <f>IFERROR(__xludf.DUMMYFUNCTION("GOOGLETRANSLATE($D397,""EN"",""RU"")")," Картофель фри")</f>
        <v> Картофель фри</v>
      </c>
      <c r="F397" s="3" t="s">
        <v>1510</v>
      </c>
      <c r="G397" s="3" t="s">
        <v>295</v>
      </c>
      <c r="H397" s="3" t="s">
        <v>65</v>
      </c>
      <c r="I397" s="3" t="s">
        <v>211</v>
      </c>
      <c r="J397" s="3" t="s">
        <v>28</v>
      </c>
      <c r="K397" s="3" t="s">
        <v>2372</v>
      </c>
      <c r="L397" s="3" t="s">
        <v>1450</v>
      </c>
      <c r="M397" s="3" t="s">
        <v>2247</v>
      </c>
      <c r="N397" s="3" t="s">
        <v>3106</v>
      </c>
      <c r="O397" s="3">
        <v>0.0</v>
      </c>
    </row>
    <row r="398" ht="15.75" customHeight="1">
      <c r="A398" s="3" t="s">
        <v>3107</v>
      </c>
      <c r="B398" s="3" t="s">
        <v>3108</v>
      </c>
      <c r="C398" s="3" t="s">
        <v>3109</v>
      </c>
      <c r="D398" s="3" t="s">
        <v>3110</v>
      </c>
      <c r="E398" s="3" t="str">
        <f>IFERROR(__xludf.DUMMYFUNCTION("GOOGLETRANSLATE($D398,""EN"",""RU"")")," Сирия")</f>
        <v> Сирия</v>
      </c>
      <c r="F398" s="3" t="s">
        <v>559</v>
      </c>
      <c r="G398" s="3" t="s">
        <v>295</v>
      </c>
      <c r="H398" s="3" t="s">
        <v>102</v>
      </c>
      <c r="I398" s="3" t="s">
        <v>77</v>
      </c>
      <c r="J398" s="3" t="s">
        <v>126</v>
      </c>
      <c r="K398" s="3" t="s">
        <v>2378</v>
      </c>
      <c r="L398" s="3" t="s">
        <v>3111</v>
      </c>
      <c r="M398" s="3" t="s">
        <v>2371</v>
      </c>
      <c r="N398" s="3" t="s">
        <v>3088</v>
      </c>
      <c r="O398" s="3">
        <v>2.0</v>
      </c>
    </row>
    <row r="399" ht="15.75" customHeight="1">
      <c r="A399" s="3" t="s">
        <v>3112</v>
      </c>
      <c r="B399" s="3" t="s">
        <v>3113</v>
      </c>
      <c r="C399" s="3" t="s">
        <v>3114</v>
      </c>
      <c r="D399" s="3" t="s">
        <v>3115</v>
      </c>
      <c r="E399" s="3" t="str">
        <f>IFERROR(__xludf.DUMMYFUNCTION("GOOGLETRANSLATE($D399,""EN"",""RU"")")," Автомобиль")</f>
        <v> Автомобиль</v>
      </c>
      <c r="F399" s="3" t="s">
        <v>358</v>
      </c>
      <c r="G399" s="3" t="s">
        <v>295</v>
      </c>
      <c r="H399" s="3" t="s">
        <v>126</v>
      </c>
      <c r="I399" s="3" t="s">
        <v>53</v>
      </c>
      <c r="J399" s="3" t="s">
        <v>126</v>
      </c>
      <c r="K399" s="3" t="s">
        <v>2371</v>
      </c>
      <c r="L399" s="3" t="s">
        <v>2365</v>
      </c>
      <c r="M399" s="3" t="s">
        <v>2371</v>
      </c>
      <c r="N399" s="3" t="s">
        <v>1425</v>
      </c>
      <c r="O399" s="3">
        <v>1.0</v>
      </c>
    </row>
    <row r="400" ht="15.75" customHeight="1">
      <c r="A400" s="3" t="s">
        <v>865</v>
      </c>
      <c r="B400" s="3" t="s">
        <v>3116</v>
      </c>
      <c r="C400" s="3" t="s">
        <v>3117</v>
      </c>
      <c r="D400" s="3" t="s">
        <v>3118</v>
      </c>
      <c r="E400" s="3" t="str">
        <f>IFERROR(__xludf.DUMMYFUNCTION("GOOGLETRANSLATE($D400,""EN"",""RU"")")," Гитара")</f>
        <v> Гитара</v>
      </c>
      <c r="F400" s="3" t="s">
        <v>358</v>
      </c>
      <c r="G400" s="3" t="s">
        <v>283</v>
      </c>
      <c r="H400" s="3" t="s">
        <v>15</v>
      </c>
      <c r="I400" s="3" t="s">
        <v>90</v>
      </c>
      <c r="J400" s="3" t="s">
        <v>187</v>
      </c>
      <c r="K400" s="3" t="s">
        <v>3119</v>
      </c>
      <c r="L400" s="3" t="s">
        <v>1744</v>
      </c>
      <c r="M400" s="3" t="s">
        <v>3120</v>
      </c>
      <c r="N400" s="3" t="s">
        <v>3121</v>
      </c>
      <c r="O400" s="3">
        <v>2.0</v>
      </c>
    </row>
    <row r="401" ht="15.75" customHeight="1">
      <c r="A401" s="3" t="s">
        <v>1141</v>
      </c>
      <c r="B401" s="3" t="s">
        <v>3122</v>
      </c>
      <c r="C401" s="3" t="s">
        <v>3123</v>
      </c>
      <c r="D401" s="3" t="s">
        <v>3124</v>
      </c>
      <c r="E401" s="3" t="str">
        <f>IFERROR(__xludf.DUMMYFUNCTION("GOOGLETRANSLATE($D401,""EN"",""RU"")")," Девочка")</f>
        <v> Девочка</v>
      </c>
      <c r="F401" s="3" t="s">
        <v>19</v>
      </c>
      <c r="G401" s="3" t="s">
        <v>283</v>
      </c>
      <c r="H401" s="3" t="s">
        <v>77</v>
      </c>
      <c r="I401" s="3" t="s">
        <v>77</v>
      </c>
      <c r="J401" s="3" t="s">
        <v>138</v>
      </c>
      <c r="K401" s="3" t="s">
        <v>3125</v>
      </c>
      <c r="L401" s="3" t="s">
        <v>3125</v>
      </c>
      <c r="M401" s="3" t="s">
        <v>3126</v>
      </c>
      <c r="N401" s="3" t="s">
        <v>3127</v>
      </c>
      <c r="O401" s="3">
        <v>2.0</v>
      </c>
    </row>
    <row r="402" ht="15.75" customHeight="1">
      <c r="A402" s="3" t="s">
        <v>3128</v>
      </c>
      <c r="B402" s="3" t="s">
        <v>3129</v>
      </c>
      <c r="C402" s="3" t="s">
        <v>3130</v>
      </c>
      <c r="D402" s="3" t="s">
        <v>3131</v>
      </c>
      <c r="E402" s="3" t="str">
        <f>IFERROR(__xludf.DUMMYFUNCTION("GOOGLETRANSLATE($D402,""EN"",""RU"")")," «Песочные часы» не закончены")</f>
        <v> «Песочные часы» не закончены</v>
      </c>
      <c r="F402" s="3" t="s">
        <v>358</v>
      </c>
      <c r="G402" s="3" t="s">
        <v>283</v>
      </c>
      <c r="H402" s="3" t="s">
        <v>53</v>
      </c>
      <c r="I402" s="3" t="s">
        <v>162</v>
      </c>
      <c r="J402" s="3" t="s">
        <v>77</v>
      </c>
      <c r="K402" s="3" t="s">
        <v>3132</v>
      </c>
      <c r="L402" s="3" t="s">
        <v>2408</v>
      </c>
      <c r="M402" s="3" t="s">
        <v>3125</v>
      </c>
      <c r="N402" s="3" t="s">
        <v>3133</v>
      </c>
      <c r="O402" s="3">
        <v>2.0</v>
      </c>
    </row>
    <row r="403" ht="15.75" customHeight="1">
      <c r="A403" s="3" t="s">
        <v>3134</v>
      </c>
      <c r="B403" s="3" t="s">
        <v>3135</v>
      </c>
      <c r="C403" s="3" t="s">
        <v>3136</v>
      </c>
      <c r="D403" s="3" t="s">
        <v>3137</v>
      </c>
      <c r="E403" s="3" t="str">
        <f>IFERROR(__xludf.DUMMYFUNCTION("GOOGLETRANSLATE($D403,""EN"",""RU"")")," Лиственное дерево")</f>
        <v> Лиственное дерево</v>
      </c>
      <c r="F403" s="3" t="s">
        <v>81</v>
      </c>
      <c r="G403" s="3" t="s">
        <v>283</v>
      </c>
      <c r="H403" s="3" t="s">
        <v>28</v>
      </c>
      <c r="I403" s="3" t="s">
        <v>77</v>
      </c>
      <c r="J403" s="3" t="s">
        <v>187</v>
      </c>
      <c r="K403" s="3" t="s">
        <v>1548</v>
      </c>
      <c r="L403" s="3" t="s">
        <v>3125</v>
      </c>
      <c r="M403" s="3" t="s">
        <v>3120</v>
      </c>
      <c r="N403" s="3" t="s">
        <v>1675</v>
      </c>
      <c r="O403" s="3">
        <v>2.0</v>
      </c>
    </row>
    <row r="404" ht="15.75" customHeight="1">
      <c r="A404" s="3" t="s">
        <v>1131</v>
      </c>
      <c r="B404" s="3" t="s">
        <v>3138</v>
      </c>
      <c r="C404" s="3" t="s">
        <v>3139</v>
      </c>
      <c r="D404" s="3" t="s">
        <v>3140</v>
      </c>
      <c r="E404" s="3" t="str">
        <f>IFERROR(__xludf.DUMMYFUNCTION("GOOGLETRANSLATE($D404,""EN"",""RU"")")," Гистограмма")</f>
        <v> Гистограмма</v>
      </c>
      <c r="F404" s="3" t="s">
        <v>358</v>
      </c>
      <c r="G404" s="3" t="s">
        <v>283</v>
      </c>
      <c r="H404" s="3" t="s">
        <v>15</v>
      </c>
      <c r="I404" s="3" t="s">
        <v>259</v>
      </c>
      <c r="J404" s="3" t="s">
        <v>15</v>
      </c>
      <c r="K404" s="3" t="s">
        <v>3119</v>
      </c>
      <c r="L404" s="3" t="s">
        <v>3141</v>
      </c>
      <c r="M404" s="3" t="s">
        <v>3119</v>
      </c>
      <c r="N404" s="3" t="s">
        <v>1425</v>
      </c>
      <c r="O404" s="3">
        <v>1.0</v>
      </c>
    </row>
    <row r="405" ht="15.75" customHeight="1">
      <c r="A405" s="3" t="s">
        <v>3142</v>
      </c>
      <c r="B405" s="3" t="s">
        <v>3143</v>
      </c>
      <c r="C405" s="3" t="s">
        <v>3144</v>
      </c>
      <c r="D405" s="3" t="s">
        <v>3145</v>
      </c>
      <c r="E405" s="3" t="str">
        <f>IFERROR(__xludf.DUMMYFUNCTION("GOOGLETRANSLATE($D405,""EN"",""RU"")")," Собака")</f>
        <v> Собака</v>
      </c>
      <c r="F405" s="3" t="s">
        <v>81</v>
      </c>
      <c r="G405" s="3" t="s">
        <v>283</v>
      </c>
      <c r="H405" s="3" t="s">
        <v>271</v>
      </c>
      <c r="I405" s="3" t="s">
        <v>15</v>
      </c>
      <c r="J405" s="3" t="s">
        <v>2226</v>
      </c>
      <c r="K405" s="3" t="s">
        <v>3146</v>
      </c>
      <c r="L405" s="3" t="s">
        <v>3119</v>
      </c>
      <c r="M405" s="3" t="s">
        <v>1440</v>
      </c>
      <c r="N405" s="3" t="s">
        <v>3147</v>
      </c>
      <c r="O405" s="3">
        <v>0.0</v>
      </c>
    </row>
    <row r="406" ht="15.75" customHeight="1">
      <c r="A406" s="3" t="s">
        <v>3148</v>
      </c>
      <c r="B406" s="3" t="s">
        <v>3149</v>
      </c>
      <c r="C406" s="3" t="s">
        <v>3150</v>
      </c>
      <c r="D406" s="3" t="s">
        <v>3151</v>
      </c>
      <c r="E406" s="3" t="str">
        <f>IFERROR(__xludf.DUMMYFUNCTION("GOOGLETRANSLATE($D406,""EN"",""RU"")")," Пчела")</f>
        <v> Пчела</v>
      </c>
      <c r="F406" s="3" t="s">
        <v>81</v>
      </c>
      <c r="G406" s="3" t="s">
        <v>271</v>
      </c>
      <c r="H406" s="3" t="s">
        <v>15</v>
      </c>
      <c r="I406" s="3" t="s">
        <v>187</v>
      </c>
      <c r="J406" s="3" t="s">
        <v>77</v>
      </c>
      <c r="K406" s="3" t="s">
        <v>3152</v>
      </c>
      <c r="L406" s="3" t="s">
        <v>3153</v>
      </c>
      <c r="M406" s="3" t="s">
        <v>2107</v>
      </c>
      <c r="N406" s="3" t="s">
        <v>940</v>
      </c>
      <c r="O406" s="3">
        <v>2.0</v>
      </c>
    </row>
    <row r="407" ht="15.75" customHeight="1">
      <c r="A407" s="3" t="s">
        <v>324</v>
      </c>
      <c r="B407" s="3" t="s">
        <v>3154</v>
      </c>
      <c r="C407" s="3" t="s">
        <v>3155</v>
      </c>
      <c r="D407" s="3" t="s">
        <v>3156</v>
      </c>
      <c r="E407" s="3" t="str">
        <f>IFERROR(__xludf.DUMMYFUNCTION("GOOGLETRANSLATE($D407,""EN"",""RU"")")," Лошадь")</f>
        <v> Лошадь</v>
      </c>
      <c r="F407" s="3" t="s">
        <v>81</v>
      </c>
      <c r="G407" s="3" t="s">
        <v>271</v>
      </c>
      <c r="H407" s="3" t="s">
        <v>28</v>
      </c>
      <c r="I407" s="3" t="s">
        <v>90</v>
      </c>
      <c r="J407" s="3" t="s">
        <v>162</v>
      </c>
      <c r="K407" s="3" t="s">
        <v>3157</v>
      </c>
      <c r="L407" s="3" t="s">
        <v>3158</v>
      </c>
      <c r="M407" s="3" t="s">
        <v>3159</v>
      </c>
      <c r="N407" s="3" t="s">
        <v>3160</v>
      </c>
      <c r="O407" s="3">
        <v>2.0</v>
      </c>
    </row>
    <row r="408" ht="15.75" customHeight="1">
      <c r="A408" s="3" t="s">
        <v>537</v>
      </c>
      <c r="B408" s="3" t="s">
        <v>3161</v>
      </c>
      <c r="C408" s="3" t="s">
        <v>3162</v>
      </c>
      <c r="D408" s="3" t="s">
        <v>3163</v>
      </c>
      <c r="E408" s="3" t="str">
        <f>IFERROR(__xludf.DUMMYFUNCTION("GOOGLETRANSLATE($D408,""EN"",""RU"")")," Львиное Лицо")</f>
        <v> Львиное Лицо</v>
      </c>
      <c r="F408" s="3" t="s">
        <v>81</v>
      </c>
      <c r="G408" s="3" t="s">
        <v>271</v>
      </c>
      <c r="H408" s="3" t="s">
        <v>15</v>
      </c>
      <c r="I408" s="3" t="s">
        <v>174</v>
      </c>
      <c r="J408" s="3" t="s">
        <v>90</v>
      </c>
      <c r="K408" s="3" t="s">
        <v>3152</v>
      </c>
      <c r="L408" s="3" t="s">
        <v>786</v>
      </c>
      <c r="M408" s="3" t="s">
        <v>3158</v>
      </c>
      <c r="N408" s="3" t="s">
        <v>2441</v>
      </c>
      <c r="O408" s="3">
        <v>2.0</v>
      </c>
    </row>
    <row r="409" ht="15.75" customHeight="1">
      <c r="A409" s="3" t="s">
        <v>1113</v>
      </c>
      <c r="B409" s="3" t="s">
        <v>3164</v>
      </c>
      <c r="C409" s="3" t="s">
        <v>3165</v>
      </c>
      <c r="D409" s="3" t="s">
        <v>3166</v>
      </c>
      <c r="E409" s="3" t="str">
        <f>IFERROR(__xludf.DUMMYFUNCTION("GOOGLETRANSLATE($D409,""EN"",""RU"")")," Дом с садом")</f>
        <v> Дом с садом</v>
      </c>
      <c r="F409" s="3" t="s">
        <v>2127</v>
      </c>
      <c r="G409" s="3" t="s">
        <v>271</v>
      </c>
      <c r="H409" s="3" t="s">
        <v>90</v>
      </c>
      <c r="I409" s="3" t="s">
        <v>126</v>
      </c>
      <c r="J409" s="3" t="s">
        <v>65</v>
      </c>
      <c r="K409" s="3" t="s">
        <v>3158</v>
      </c>
      <c r="L409" s="3" t="s">
        <v>3167</v>
      </c>
      <c r="M409" s="3" t="s">
        <v>2441</v>
      </c>
      <c r="N409" s="3" t="s">
        <v>3168</v>
      </c>
      <c r="O409" s="3">
        <v>0.0</v>
      </c>
    </row>
    <row r="410" ht="15.75" customHeight="1">
      <c r="A410" s="3" t="s">
        <v>3169</v>
      </c>
      <c r="B410" s="3" t="s">
        <v>3170</v>
      </c>
      <c r="C410" s="3" t="s">
        <v>3171</v>
      </c>
      <c r="D410" s="3" t="s">
        <v>3172</v>
      </c>
      <c r="E410" s="3" t="str">
        <f>IFERROR(__xludf.DUMMYFUNCTION("GOOGLETRANSLATE($D410,""EN"",""RU"")")," Россия")</f>
        <v> Россия</v>
      </c>
      <c r="F410" s="3" t="s">
        <v>559</v>
      </c>
      <c r="G410" s="3" t="s">
        <v>271</v>
      </c>
      <c r="H410" s="3" t="s">
        <v>2226</v>
      </c>
      <c r="I410" s="3" t="s">
        <v>187</v>
      </c>
      <c r="J410" s="3" t="s">
        <v>90</v>
      </c>
      <c r="K410" s="3" t="s">
        <v>2100</v>
      </c>
      <c r="L410" s="3" t="s">
        <v>3153</v>
      </c>
      <c r="M410" s="3" t="s">
        <v>3158</v>
      </c>
      <c r="N410" s="3" t="s">
        <v>2107</v>
      </c>
      <c r="O410" s="3">
        <v>2.0</v>
      </c>
    </row>
    <row r="411" ht="15.75" customHeight="1">
      <c r="A411" s="3" t="s">
        <v>3173</v>
      </c>
      <c r="B411" s="3" t="s">
        <v>3174</v>
      </c>
      <c r="C411" s="3" t="s">
        <v>3175</v>
      </c>
      <c r="D411" s="3" t="s">
        <v>3176</v>
      </c>
      <c r="E411" s="3" t="str">
        <f>IFERROR(__xludf.DUMMYFUNCTION("GOOGLETRANSLATE($D411,""EN"",""RU"")")," Клетчатый флаг")</f>
        <v> Клетчатый флаг</v>
      </c>
      <c r="F411" s="3" t="s">
        <v>559</v>
      </c>
      <c r="G411" s="3" t="s">
        <v>271</v>
      </c>
      <c r="H411" s="3" t="s">
        <v>15</v>
      </c>
      <c r="I411" s="3" t="s">
        <v>187</v>
      </c>
      <c r="J411" s="3" t="s">
        <v>77</v>
      </c>
      <c r="K411" s="3" t="s">
        <v>3152</v>
      </c>
      <c r="L411" s="3" t="s">
        <v>3153</v>
      </c>
      <c r="M411" s="3" t="s">
        <v>2107</v>
      </c>
      <c r="N411" s="3" t="s">
        <v>940</v>
      </c>
      <c r="O411" s="3">
        <v>2.0</v>
      </c>
    </row>
    <row r="412" ht="15.75" customHeight="1">
      <c r="A412" s="3" t="s">
        <v>1104</v>
      </c>
      <c r="B412" s="3" t="s">
        <v>3177</v>
      </c>
      <c r="C412" s="3" t="s">
        <v>3178</v>
      </c>
      <c r="D412" s="3" t="s">
        <v>3179</v>
      </c>
      <c r="E412" s="3" t="str">
        <f>IFERROR(__xludf.DUMMYFUNCTION("GOOGLETRANSLATE($D412,""EN"",""RU"")")," Принцесса")</f>
        <v> Принцесса</v>
      </c>
      <c r="F412" s="3" t="s">
        <v>2649</v>
      </c>
      <c r="G412" s="3" t="s">
        <v>271</v>
      </c>
      <c r="H412" s="3" t="s">
        <v>41</v>
      </c>
      <c r="I412" s="3" t="s">
        <v>28</v>
      </c>
      <c r="J412" s="3" t="s">
        <v>211</v>
      </c>
      <c r="K412" s="3" t="s">
        <v>3180</v>
      </c>
      <c r="L412" s="3" t="s">
        <v>3157</v>
      </c>
      <c r="M412" s="3" t="s">
        <v>3181</v>
      </c>
      <c r="N412" s="3" t="s">
        <v>3182</v>
      </c>
      <c r="O412" s="3">
        <v>2.0</v>
      </c>
    </row>
    <row r="413" ht="15.75" customHeight="1">
      <c r="A413" s="3" t="s">
        <v>3183</v>
      </c>
      <c r="B413" s="3" t="s">
        <v>3184</v>
      </c>
      <c r="C413" s="3" t="s">
        <v>3185</v>
      </c>
      <c r="D413" s="3" t="s">
        <v>3186</v>
      </c>
      <c r="E413" s="3" t="str">
        <f>IFERROR(__xludf.DUMMYFUNCTION("GOOGLETRANSLATE($D413,""EN"",""RU"")")," Человек жестикулирует нет")</f>
        <v> Человек жестикулирует нет</v>
      </c>
      <c r="F413" s="3" t="s">
        <v>178</v>
      </c>
      <c r="G413" s="3" t="s">
        <v>271</v>
      </c>
      <c r="H413" s="3" t="s">
        <v>174</v>
      </c>
      <c r="I413" s="3" t="s">
        <v>28</v>
      </c>
      <c r="J413" s="3" t="s">
        <v>77</v>
      </c>
      <c r="K413" s="3" t="s">
        <v>786</v>
      </c>
      <c r="L413" s="3" t="s">
        <v>3157</v>
      </c>
      <c r="M413" s="3" t="s">
        <v>2107</v>
      </c>
      <c r="N413" s="3" t="s">
        <v>3187</v>
      </c>
      <c r="O413" s="3">
        <v>0.0</v>
      </c>
    </row>
    <row r="414" ht="15.75" customHeight="1">
      <c r="A414" s="3" t="s">
        <v>1095</v>
      </c>
      <c r="B414" s="3" t="s">
        <v>3188</v>
      </c>
      <c r="C414" s="3" t="s">
        <v>3189</v>
      </c>
      <c r="D414" s="3" t="s">
        <v>3190</v>
      </c>
      <c r="E414" s="3" t="str">
        <f>IFERROR(__xludf.DUMMYFUNCTION("GOOGLETRANSLATE($D414,""EN"",""RU"")")," Символ регионального индикатора, буква G")</f>
        <v> Символ регионального индикатора, буква G</v>
      </c>
      <c r="F414" s="3" t="s">
        <v>637</v>
      </c>
      <c r="G414" s="3" t="s">
        <v>271</v>
      </c>
      <c r="H414" s="3" t="s">
        <v>41</v>
      </c>
      <c r="I414" s="3" t="s">
        <v>150</v>
      </c>
      <c r="J414" s="3" t="s">
        <v>90</v>
      </c>
      <c r="K414" s="3" t="s">
        <v>3180</v>
      </c>
      <c r="L414" s="3" t="s">
        <v>3191</v>
      </c>
      <c r="M414" s="3" t="s">
        <v>3158</v>
      </c>
      <c r="N414" s="3" t="s">
        <v>3180</v>
      </c>
      <c r="O414" s="3">
        <v>2.0</v>
      </c>
    </row>
    <row r="415" ht="15.75" customHeight="1">
      <c r="A415" s="3" t="s">
        <v>433</v>
      </c>
      <c r="B415" s="3" t="s">
        <v>3192</v>
      </c>
      <c r="C415" s="3" t="s">
        <v>3193</v>
      </c>
      <c r="D415" s="3" t="s">
        <v>3194</v>
      </c>
      <c r="E415" s="3" t="str">
        <f>IFERROR(__xludf.DUMMYFUNCTION("GOOGLETRANSLATE($D415,""EN"",""RU"")")," Отпечатки лап")</f>
        <v> Отпечатки лап</v>
      </c>
      <c r="F415" s="3" t="s">
        <v>81</v>
      </c>
      <c r="G415" s="3" t="s">
        <v>271</v>
      </c>
      <c r="H415" s="3" t="s">
        <v>41</v>
      </c>
      <c r="I415" s="3" t="s">
        <v>162</v>
      </c>
      <c r="J415" s="3" t="s">
        <v>77</v>
      </c>
      <c r="K415" s="3" t="s">
        <v>3180</v>
      </c>
      <c r="L415" s="3" t="s">
        <v>3159</v>
      </c>
      <c r="M415" s="3" t="s">
        <v>2107</v>
      </c>
      <c r="N415" s="3" t="s">
        <v>3195</v>
      </c>
      <c r="O415" s="3">
        <v>2.0</v>
      </c>
    </row>
    <row r="416" ht="15.75" customHeight="1">
      <c r="A416" s="3" t="s">
        <v>1085</v>
      </c>
      <c r="B416" s="3" t="s">
        <v>3196</v>
      </c>
      <c r="C416" s="3" t="s">
        <v>3197</v>
      </c>
      <c r="D416" s="3" t="s">
        <v>3198</v>
      </c>
      <c r="E416" s="3" t="str">
        <f>IFERROR(__xludf.DUMMYFUNCTION("GOOGLETRANSLATE($D416,""EN"",""RU"")")," Шприц")</f>
        <v> Шприц</v>
      </c>
      <c r="F416" s="3" t="s">
        <v>358</v>
      </c>
      <c r="G416" s="3" t="s">
        <v>271</v>
      </c>
      <c r="H416" s="3" t="s">
        <v>126</v>
      </c>
      <c r="I416" s="3" t="s">
        <v>102</v>
      </c>
      <c r="J416" s="3" t="s">
        <v>53</v>
      </c>
      <c r="K416" s="3" t="s">
        <v>3167</v>
      </c>
      <c r="L416" s="3" t="s">
        <v>3199</v>
      </c>
      <c r="M416" s="3" t="s">
        <v>940</v>
      </c>
      <c r="N416" s="3" t="s">
        <v>3200</v>
      </c>
      <c r="O416" s="3">
        <v>0.0</v>
      </c>
    </row>
    <row r="417" ht="15.75" customHeight="1">
      <c r="A417" s="3" t="s">
        <v>1075</v>
      </c>
      <c r="B417" s="3" t="s">
        <v>3201</v>
      </c>
      <c r="C417" s="3" t="s">
        <v>3202</v>
      </c>
      <c r="D417" s="3" t="s">
        <v>3203</v>
      </c>
      <c r="E417" s="3" t="str">
        <f>IFERROR(__xludf.DUMMYFUNCTION("GOOGLETRANSLATE($D417,""EN"",""RU"")")," Дом")</f>
        <v> Дом</v>
      </c>
      <c r="F417" s="3" t="s">
        <v>2127</v>
      </c>
      <c r="G417" s="3" t="s">
        <v>259</v>
      </c>
      <c r="H417" s="3" t="s">
        <v>77</v>
      </c>
      <c r="I417" s="3" t="s">
        <v>126</v>
      </c>
      <c r="J417" s="3" t="s">
        <v>65</v>
      </c>
      <c r="K417" s="3" t="s">
        <v>3204</v>
      </c>
      <c r="L417" s="3" t="s">
        <v>3205</v>
      </c>
      <c r="M417" s="3" t="s">
        <v>1798</v>
      </c>
      <c r="N417" s="3" t="s">
        <v>3206</v>
      </c>
      <c r="O417" s="3">
        <v>1.0</v>
      </c>
    </row>
    <row r="418" ht="15.75" customHeight="1">
      <c r="A418" s="3" t="s">
        <v>3207</v>
      </c>
      <c r="B418" s="3" t="s">
        <v>3208</v>
      </c>
      <c r="C418" s="3" t="s">
        <v>3209</v>
      </c>
      <c r="D418" s="3" t="s">
        <v>3210</v>
      </c>
      <c r="E418" s="3" t="str">
        <f>IFERROR(__xludf.DUMMYFUNCTION("GOOGLETRANSLATE($D418,""EN"",""RU"")")," Бритый лед")</f>
        <v> Бритый лед</v>
      </c>
      <c r="F418" s="3" t="s">
        <v>1510</v>
      </c>
      <c r="G418" s="3" t="s">
        <v>259</v>
      </c>
      <c r="H418" s="3" t="s">
        <v>28</v>
      </c>
      <c r="I418" s="3" t="s">
        <v>150</v>
      </c>
      <c r="J418" s="3" t="s">
        <v>90</v>
      </c>
      <c r="K418" s="3" t="s">
        <v>2463</v>
      </c>
      <c r="L418" s="3" t="s">
        <v>3211</v>
      </c>
      <c r="M418" s="3" t="s">
        <v>2378</v>
      </c>
      <c r="N418" s="3" t="s">
        <v>3212</v>
      </c>
      <c r="O418" s="3">
        <v>2.0</v>
      </c>
    </row>
    <row r="419" ht="15.75" customHeight="1">
      <c r="A419" s="3" t="s">
        <v>3213</v>
      </c>
      <c r="B419" s="3" t="s">
        <v>3214</v>
      </c>
      <c r="C419" s="3" t="s">
        <v>3215</v>
      </c>
      <c r="D419" s="3" t="s">
        <v>3216</v>
      </c>
      <c r="E419" s="3" t="str">
        <f>IFERROR(__xludf.DUMMYFUNCTION("GOOGLETRANSLATE($D419,""EN"",""RU"")")," Три часа")</f>
        <v> Три часа</v>
      </c>
      <c r="F419" s="3" t="s">
        <v>358</v>
      </c>
      <c r="G419" s="3" t="s">
        <v>259</v>
      </c>
      <c r="H419" s="3" t="s">
        <v>2226</v>
      </c>
      <c r="I419" s="3" t="s">
        <v>247</v>
      </c>
      <c r="J419" s="3" t="s">
        <v>15</v>
      </c>
      <c r="K419" s="3" t="s">
        <v>3217</v>
      </c>
      <c r="L419" s="3" t="s">
        <v>3218</v>
      </c>
      <c r="M419" s="3" t="s">
        <v>2454</v>
      </c>
      <c r="N419" s="3" t="s">
        <v>3217</v>
      </c>
      <c r="O419" s="3">
        <v>1.0</v>
      </c>
    </row>
    <row r="420" ht="15.75" customHeight="1">
      <c r="A420" s="3" t="s">
        <v>3219</v>
      </c>
      <c r="B420" s="3" t="s">
        <v>3220</v>
      </c>
      <c r="C420" s="3" t="s">
        <v>3221</v>
      </c>
      <c r="D420" s="3" t="s">
        <v>3222</v>
      </c>
      <c r="E420" s="3" t="str">
        <f>IFERROR(__xludf.DUMMYFUNCTION("GOOGLETRANSLATE($D420,""EN"",""RU"")")," Спутниковая антенна")</f>
        <v> Спутниковая антенна</v>
      </c>
      <c r="F420" s="3" t="s">
        <v>358</v>
      </c>
      <c r="G420" s="3" t="s">
        <v>259</v>
      </c>
      <c r="H420" s="3" t="s">
        <v>15</v>
      </c>
      <c r="I420" s="3" t="s">
        <v>223</v>
      </c>
      <c r="J420" s="3" t="s">
        <v>28</v>
      </c>
      <c r="K420" s="3" t="s">
        <v>2454</v>
      </c>
      <c r="L420" s="3" t="s">
        <v>3223</v>
      </c>
      <c r="M420" s="3" t="s">
        <v>2463</v>
      </c>
      <c r="N420" s="3" t="s">
        <v>3224</v>
      </c>
      <c r="O420" s="3">
        <v>1.0</v>
      </c>
    </row>
    <row r="421" ht="15.75" customHeight="1">
      <c r="A421" s="3" t="s">
        <v>3225</v>
      </c>
      <c r="B421" s="3" t="s">
        <v>3226</v>
      </c>
      <c r="C421" s="3" t="s">
        <v>3227</v>
      </c>
      <c r="D421" s="3" t="s">
        <v>3228</v>
      </c>
      <c r="E421" s="3" t="str">
        <f>IFERROR(__xludf.DUMMYFUNCTION("GOOGLETRANSLATE($D421,""EN"",""RU"")")," Полицейский автомобильный свет")</f>
        <v> Полицейский автомобильный свет</v>
      </c>
      <c r="F421" s="3" t="s">
        <v>358</v>
      </c>
      <c r="G421" s="3" t="s">
        <v>259</v>
      </c>
      <c r="H421" s="3" t="s">
        <v>41</v>
      </c>
      <c r="I421" s="3" t="s">
        <v>187</v>
      </c>
      <c r="J421" s="3" t="s">
        <v>41</v>
      </c>
      <c r="K421" s="3" t="s">
        <v>1901</v>
      </c>
      <c r="L421" s="3" t="s">
        <v>1450</v>
      </c>
      <c r="M421" s="3" t="s">
        <v>1901</v>
      </c>
      <c r="N421" s="3" t="s">
        <v>1425</v>
      </c>
      <c r="O421" s="3">
        <v>1.0</v>
      </c>
    </row>
    <row r="422" ht="15.75" customHeight="1">
      <c r="A422" s="3" t="s">
        <v>3229</v>
      </c>
      <c r="B422" s="3" t="s">
        <v>3230</v>
      </c>
      <c r="C422" s="3" t="s">
        <v>3231</v>
      </c>
      <c r="D422" s="3" t="s">
        <v>3232</v>
      </c>
      <c r="E422" s="3" t="str">
        <f>IFERROR(__xludf.DUMMYFUNCTION("GOOGLETRANSLATE($D422,""EN"",""RU"")")," Полнолуние")</f>
        <v> Полнолуние</v>
      </c>
      <c r="F422" s="3" t="s">
        <v>81</v>
      </c>
      <c r="G422" s="3" t="s">
        <v>259</v>
      </c>
      <c r="H422" s="3" t="s">
        <v>102</v>
      </c>
      <c r="I422" s="3" t="s">
        <v>77</v>
      </c>
      <c r="J422" s="3" t="s">
        <v>90</v>
      </c>
      <c r="K422" s="3" t="s">
        <v>1259</v>
      </c>
      <c r="L422" s="3" t="s">
        <v>3204</v>
      </c>
      <c r="M422" s="3" t="s">
        <v>2378</v>
      </c>
      <c r="N422" s="3" t="s">
        <v>3206</v>
      </c>
      <c r="O422" s="3">
        <v>1.0</v>
      </c>
    </row>
    <row r="423" ht="15.75" customHeight="1">
      <c r="A423" s="3" t="s">
        <v>1066</v>
      </c>
      <c r="B423" s="3" t="s">
        <v>3233</v>
      </c>
      <c r="C423" s="3" t="s">
        <v>3234</v>
      </c>
      <c r="D423" s="3" t="s">
        <v>3235</v>
      </c>
      <c r="E423" s="3" t="str">
        <f>IFERROR(__xludf.DUMMYFUNCTION("GOOGLETRANSLATE($D423,""EN"",""RU"")")," Баклажан")</f>
        <v> Баклажан</v>
      </c>
      <c r="F423" s="3" t="s">
        <v>1510</v>
      </c>
      <c r="G423" s="3" t="s">
        <v>259</v>
      </c>
      <c r="H423" s="3" t="s">
        <v>102</v>
      </c>
      <c r="I423" s="3" t="s">
        <v>77</v>
      </c>
      <c r="J423" s="3" t="s">
        <v>90</v>
      </c>
      <c r="K423" s="3" t="s">
        <v>1259</v>
      </c>
      <c r="L423" s="3" t="s">
        <v>3204</v>
      </c>
      <c r="M423" s="3" t="s">
        <v>2378</v>
      </c>
      <c r="N423" s="3" t="s">
        <v>3206</v>
      </c>
      <c r="O423" s="3">
        <v>1.0</v>
      </c>
    </row>
    <row r="424" ht="15.75" customHeight="1">
      <c r="A424" s="3" t="s">
        <v>3236</v>
      </c>
      <c r="B424" s="3" t="s">
        <v>3237</v>
      </c>
      <c r="C424" s="3" t="s">
        <v>3238</v>
      </c>
      <c r="D424" s="3" t="s">
        <v>3239</v>
      </c>
      <c r="E424" s="3" t="str">
        <f>IFERROR(__xludf.DUMMYFUNCTION("GOOGLETRANSLATE($D424,""EN"",""RU"")")," Свеча")</f>
        <v> Свеча</v>
      </c>
      <c r="F424" s="3" t="s">
        <v>358</v>
      </c>
      <c r="G424" s="3" t="s">
        <v>247</v>
      </c>
      <c r="H424" s="3" t="s">
        <v>53</v>
      </c>
      <c r="I424" s="3" t="s">
        <v>90</v>
      </c>
      <c r="J424" s="3" t="s">
        <v>114</v>
      </c>
      <c r="K424" s="3" t="s">
        <v>1834</v>
      </c>
      <c r="L424" s="3" t="s">
        <v>2215</v>
      </c>
      <c r="M424" s="3" t="s">
        <v>3240</v>
      </c>
      <c r="N424" s="3" t="s">
        <v>1834</v>
      </c>
      <c r="O424" s="3">
        <v>2.0</v>
      </c>
    </row>
    <row r="425" ht="15.75" customHeight="1">
      <c r="A425" s="3" t="s">
        <v>3241</v>
      </c>
      <c r="B425" s="3" t="s">
        <v>3242</v>
      </c>
      <c r="C425" s="3" t="s">
        <v>3243</v>
      </c>
      <c r="D425" s="3" t="s">
        <v>3244</v>
      </c>
      <c r="E425" s="3" t="str">
        <f>IFERROR(__xludf.DUMMYFUNCTION("GOOGLETRANSLATE($D425,""EN"",""RU"")")," Почтовый ящик")</f>
        <v> Почтовый ящик</v>
      </c>
      <c r="F425" s="3" t="s">
        <v>358</v>
      </c>
      <c r="G425" s="3" t="s">
        <v>247</v>
      </c>
      <c r="H425" s="3" t="s">
        <v>41</v>
      </c>
      <c r="I425" s="3" t="s">
        <v>162</v>
      </c>
      <c r="J425" s="3" t="s">
        <v>53</v>
      </c>
      <c r="K425" s="3" t="s">
        <v>2201</v>
      </c>
      <c r="L425" s="3" t="s">
        <v>2538</v>
      </c>
      <c r="M425" s="3" t="s">
        <v>1834</v>
      </c>
      <c r="N425" s="3" t="s">
        <v>3245</v>
      </c>
      <c r="O425" s="3">
        <v>1.0</v>
      </c>
    </row>
    <row r="426" ht="15.75" customHeight="1">
      <c r="A426" s="3" t="s">
        <v>3246</v>
      </c>
      <c r="B426" s="3" t="s">
        <v>3247</v>
      </c>
      <c r="C426" s="3" t="s">
        <v>3248</v>
      </c>
      <c r="D426" s="3" t="s">
        <v>3249</v>
      </c>
      <c r="E426" s="3" t="str">
        <f>IFERROR(__xludf.DUMMYFUNCTION("GOOGLETRANSLATE($D426,""EN"",""RU"")")," Прокрутка")</f>
        <v> Прокрутка</v>
      </c>
      <c r="F426" s="3" t="s">
        <v>358</v>
      </c>
      <c r="G426" s="3" t="s">
        <v>247</v>
      </c>
      <c r="H426" s="3" t="s">
        <v>53</v>
      </c>
      <c r="I426" s="3" t="s">
        <v>174</v>
      </c>
      <c r="J426" s="3" t="s">
        <v>28</v>
      </c>
      <c r="K426" s="3" t="s">
        <v>1834</v>
      </c>
      <c r="L426" s="3" t="s">
        <v>1984</v>
      </c>
      <c r="M426" s="3" t="s">
        <v>3250</v>
      </c>
      <c r="N426" s="3" t="s">
        <v>3251</v>
      </c>
      <c r="O426" s="3">
        <v>0.0</v>
      </c>
    </row>
    <row r="427" ht="15.75" customHeight="1">
      <c r="A427" s="3" t="s">
        <v>276</v>
      </c>
      <c r="B427" s="3" t="s">
        <v>3252</v>
      </c>
      <c r="C427" s="3" t="s">
        <v>3253</v>
      </c>
      <c r="D427" s="3" t="s">
        <v>3254</v>
      </c>
      <c r="E427" s="3" t="str">
        <f>IFERROR(__xludf.DUMMYFUNCTION("GOOGLETRANSLATE($D427,""EN"",""RU"")")," овца")</f>
        <v> овца</v>
      </c>
      <c r="F427" s="3" t="s">
        <v>81</v>
      </c>
      <c r="G427" s="3" t="s">
        <v>247</v>
      </c>
      <c r="H427" s="3" t="s">
        <v>174</v>
      </c>
      <c r="I427" s="3" t="s">
        <v>2226</v>
      </c>
      <c r="J427" s="3" t="s">
        <v>77</v>
      </c>
      <c r="K427" s="3" t="s">
        <v>1984</v>
      </c>
      <c r="L427" s="3" t="s">
        <v>3245</v>
      </c>
      <c r="M427" s="3" t="s">
        <v>2530</v>
      </c>
      <c r="N427" s="3" t="s">
        <v>3255</v>
      </c>
      <c r="O427" s="3">
        <v>0.0</v>
      </c>
    </row>
    <row r="428" ht="15.75" customHeight="1">
      <c r="A428" s="3" t="s">
        <v>770</v>
      </c>
      <c r="B428" s="3" t="s">
        <v>3256</v>
      </c>
      <c r="C428" s="3" t="s">
        <v>3257</v>
      </c>
      <c r="D428" s="3" t="s">
        <v>3258</v>
      </c>
      <c r="E428" s="3" t="str">
        <f>IFERROR(__xludf.DUMMYFUNCTION("GOOGLETRANSLATE($D428,""EN"",""RU"")")," Австралия")</f>
        <v> Австралия</v>
      </c>
      <c r="F428" s="3" t="s">
        <v>559</v>
      </c>
      <c r="G428" s="3" t="s">
        <v>247</v>
      </c>
      <c r="H428" s="3" t="s">
        <v>2226</v>
      </c>
      <c r="I428" s="3" t="s">
        <v>235</v>
      </c>
      <c r="J428" s="3" t="s">
        <v>15</v>
      </c>
      <c r="K428" s="3" t="s">
        <v>3245</v>
      </c>
      <c r="L428" s="3" t="s">
        <v>3259</v>
      </c>
      <c r="M428" s="3" t="s">
        <v>3260</v>
      </c>
      <c r="N428" s="3" t="s">
        <v>3245</v>
      </c>
      <c r="O428" s="3">
        <v>1.0</v>
      </c>
    </row>
    <row r="429" ht="15.75" customHeight="1">
      <c r="A429" s="3" t="s">
        <v>3261</v>
      </c>
      <c r="B429" s="3" t="s">
        <v>3262</v>
      </c>
      <c r="C429" s="3" t="s">
        <v>3263</v>
      </c>
      <c r="D429" s="3" t="s">
        <v>3264</v>
      </c>
      <c r="E429" s="3" t="str">
        <f>IFERROR(__xludf.DUMMYFUNCTION("GOOGLETRANSLATE($D429,""EN"",""RU"")")," Дыра")</f>
        <v> Дыра</v>
      </c>
      <c r="F429" s="3" t="s">
        <v>637</v>
      </c>
      <c r="G429" s="3" t="s">
        <v>247</v>
      </c>
      <c r="H429" s="3" t="s">
        <v>2226</v>
      </c>
      <c r="I429" s="3" t="s">
        <v>247</v>
      </c>
      <c r="J429" s="3" t="s">
        <v>2226</v>
      </c>
      <c r="K429" s="3" t="s">
        <v>3245</v>
      </c>
      <c r="L429" s="3" t="s">
        <v>3265</v>
      </c>
      <c r="M429" s="3" t="s">
        <v>3245</v>
      </c>
      <c r="N429" s="3" t="s">
        <v>1425</v>
      </c>
      <c r="O429" s="3">
        <v>1.0</v>
      </c>
    </row>
    <row r="430" ht="15.75" customHeight="1">
      <c r="A430" s="3" t="s">
        <v>3266</v>
      </c>
      <c r="B430" s="3" t="s">
        <v>3267</v>
      </c>
      <c r="C430" s="3" t="s">
        <v>3268</v>
      </c>
      <c r="D430" s="3" t="s">
        <v>3269</v>
      </c>
      <c r="E430" s="3" t="str">
        <f>IFERROR(__xludf.DUMMYFUNCTION("GOOGLETRANSLATE($D430,""EN"",""RU"")")," Восьмиконечная звезда")</f>
        <v> Восьмиконечная звезда</v>
      </c>
      <c r="F430" s="3" t="s">
        <v>637</v>
      </c>
      <c r="G430" s="3" t="s">
        <v>247</v>
      </c>
      <c r="H430" s="3" t="s">
        <v>53</v>
      </c>
      <c r="I430" s="3" t="s">
        <v>126</v>
      </c>
      <c r="J430" s="3" t="s">
        <v>77</v>
      </c>
      <c r="K430" s="3" t="s">
        <v>1834</v>
      </c>
      <c r="L430" s="3" t="s">
        <v>3270</v>
      </c>
      <c r="M430" s="3" t="s">
        <v>2530</v>
      </c>
      <c r="N430" s="3" t="s">
        <v>3271</v>
      </c>
      <c r="O430" s="3">
        <v>2.0</v>
      </c>
    </row>
    <row r="431" ht="15.75" customHeight="1">
      <c r="A431" s="3" t="s">
        <v>3272</v>
      </c>
      <c r="B431" s="3" t="s">
        <v>3273</v>
      </c>
      <c r="C431" s="3" t="s">
        <v>3274</v>
      </c>
      <c r="D431" s="3" t="s">
        <v>3275</v>
      </c>
      <c r="E431" s="3" t="str">
        <f>IFERROR(__xludf.DUMMYFUNCTION("GOOGLETRANSLATE($D431,""EN"",""RU"")")," Лицо лошади")</f>
        <v> Лицо лошади</v>
      </c>
      <c r="F431" s="3" t="s">
        <v>81</v>
      </c>
      <c r="G431" s="3" t="s">
        <v>235</v>
      </c>
      <c r="H431" s="3" t="s">
        <v>102</v>
      </c>
      <c r="I431" s="3" t="s">
        <v>41</v>
      </c>
      <c r="J431" s="3" t="s">
        <v>102</v>
      </c>
      <c r="K431" s="3" t="s">
        <v>3276</v>
      </c>
      <c r="L431" s="3" t="s">
        <v>2569</v>
      </c>
      <c r="M431" s="3" t="s">
        <v>3276</v>
      </c>
      <c r="N431" s="3" t="s">
        <v>1425</v>
      </c>
      <c r="O431" s="3">
        <v>1.0</v>
      </c>
    </row>
    <row r="432" ht="15.75" customHeight="1">
      <c r="A432" s="3" t="s">
        <v>348</v>
      </c>
      <c r="B432" s="3" t="s">
        <v>3277</v>
      </c>
      <c r="C432" s="3" t="s">
        <v>3278</v>
      </c>
      <c r="D432" s="3" t="s">
        <v>3279</v>
      </c>
      <c r="E432" s="3" t="str">
        <f>IFERROR(__xludf.DUMMYFUNCTION("GOOGLETRANSLATE($D432,""EN"",""RU"")")," Мобильный телефон со стрелкой")</f>
        <v> Мобильный телефон со стрелкой</v>
      </c>
      <c r="F432" s="3" t="s">
        <v>358</v>
      </c>
      <c r="G432" s="3" t="s">
        <v>235</v>
      </c>
      <c r="H432" s="3" t="s">
        <v>15</v>
      </c>
      <c r="I432" s="3" t="s">
        <v>174</v>
      </c>
      <c r="J432" s="3" t="s">
        <v>53</v>
      </c>
      <c r="K432" s="3" t="s">
        <v>1659</v>
      </c>
      <c r="L432" s="3" t="s">
        <v>3280</v>
      </c>
      <c r="M432" s="3" t="s">
        <v>3281</v>
      </c>
      <c r="N432" s="3" t="s">
        <v>3282</v>
      </c>
      <c r="O432" s="3">
        <v>2.0</v>
      </c>
    </row>
    <row r="433" ht="15.75" customHeight="1">
      <c r="A433" s="3" t="s">
        <v>639</v>
      </c>
      <c r="B433" s="3" t="s">
        <v>3283</v>
      </c>
      <c r="C433" s="3" t="s">
        <v>3284</v>
      </c>
      <c r="D433" s="3" t="s">
        <v>3285</v>
      </c>
      <c r="E433" s="3" t="str">
        <f>IFERROR(__xludf.DUMMYFUNCTION("GOOGLETRANSLATE($D433,""EN"",""RU"")")," Кнопка остановки")</f>
        <v> Кнопка остановки</v>
      </c>
      <c r="F433" s="3" t="s">
        <v>637</v>
      </c>
      <c r="G433" s="3" t="s">
        <v>235</v>
      </c>
      <c r="H433" s="3" t="s">
        <v>2226</v>
      </c>
      <c r="I433" s="3" t="s">
        <v>235</v>
      </c>
      <c r="J433" s="3" t="s">
        <v>2226</v>
      </c>
      <c r="K433" s="3" t="s">
        <v>1997</v>
      </c>
      <c r="L433" s="3" t="s">
        <v>3286</v>
      </c>
      <c r="M433" s="3" t="s">
        <v>1997</v>
      </c>
      <c r="N433" s="3" t="s">
        <v>1425</v>
      </c>
      <c r="O433" s="3">
        <v>1.0</v>
      </c>
    </row>
    <row r="434" ht="15.75" customHeight="1">
      <c r="A434" s="3" t="s">
        <v>1057</v>
      </c>
      <c r="B434" s="3" t="s">
        <v>3287</v>
      </c>
      <c r="C434" s="3" t="s">
        <v>3288</v>
      </c>
      <c r="D434" s="3" t="s">
        <v>3289</v>
      </c>
      <c r="E434" s="3" t="str">
        <f>IFERROR(__xludf.DUMMYFUNCTION("GOOGLETRANSLATE($D434,""EN"",""RU"")")," Верблюд")</f>
        <v> Верблюд</v>
      </c>
      <c r="F434" s="3" t="s">
        <v>81</v>
      </c>
      <c r="G434" s="3" t="s">
        <v>235</v>
      </c>
      <c r="H434" s="3" t="s">
        <v>90</v>
      </c>
      <c r="I434" s="3" t="s">
        <v>41</v>
      </c>
      <c r="J434" s="3" t="s">
        <v>114</v>
      </c>
      <c r="K434" s="3" t="s">
        <v>2221</v>
      </c>
      <c r="L434" s="3" t="s">
        <v>2569</v>
      </c>
      <c r="M434" s="3" t="s">
        <v>2563</v>
      </c>
      <c r="N434" s="3" t="s">
        <v>3290</v>
      </c>
      <c r="O434" s="3">
        <v>2.0</v>
      </c>
    </row>
    <row r="435" ht="15.75" customHeight="1">
      <c r="A435" s="3" t="s">
        <v>3291</v>
      </c>
      <c r="B435" s="3" t="s">
        <v>3292</v>
      </c>
      <c r="C435" s="3" t="s">
        <v>3293</v>
      </c>
      <c r="D435" s="3" t="s">
        <v>3294</v>
      </c>
      <c r="E435" s="3" t="str">
        <f>IFERROR(__xludf.DUMMYFUNCTION("GOOGLETRANSLATE($D435,""EN"",""RU"")")," Фейерверк")</f>
        <v> Фейерверк</v>
      </c>
      <c r="F435" s="3" t="s">
        <v>358</v>
      </c>
      <c r="G435" s="3" t="s">
        <v>235</v>
      </c>
      <c r="H435" s="3" t="s">
        <v>2226</v>
      </c>
      <c r="I435" s="3" t="s">
        <v>28</v>
      </c>
      <c r="J435" s="3" t="s">
        <v>211</v>
      </c>
      <c r="K435" s="3" t="s">
        <v>1997</v>
      </c>
      <c r="L435" s="3" t="s">
        <v>3282</v>
      </c>
      <c r="M435" s="3" t="s">
        <v>2360</v>
      </c>
      <c r="N435" s="3" t="s">
        <v>3295</v>
      </c>
      <c r="O435" s="3">
        <v>2.0</v>
      </c>
    </row>
    <row r="436" ht="15.75" customHeight="1">
      <c r="A436" s="3" t="s">
        <v>718</v>
      </c>
      <c r="B436" s="3" t="s">
        <v>3296</v>
      </c>
      <c r="C436" s="3" t="s">
        <v>3297</v>
      </c>
      <c r="D436" s="3" t="s">
        <v>3298</v>
      </c>
      <c r="E436" s="3" t="str">
        <f>IFERROR(__xludf.DUMMYFUNCTION("GOOGLETRANSLATE($D436,""EN"",""RU"")")," Календарь")</f>
        <v> Календарь</v>
      </c>
      <c r="F436" s="3" t="s">
        <v>358</v>
      </c>
      <c r="G436" s="3" t="s">
        <v>235</v>
      </c>
      <c r="H436" s="3" t="s">
        <v>41</v>
      </c>
      <c r="I436" s="3" t="s">
        <v>187</v>
      </c>
      <c r="J436" s="3" t="s">
        <v>15</v>
      </c>
      <c r="K436" s="3" t="s">
        <v>2569</v>
      </c>
      <c r="L436" s="3" t="s">
        <v>3299</v>
      </c>
      <c r="M436" s="3" t="s">
        <v>1659</v>
      </c>
      <c r="N436" s="3" t="s">
        <v>3300</v>
      </c>
      <c r="O436" s="3">
        <v>0.0</v>
      </c>
    </row>
    <row r="437" ht="15.75" customHeight="1">
      <c r="A437" s="3" t="s">
        <v>898</v>
      </c>
      <c r="B437" s="3" t="s">
        <v>3301</v>
      </c>
      <c r="C437" s="3" t="s">
        <v>3302</v>
      </c>
      <c r="D437" s="3" t="s">
        <v>3303</v>
      </c>
      <c r="E437" s="3" t="str">
        <f>IFERROR(__xludf.DUMMYFUNCTION("GOOGLETRANSLATE($D437,""EN"",""RU"")")," Телефонный приемник")</f>
        <v> Телефонный приемник</v>
      </c>
      <c r="F437" s="3" t="s">
        <v>358</v>
      </c>
      <c r="G437" s="3" t="s">
        <v>235</v>
      </c>
      <c r="H437" s="3" t="s">
        <v>65</v>
      </c>
      <c r="I437" s="3" t="s">
        <v>65</v>
      </c>
      <c r="J437" s="3" t="s">
        <v>114</v>
      </c>
      <c r="K437" s="3" t="s">
        <v>2575</v>
      </c>
      <c r="L437" s="3" t="s">
        <v>2575</v>
      </c>
      <c r="M437" s="3" t="s">
        <v>2563</v>
      </c>
      <c r="N437" s="3" t="s">
        <v>2569</v>
      </c>
      <c r="O437" s="3">
        <v>2.0</v>
      </c>
    </row>
    <row r="438" ht="15.75" customHeight="1">
      <c r="A438" s="3" t="s">
        <v>834</v>
      </c>
      <c r="B438" s="3" t="s">
        <v>3304</v>
      </c>
      <c r="C438" s="3" t="s">
        <v>3305</v>
      </c>
      <c r="D438" s="3" t="s">
        <v>3306</v>
      </c>
      <c r="E438" s="3" t="str">
        <f>IFERROR(__xludf.DUMMYFUNCTION("GOOGLETRANSLATE($D438,""EN"",""RU"")")," Закладка")</f>
        <v> Закладка</v>
      </c>
      <c r="F438" s="3" t="s">
        <v>358</v>
      </c>
      <c r="G438" s="3" t="s">
        <v>235</v>
      </c>
      <c r="H438" s="3" t="s">
        <v>15</v>
      </c>
      <c r="I438" s="3" t="s">
        <v>223</v>
      </c>
      <c r="J438" s="3" t="s">
        <v>2226</v>
      </c>
      <c r="K438" s="3" t="s">
        <v>1659</v>
      </c>
      <c r="L438" s="3" t="s">
        <v>3307</v>
      </c>
      <c r="M438" s="3" t="s">
        <v>1997</v>
      </c>
      <c r="N438" s="3" t="s">
        <v>3308</v>
      </c>
      <c r="O438" s="3">
        <v>1.0</v>
      </c>
    </row>
    <row r="439" ht="15.75" customHeight="1">
      <c r="A439" s="3" t="s">
        <v>3309</v>
      </c>
      <c r="B439" s="3" t="s">
        <v>3310</v>
      </c>
      <c r="C439" s="3" t="s">
        <v>3311</v>
      </c>
      <c r="D439" s="3" t="s">
        <v>3312</v>
      </c>
      <c r="E439" s="3" t="str">
        <f>IFERROR(__xludf.DUMMYFUNCTION("GOOGLETRANSLATE($D439,""EN"",""RU"")")," Входящий конверт")</f>
        <v> Входящий конверт</v>
      </c>
      <c r="F439" s="3" t="s">
        <v>358</v>
      </c>
      <c r="G439" s="3" t="s">
        <v>235</v>
      </c>
      <c r="H439" s="3" t="s">
        <v>65</v>
      </c>
      <c r="I439" s="3" t="s">
        <v>77</v>
      </c>
      <c r="J439" s="3" t="s">
        <v>102</v>
      </c>
      <c r="K439" s="3" t="s">
        <v>2575</v>
      </c>
      <c r="L439" s="3" t="s">
        <v>1527</v>
      </c>
      <c r="M439" s="3" t="s">
        <v>3276</v>
      </c>
      <c r="N439" s="3" t="s">
        <v>3313</v>
      </c>
      <c r="O439" s="3">
        <v>2.0</v>
      </c>
    </row>
    <row r="440" ht="15.75" customHeight="1">
      <c r="A440" s="3" t="s">
        <v>3314</v>
      </c>
      <c r="B440" s="3" t="s">
        <v>3315</v>
      </c>
      <c r="C440" s="3" t="s">
        <v>3316</v>
      </c>
      <c r="D440" s="3" t="s">
        <v>3317</v>
      </c>
      <c r="E440" s="3" t="str">
        <f>IFERROR(__xludf.DUMMYFUNCTION("GOOGLETRANSLATE($D440,""EN"",""RU"")")," Гана")</f>
        <v> Гана</v>
      </c>
      <c r="F440" s="3" t="s">
        <v>559</v>
      </c>
      <c r="G440" s="3" t="s">
        <v>235</v>
      </c>
      <c r="H440" s="3" t="s">
        <v>2226</v>
      </c>
      <c r="I440" s="3" t="s">
        <v>235</v>
      </c>
      <c r="J440" s="3" t="s">
        <v>2226</v>
      </c>
      <c r="K440" s="3" t="s">
        <v>1997</v>
      </c>
      <c r="L440" s="3" t="s">
        <v>3286</v>
      </c>
      <c r="M440" s="3" t="s">
        <v>1997</v>
      </c>
      <c r="N440" s="3" t="s">
        <v>1425</v>
      </c>
      <c r="O440" s="3">
        <v>1.0</v>
      </c>
    </row>
    <row r="441" ht="15.75" customHeight="1">
      <c r="A441" s="3" t="s">
        <v>3318</v>
      </c>
      <c r="B441" s="3" t="s">
        <v>3319</v>
      </c>
      <c r="C441" s="3" t="s">
        <v>3320</v>
      </c>
      <c r="D441" s="3" t="s">
        <v>3321</v>
      </c>
      <c r="E441" s="3" t="str">
        <f>IFERROR(__xludf.DUMMYFUNCTION("GOOGLETRANSLATE($D441,""EN"",""RU"")")," Говорящая голова")</f>
        <v> Говорящая голова</v>
      </c>
      <c r="F441" s="3" t="s">
        <v>2649</v>
      </c>
      <c r="G441" s="3" t="s">
        <v>235</v>
      </c>
      <c r="H441" s="3" t="s">
        <v>114</v>
      </c>
      <c r="I441" s="3" t="s">
        <v>65</v>
      </c>
      <c r="J441" s="3" t="s">
        <v>65</v>
      </c>
      <c r="K441" s="3" t="s">
        <v>2563</v>
      </c>
      <c r="L441" s="3" t="s">
        <v>2575</v>
      </c>
      <c r="M441" s="3" t="s">
        <v>2575</v>
      </c>
      <c r="N441" s="3" t="s">
        <v>3322</v>
      </c>
      <c r="O441" s="3">
        <v>0.0</v>
      </c>
    </row>
    <row r="442" ht="15.75" customHeight="1">
      <c r="A442" s="3" t="s">
        <v>36</v>
      </c>
      <c r="B442" s="3" t="s">
        <v>3323</v>
      </c>
      <c r="C442" s="3" t="s">
        <v>3324</v>
      </c>
      <c r="D442" s="3" t="s">
        <v>3325</v>
      </c>
      <c r="E442" s="3" t="str">
        <f>IFERROR(__xludf.DUMMYFUNCTION("GOOGLETRANSLATE($D442,""EN"",""RU"")")," Огр")</f>
        <v> Огр</v>
      </c>
      <c r="F442" s="3" t="s">
        <v>358</v>
      </c>
      <c r="G442" s="3" t="s">
        <v>235</v>
      </c>
      <c r="H442" s="3" t="s">
        <v>199</v>
      </c>
      <c r="I442" s="3" t="s">
        <v>15</v>
      </c>
      <c r="J442" s="3" t="s">
        <v>28</v>
      </c>
      <c r="K442" s="3" t="s">
        <v>3326</v>
      </c>
      <c r="L442" s="3" t="s">
        <v>1659</v>
      </c>
      <c r="M442" s="3" t="s">
        <v>3282</v>
      </c>
      <c r="N442" s="3" t="s">
        <v>3327</v>
      </c>
      <c r="O442" s="3">
        <v>0.0</v>
      </c>
    </row>
    <row r="443" ht="15.75" customHeight="1">
      <c r="A443" s="3" t="s">
        <v>3328</v>
      </c>
      <c r="B443" s="3" t="s">
        <v>3329</v>
      </c>
      <c r="C443" s="3" t="s">
        <v>3330</v>
      </c>
      <c r="D443" s="3" t="s">
        <v>3331</v>
      </c>
      <c r="E443" s="3" t="str">
        <f>IFERROR(__xludf.DUMMYFUNCTION("GOOGLETRANSLATE($D443,""EN"",""RU"")")," Газета")</f>
        <v> Газета</v>
      </c>
      <c r="F443" s="3" t="s">
        <v>358</v>
      </c>
      <c r="G443" s="3" t="s">
        <v>223</v>
      </c>
      <c r="H443" s="3" t="s">
        <v>65</v>
      </c>
      <c r="I443" s="3" t="s">
        <v>102</v>
      </c>
      <c r="J443" s="3" t="s">
        <v>65</v>
      </c>
      <c r="K443" s="3" t="s">
        <v>2333</v>
      </c>
      <c r="L443" s="3" t="s">
        <v>3044</v>
      </c>
      <c r="M443" s="3" t="s">
        <v>2333</v>
      </c>
      <c r="N443" s="3" t="s">
        <v>1425</v>
      </c>
      <c r="O443" s="3">
        <v>1.0</v>
      </c>
    </row>
    <row r="444" ht="15.75" customHeight="1">
      <c r="A444" s="3" t="s">
        <v>3332</v>
      </c>
      <c r="B444" s="3" t="s">
        <v>3333</v>
      </c>
      <c r="C444" s="3" t="s">
        <v>3334</v>
      </c>
      <c r="D444" s="3" t="s">
        <v>3335</v>
      </c>
      <c r="E444" s="3" t="str">
        <f>IFERROR(__xludf.DUMMYFUNCTION("GOOGLETRANSLATE($D444,""EN"",""RU"")")," Светловолосый человек")</f>
        <v> Светловолосый человек</v>
      </c>
      <c r="F444" s="3" t="s">
        <v>19</v>
      </c>
      <c r="G444" s="3" t="s">
        <v>223</v>
      </c>
      <c r="H444" s="3" t="s">
        <v>90</v>
      </c>
      <c r="I444" s="3" t="s">
        <v>90</v>
      </c>
      <c r="J444" s="3" t="s">
        <v>53</v>
      </c>
      <c r="K444" s="3" t="s">
        <v>3336</v>
      </c>
      <c r="L444" s="3" t="s">
        <v>3336</v>
      </c>
      <c r="M444" s="3" t="s">
        <v>3337</v>
      </c>
      <c r="N444" s="3" t="s">
        <v>3338</v>
      </c>
      <c r="O444" s="3">
        <v>0.0</v>
      </c>
    </row>
    <row r="445" ht="15.75" customHeight="1">
      <c r="A445" s="3" t="s">
        <v>3339</v>
      </c>
      <c r="B445" s="3" t="s">
        <v>3340</v>
      </c>
      <c r="C445" s="3" t="s">
        <v>3341</v>
      </c>
      <c r="D445" s="3" t="s">
        <v>3342</v>
      </c>
      <c r="E445" s="3" t="str">
        <f>IFERROR(__xludf.DUMMYFUNCTION("GOOGLETRANSLATE($D445,""EN"",""RU"")")," Череп и кости")</f>
        <v> Череп и кости</v>
      </c>
      <c r="F445" s="3" t="s">
        <v>637</v>
      </c>
      <c r="G445" s="3" t="s">
        <v>223</v>
      </c>
      <c r="H445" s="3" t="s">
        <v>114</v>
      </c>
      <c r="I445" s="3" t="s">
        <v>77</v>
      </c>
      <c r="J445" s="3" t="s">
        <v>41</v>
      </c>
      <c r="K445" s="3" t="s">
        <v>1408</v>
      </c>
      <c r="L445" s="3" t="s">
        <v>2378</v>
      </c>
      <c r="M445" s="3" t="s">
        <v>2630</v>
      </c>
      <c r="N445" s="3" t="s">
        <v>3343</v>
      </c>
      <c r="O445" s="3">
        <v>0.0</v>
      </c>
    </row>
    <row r="446" ht="15.75" customHeight="1">
      <c r="A446" s="3" t="s">
        <v>386</v>
      </c>
      <c r="B446" s="3" t="s">
        <v>3344</v>
      </c>
      <c r="C446" s="3" t="s">
        <v>3345</v>
      </c>
      <c r="D446" s="3" t="s">
        <v>3346</v>
      </c>
      <c r="E446" s="3" t="str">
        <f>IFERROR(__xludf.DUMMYFUNCTION("GOOGLETRANSLATE($D446,""EN"",""RU"")")," Открыть почтовый ящик с поднятым флагом")</f>
        <v> Открыть почтовый ящик с поднятым флагом</v>
      </c>
      <c r="F446" s="3" t="s">
        <v>358</v>
      </c>
      <c r="G446" s="3" t="s">
        <v>223</v>
      </c>
      <c r="H446" s="3" t="s">
        <v>28</v>
      </c>
      <c r="I446" s="3" t="s">
        <v>150</v>
      </c>
      <c r="J446" s="3" t="s">
        <v>53</v>
      </c>
      <c r="K446" s="3" t="s">
        <v>1601</v>
      </c>
      <c r="L446" s="3" t="s">
        <v>3347</v>
      </c>
      <c r="M446" s="3" t="s">
        <v>3337</v>
      </c>
      <c r="N446" s="3" t="s">
        <v>1708</v>
      </c>
      <c r="O446" s="3">
        <v>2.0</v>
      </c>
    </row>
    <row r="447" ht="15.75" customHeight="1">
      <c r="A447" s="3" t="s">
        <v>3348</v>
      </c>
      <c r="B447" s="3" t="s">
        <v>3349</v>
      </c>
      <c r="C447" s="3" t="s">
        <v>3350</v>
      </c>
      <c r="D447" s="3" t="s">
        <v>3351</v>
      </c>
      <c r="E447" s="3" t="str">
        <f>IFERROR(__xludf.DUMMYFUNCTION("GOOGLETRANSLATE($D447,""EN"",""RU"")")," Игровой кубик")</f>
        <v> Игровой кубик</v>
      </c>
      <c r="F447" s="3" t="s">
        <v>358</v>
      </c>
      <c r="G447" s="3" t="s">
        <v>223</v>
      </c>
      <c r="H447" s="3" t="s">
        <v>2226</v>
      </c>
      <c r="I447" s="3" t="s">
        <v>211</v>
      </c>
      <c r="J447" s="3" t="s">
        <v>15</v>
      </c>
      <c r="K447" s="3" t="s">
        <v>2617</v>
      </c>
      <c r="L447" s="3" t="s">
        <v>3352</v>
      </c>
      <c r="M447" s="3" t="s">
        <v>1708</v>
      </c>
      <c r="N447" s="3" t="s">
        <v>2617</v>
      </c>
      <c r="O447" s="3">
        <v>1.0</v>
      </c>
    </row>
    <row r="448" ht="15.75" customHeight="1">
      <c r="A448" s="3" t="s">
        <v>3353</v>
      </c>
      <c r="B448" s="3" t="s">
        <v>3354</v>
      </c>
      <c r="C448" s="3" t="s">
        <v>3355</v>
      </c>
      <c r="D448" s="3" t="s">
        <v>3356</v>
      </c>
      <c r="E448" s="3" t="str">
        <f>IFERROR(__xludf.DUMMYFUNCTION("GOOGLETRANSLATE($D448,""EN"",""RU"")")," Человек, хмурящийся")</f>
        <v> Человек, хмурящийся</v>
      </c>
      <c r="F448" s="3" t="s">
        <v>178</v>
      </c>
      <c r="G448" s="3" t="s">
        <v>223</v>
      </c>
      <c r="H448" s="3" t="s">
        <v>126</v>
      </c>
      <c r="I448" s="3" t="s">
        <v>53</v>
      </c>
      <c r="J448" s="3" t="s">
        <v>53</v>
      </c>
      <c r="K448" s="3" t="s">
        <v>3357</v>
      </c>
      <c r="L448" s="3" t="s">
        <v>3337</v>
      </c>
      <c r="M448" s="3" t="s">
        <v>3337</v>
      </c>
      <c r="N448" s="3" t="s">
        <v>3343</v>
      </c>
      <c r="O448" s="3">
        <v>0.0</v>
      </c>
    </row>
    <row r="449" ht="15.75" customHeight="1">
      <c r="A449" s="3" t="s">
        <v>3358</v>
      </c>
      <c r="B449" s="3" t="s">
        <v>3359</v>
      </c>
      <c r="C449" s="3" t="s">
        <v>3360</v>
      </c>
      <c r="D449" s="3" t="s">
        <v>3361</v>
      </c>
      <c r="E449" s="3" t="str">
        <f>IFERROR(__xludf.DUMMYFUNCTION("GOOGLETRANSLATE($D449,""EN"",""RU"")")," Мальчик")</f>
        <v> Мальчик</v>
      </c>
      <c r="F449" s="3" t="s">
        <v>19</v>
      </c>
      <c r="G449" s="3" t="s">
        <v>223</v>
      </c>
      <c r="H449" s="3" t="s">
        <v>65</v>
      </c>
      <c r="I449" s="3" t="s">
        <v>77</v>
      </c>
      <c r="J449" s="3" t="s">
        <v>90</v>
      </c>
      <c r="K449" s="3" t="s">
        <v>2333</v>
      </c>
      <c r="L449" s="3" t="s">
        <v>2378</v>
      </c>
      <c r="M449" s="3" t="s">
        <v>3336</v>
      </c>
      <c r="N449" s="3" t="s">
        <v>1708</v>
      </c>
      <c r="O449" s="3">
        <v>2.0</v>
      </c>
    </row>
    <row r="450" ht="15.75" customHeight="1">
      <c r="A450" s="3" t="s">
        <v>3362</v>
      </c>
      <c r="B450" s="3" t="s">
        <v>3363</v>
      </c>
      <c r="C450" s="3" t="s">
        <v>3364</v>
      </c>
      <c r="D450" s="3" t="s">
        <v>3365</v>
      </c>
      <c r="E450" s="3" t="str">
        <f>IFERROR(__xludf.DUMMYFUNCTION("GOOGLETRANSLATE($D450,""EN"",""RU"")")," Барабан")</f>
        <v> Барабан</v>
      </c>
      <c r="F450" s="3" t="s">
        <v>358</v>
      </c>
      <c r="G450" s="3" t="s">
        <v>223</v>
      </c>
      <c r="H450" s="3" t="s">
        <v>28</v>
      </c>
      <c r="I450" s="3" t="s">
        <v>15</v>
      </c>
      <c r="J450" s="3" t="s">
        <v>187</v>
      </c>
      <c r="K450" s="3" t="s">
        <v>1601</v>
      </c>
      <c r="L450" s="3" t="s">
        <v>1708</v>
      </c>
      <c r="M450" s="3" t="s">
        <v>3366</v>
      </c>
      <c r="N450" s="3" t="s">
        <v>3347</v>
      </c>
      <c r="O450" s="3">
        <v>2.0</v>
      </c>
    </row>
    <row r="451" ht="15.75" customHeight="1">
      <c r="A451" s="3" t="s">
        <v>3367</v>
      </c>
      <c r="B451" s="3" t="s">
        <v>3368</v>
      </c>
      <c r="C451" s="3" t="s">
        <v>3369</v>
      </c>
      <c r="D451" s="3" t="s">
        <v>3370</v>
      </c>
      <c r="E451" s="3" t="str">
        <f>IFERROR(__xludf.DUMMYFUNCTION("GOOGLETRANSLATE($D451,""EN"",""RU"")")," Евросоюз")</f>
        <v> Евросоюз</v>
      </c>
      <c r="F451" s="3" t="s">
        <v>559</v>
      </c>
      <c r="G451" s="3" t="s">
        <v>223</v>
      </c>
      <c r="H451" s="3" t="s">
        <v>2226</v>
      </c>
      <c r="I451" s="3" t="s">
        <v>223</v>
      </c>
      <c r="J451" s="3" t="s">
        <v>2226</v>
      </c>
      <c r="K451" s="3" t="s">
        <v>2617</v>
      </c>
      <c r="L451" s="3" t="s">
        <v>3371</v>
      </c>
      <c r="M451" s="3" t="s">
        <v>2617</v>
      </c>
      <c r="N451" s="3" t="s">
        <v>1425</v>
      </c>
      <c r="O451" s="3">
        <v>1.0</v>
      </c>
    </row>
    <row r="452" ht="15.75" customHeight="1">
      <c r="A452" s="3" t="s">
        <v>3372</v>
      </c>
      <c r="B452" s="3" t="s">
        <v>3373</v>
      </c>
      <c r="C452" s="3" t="s">
        <v>3374</v>
      </c>
      <c r="D452" s="3" t="s">
        <v>3375</v>
      </c>
      <c r="E452" s="3" t="str">
        <f>IFERROR(__xludf.DUMMYFUNCTION("GOOGLETRANSLATE($D452,""EN"",""RU"")")," Баран")</f>
        <v> Баран</v>
      </c>
      <c r="F452" s="3" t="s">
        <v>81</v>
      </c>
      <c r="G452" s="3" t="s">
        <v>223</v>
      </c>
      <c r="H452" s="3" t="s">
        <v>174</v>
      </c>
      <c r="I452" s="3" t="s">
        <v>28</v>
      </c>
      <c r="J452" s="3" t="s">
        <v>28</v>
      </c>
      <c r="K452" s="3" t="s">
        <v>3376</v>
      </c>
      <c r="L452" s="3" t="s">
        <v>1601</v>
      </c>
      <c r="M452" s="3" t="s">
        <v>1601</v>
      </c>
      <c r="N452" s="3" t="s">
        <v>3377</v>
      </c>
      <c r="O452" s="3">
        <v>0.0</v>
      </c>
    </row>
    <row r="453" ht="15.75" customHeight="1">
      <c r="A453" s="3" t="s">
        <v>3378</v>
      </c>
      <c r="B453" s="3" t="s">
        <v>3379</v>
      </c>
      <c r="C453" s="3" t="s">
        <v>3380</v>
      </c>
      <c r="D453" s="3" t="s">
        <v>3381</v>
      </c>
      <c r="E453" s="3" t="str">
        <f>IFERROR(__xludf.DUMMYFUNCTION("GOOGLETRANSLATE($D453,""EN"",""RU"")")," Иран")</f>
        <v> Иран</v>
      </c>
      <c r="F453" s="3" t="s">
        <v>559</v>
      </c>
      <c r="G453" s="3" t="s">
        <v>223</v>
      </c>
      <c r="H453" s="3" t="s">
        <v>102</v>
      </c>
      <c r="I453" s="3" t="s">
        <v>90</v>
      </c>
      <c r="J453" s="3" t="s">
        <v>41</v>
      </c>
      <c r="K453" s="3" t="s">
        <v>3044</v>
      </c>
      <c r="L453" s="3" t="s">
        <v>3336</v>
      </c>
      <c r="M453" s="3" t="s">
        <v>2630</v>
      </c>
      <c r="N453" s="3" t="s">
        <v>3382</v>
      </c>
      <c r="O453" s="3">
        <v>0.0</v>
      </c>
    </row>
    <row r="454" ht="15.75" customHeight="1">
      <c r="A454" s="3" t="s">
        <v>3383</v>
      </c>
      <c r="B454" s="3" t="s">
        <v>3384</v>
      </c>
      <c r="C454" s="3" t="s">
        <v>3385</v>
      </c>
      <c r="D454" s="3" t="s">
        <v>3386</v>
      </c>
      <c r="E454" s="3" t="str">
        <f>IFERROR(__xludf.DUMMYFUNCTION("GOOGLETRANSLATE($D454,""EN"",""RU"")")," Бахрейн")</f>
        <v> Бахрейн</v>
      </c>
      <c r="F454" s="3" t="s">
        <v>559</v>
      </c>
      <c r="G454" s="3" t="s">
        <v>223</v>
      </c>
      <c r="H454" s="3" t="s">
        <v>65</v>
      </c>
      <c r="I454" s="3" t="s">
        <v>28</v>
      </c>
      <c r="J454" s="3" t="s">
        <v>138</v>
      </c>
      <c r="K454" s="3" t="s">
        <v>2333</v>
      </c>
      <c r="L454" s="3" t="s">
        <v>1601</v>
      </c>
      <c r="M454" s="3" t="s">
        <v>2812</v>
      </c>
      <c r="N454" s="3" t="s">
        <v>2333</v>
      </c>
      <c r="O454" s="3">
        <v>2.0</v>
      </c>
    </row>
    <row r="455" ht="15.75" customHeight="1">
      <c r="A455" s="3" t="s">
        <v>300</v>
      </c>
      <c r="B455" s="3" t="s">
        <v>3387</v>
      </c>
      <c r="C455" s="3" t="s">
        <v>3388</v>
      </c>
      <c r="D455" s="3" t="s">
        <v>3389</v>
      </c>
      <c r="E455" s="3" t="str">
        <f>IFERROR(__xludf.DUMMYFUNCTION("GOOGLETRANSLATE($D455,""EN"",""RU"")")," Динамик высокой громкости")</f>
        <v> Динамик высокой громкости</v>
      </c>
      <c r="F455" s="3" t="s">
        <v>637</v>
      </c>
      <c r="G455" s="3" t="s">
        <v>211</v>
      </c>
      <c r="H455" s="3" t="s">
        <v>65</v>
      </c>
      <c r="I455" s="3" t="s">
        <v>102</v>
      </c>
      <c r="J455" s="3" t="s">
        <v>53</v>
      </c>
      <c r="K455" s="3" t="s">
        <v>2980</v>
      </c>
      <c r="L455" s="3" t="s">
        <v>2672</v>
      </c>
      <c r="M455" s="3" t="s">
        <v>1798</v>
      </c>
      <c r="N455" s="3" t="s">
        <v>3390</v>
      </c>
      <c r="O455" s="3">
        <v>1.0</v>
      </c>
    </row>
    <row r="456" ht="15.75" customHeight="1">
      <c r="A456" s="3" t="s">
        <v>3391</v>
      </c>
      <c r="B456" s="3" t="s">
        <v>3392</v>
      </c>
      <c r="C456" s="3" t="s">
        <v>3393</v>
      </c>
      <c r="D456" s="3" t="s">
        <v>3394</v>
      </c>
      <c r="E456" s="3" t="str">
        <f>IFERROR(__xludf.DUMMYFUNCTION("GOOGLETRANSLATE($D456,""EN"",""RU"")")," Мягкое мороженое")</f>
        <v> Мягкое мороженое</v>
      </c>
      <c r="F456" s="3" t="s">
        <v>1510</v>
      </c>
      <c r="G456" s="3" t="s">
        <v>211</v>
      </c>
      <c r="H456" s="3" t="s">
        <v>15</v>
      </c>
      <c r="I456" s="3" t="s">
        <v>90</v>
      </c>
      <c r="J456" s="3" t="s">
        <v>114</v>
      </c>
      <c r="K456" s="3" t="s">
        <v>1990</v>
      </c>
      <c r="L456" s="3" t="s">
        <v>2176</v>
      </c>
      <c r="M456" s="3" t="s">
        <v>1675</v>
      </c>
      <c r="N456" s="3" t="s">
        <v>2176</v>
      </c>
      <c r="O456" s="3">
        <v>2.0</v>
      </c>
    </row>
    <row r="457" ht="15.75" customHeight="1">
      <c r="A457" s="3" t="s">
        <v>3395</v>
      </c>
      <c r="B457" s="3" t="s">
        <v>3396</v>
      </c>
      <c r="C457" s="3" t="s">
        <v>3397</v>
      </c>
      <c r="D457" s="3" t="s">
        <v>3398</v>
      </c>
      <c r="E457" s="3" t="str">
        <f>IFERROR(__xludf.DUMMYFUNCTION("GOOGLETRANSLATE($D457,""EN"",""RU"")")," График увеличения")</f>
        <v> График увеличения</v>
      </c>
      <c r="F457" s="3" t="s">
        <v>358</v>
      </c>
      <c r="G457" s="3" t="s">
        <v>211</v>
      </c>
      <c r="H457" s="3" t="s">
        <v>28</v>
      </c>
      <c r="I457" s="3" t="s">
        <v>174</v>
      </c>
      <c r="J457" s="3" t="s">
        <v>15</v>
      </c>
      <c r="K457" s="3" t="s">
        <v>2057</v>
      </c>
      <c r="L457" s="3" t="s">
        <v>1855</v>
      </c>
      <c r="M457" s="3" t="s">
        <v>1990</v>
      </c>
      <c r="N457" s="3" t="s">
        <v>3390</v>
      </c>
      <c r="O457" s="3">
        <v>1.0</v>
      </c>
    </row>
    <row r="458" ht="15.75" customHeight="1">
      <c r="A458" s="3" t="s">
        <v>265</v>
      </c>
      <c r="B458" s="3" t="s">
        <v>3399</v>
      </c>
      <c r="C458" s="3" t="s">
        <v>3400</v>
      </c>
      <c r="D458" s="3" t="s">
        <v>3401</v>
      </c>
      <c r="E458" s="3" t="str">
        <f>IFERROR(__xludf.DUMMYFUNCTION("GOOGLETRANSLATE($D458,""EN"",""RU"")")," Очки")</f>
        <v> Очки</v>
      </c>
      <c r="F458" s="3" t="s">
        <v>358</v>
      </c>
      <c r="G458" s="3" t="s">
        <v>211</v>
      </c>
      <c r="H458" s="3" t="s">
        <v>41</v>
      </c>
      <c r="I458" s="3" t="s">
        <v>28</v>
      </c>
      <c r="J458" s="3" t="s">
        <v>150</v>
      </c>
      <c r="K458" s="3" t="s">
        <v>940</v>
      </c>
      <c r="L458" s="3" t="s">
        <v>2057</v>
      </c>
      <c r="M458" s="3" t="s">
        <v>3402</v>
      </c>
      <c r="N458" s="3" t="s">
        <v>2672</v>
      </c>
      <c r="O458" s="3">
        <v>2.0</v>
      </c>
    </row>
    <row r="459" ht="15.75" customHeight="1">
      <c r="A459" s="3" t="s">
        <v>3403</v>
      </c>
      <c r="B459" s="3" t="s">
        <v>3404</v>
      </c>
      <c r="C459" s="3" t="s">
        <v>3405</v>
      </c>
      <c r="D459" s="3" t="s">
        <v>3406</v>
      </c>
      <c r="E459" s="3" t="str">
        <f>IFERROR(__xludf.DUMMYFUNCTION("GOOGLETRANSLATE($D459,""EN"",""RU"")")," Пожилой человек")</f>
        <v> Пожилой человек</v>
      </c>
      <c r="F459" s="3" t="s">
        <v>19</v>
      </c>
      <c r="G459" s="3" t="s">
        <v>211</v>
      </c>
      <c r="H459" s="3" t="s">
        <v>65</v>
      </c>
      <c r="I459" s="3" t="s">
        <v>102</v>
      </c>
      <c r="J459" s="3" t="s">
        <v>53</v>
      </c>
      <c r="K459" s="3" t="s">
        <v>2980</v>
      </c>
      <c r="L459" s="3" t="s">
        <v>2672</v>
      </c>
      <c r="M459" s="3" t="s">
        <v>1798</v>
      </c>
      <c r="N459" s="3" t="s">
        <v>3390</v>
      </c>
      <c r="O459" s="3">
        <v>1.0</v>
      </c>
    </row>
    <row r="460" ht="15.75" customHeight="1">
      <c r="A460" s="3" t="s">
        <v>1047</v>
      </c>
      <c r="B460" s="3" t="s">
        <v>3407</v>
      </c>
      <c r="C460" s="3" t="s">
        <v>3408</v>
      </c>
      <c r="D460" s="3" t="s">
        <v>3409</v>
      </c>
      <c r="E460" s="3" t="str">
        <f>IFERROR(__xludf.DUMMYFUNCTION("GOOGLETRANSLATE($D460,""EN"",""RU"")")," Кинжал")</f>
        <v> Кинжал</v>
      </c>
      <c r="F460" s="3" t="s">
        <v>358</v>
      </c>
      <c r="G460" s="3" t="s">
        <v>211</v>
      </c>
      <c r="H460" s="3" t="s">
        <v>126</v>
      </c>
      <c r="I460" s="3" t="s">
        <v>28</v>
      </c>
      <c r="J460" s="3" t="s">
        <v>65</v>
      </c>
      <c r="K460" s="3" t="s">
        <v>3410</v>
      </c>
      <c r="L460" s="3" t="s">
        <v>2057</v>
      </c>
      <c r="M460" s="3" t="s">
        <v>2980</v>
      </c>
      <c r="N460" s="3" t="s">
        <v>3411</v>
      </c>
      <c r="O460" s="3">
        <v>0.0</v>
      </c>
    </row>
    <row r="461" ht="15.75" customHeight="1">
      <c r="A461" s="3" t="s">
        <v>3412</v>
      </c>
      <c r="B461" s="3" t="s">
        <v>3413</v>
      </c>
      <c r="C461" s="3" t="s">
        <v>3414</v>
      </c>
      <c r="D461" s="3" t="s">
        <v>3415</v>
      </c>
      <c r="E461" s="3" t="str">
        <f>IFERROR(__xludf.DUMMYFUNCTION("GOOGLETRANSLATE($D461,""EN"",""RU"")")," Гоблин")</f>
        <v> Гоблин</v>
      </c>
      <c r="F461" s="3" t="s">
        <v>358</v>
      </c>
      <c r="G461" s="3" t="s">
        <v>211</v>
      </c>
      <c r="H461" s="3" t="s">
        <v>199</v>
      </c>
      <c r="I461" s="3" t="s">
        <v>15</v>
      </c>
      <c r="J461" s="3" t="s">
        <v>2226</v>
      </c>
      <c r="K461" s="3" t="s">
        <v>3416</v>
      </c>
      <c r="L461" s="3" t="s">
        <v>1990</v>
      </c>
      <c r="M461" s="3" t="s">
        <v>2058</v>
      </c>
      <c r="N461" s="3" t="s">
        <v>808</v>
      </c>
      <c r="O461" s="3">
        <v>0.0</v>
      </c>
    </row>
    <row r="462" ht="15.75" customHeight="1">
      <c r="A462" s="3" t="s">
        <v>1038</v>
      </c>
      <c r="B462" s="3" t="s">
        <v>3417</v>
      </c>
      <c r="C462" s="3" t="s">
        <v>3418</v>
      </c>
      <c r="D462" s="3" t="s">
        <v>3419</v>
      </c>
      <c r="E462" s="3" t="str">
        <f>IFERROR(__xludf.DUMMYFUNCTION("GOOGLETRANSLATE($D462,""EN"",""RU"")")," Япония")</f>
        <v> Япония</v>
      </c>
      <c r="F462" s="3" t="s">
        <v>559</v>
      </c>
      <c r="G462" s="3" t="s">
        <v>211</v>
      </c>
      <c r="H462" s="3" t="s">
        <v>150</v>
      </c>
      <c r="I462" s="3" t="s">
        <v>53</v>
      </c>
      <c r="J462" s="3" t="s">
        <v>15</v>
      </c>
      <c r="K462" s="3" t="s">
        <v>3402</v>
      </c>
      <c r="L462" s="3" t="s">
        <v>1798</v>
      </c>
      <c r="M462" s="3" t="s">
        <v>1990</v>
      </c>
      <c r="N462" s="3" t="s">
        <v>3420</v>
      </c>
      <c r="O462" s="3">
        <v>0.0</v>
      </c>
    </row>
    <row r="463" ht="15.75" customHeight="1">
      <c r="A463" s="3" t="s">
        <v>3421</v>
      </c>
      <c r="B463" s="3" t="s">
        <v>3422</v>
      </c>
      <c r="C463" s="3" t="s">
        <v>3423</v>
      </c>
      <c r="D463" s="3" t="s">
        <v>3424</v>
      </c>
      <c r="E463" s="3" t="str">
        <f>IFERROR(__xludf.DUMMYFUNCTION("GOOGLETRANSLATE($D463,""EN"",""RU"")")," Человек, плавающий")</f>
        <v> Человек, плавающий</v>
      </c>
      <c r="F463" s="3" t="s">
        <v>2649</v>
      </c>
      <c r="G463" s="3" t="s">
        <v>211</v>
      </c>
      <c r="H463" s="3" t="s">
        <v>102</v>
      </c>
      <c r="I463" s="3" t="s">
        <v>15</v>
      </c>
      <c r="J463" s="3" t="s">
        <v>102</v>
      </c>
      <c r="K463" s="3" t="s">
        <v>2672</v>
      </c>
      <c r="L463" s="3" t="s">
        <v>1990</v>
      </c>
      <c r="M463" s="3" t="s">
        <v>2672</v>
      </c>
      <c r="N463" s="3" t="s">
        <v>1425</v>
      </c>
      <c r="O463" s="3">
        <v>1.0</v>
      </c>
    </row>
    <row r="464" ht="15.75" customHeight="1">
      <c r="A464" s="3" t="s">
        <v>3425</v>
      </c>
      <c r="B464" s="3" t="s">
        <v>3426</v>
      </c>
      <c r="C464" s="3" t="s">
        <v>3427</v>
      </c>
      <c r="D464" s="3" t="s">
        <v>3428</v>
      </c>
      <c r="E464" s="3" t="str">
        <f>IFERROR(__xludf.DUMMYFUNCTION("GOOGLETRANSLATE($D464,""EN"",""RU"")")," Правый пузырь гнева")</f>
        <v> Правый пузырь гнева</v>
      </c>
      <c r="F464" s="3" t="s">
        <v>637</v>
      </c>
      <c r="G464" s="3" t="s">
        <v>211</v>
      </c>
      <c r="H464" s="3" t="s">
        <v>126</v>
      </c>
      <c r="I464" s="3" t="s">
        <v>65</v>
      </c>
      <c r="J464" s="3" t="s">
        <v>28</v>
      </c>
      <c r="K464" s="3" t="s">
        <v>3410</v>
      </c>
      <c r="L464" s="3" t="s">
        <v>2980</v>
      </c>
      <c r="M464" s="3" t="s">
        <v>2057</v>
      </c>
      <c r="N464" s="3" t="s">
        <v>3429</v>
      </c>
      <c r="O464" s="3">
        <v>0.0</v>
      </c>
    </row>
    <row r="465" ht="15.75" customHeight="1">
      <c r="A465" s="3" t="s">
        <v>1029</v>
      </c>
      <c r="B465" s="3" t="s">
        <v>3430</v>
      </c>
      <c r="C465" s="3" t="s">
        <v>3431</v>
      </c>
      <c r="D465" s="3" t="s">
        <v>3432</v>
      </c>
      <c r="E465" s="3" t="str">
        <f>IFERROR(__xludf.DUMMYFUNCTION("GOOGLETRANSLATE($D465,""EN"",""RU"")")," Рот")</f>
        <v> Рот</v>
      </c>
      <c r="F465" s="3" t="s">
        <v>178</v>
      </c>
      <c r="G465" s="3" t="s">
        <v>199</v>
      </c>
      <c r="H465" s="3" t="s">
        <v>90</v>
      </c>
      <c r="I465" s="3" t="s">
        <v>15</v>
      </c>
      <c r="J465" s="3" t="s">
        <v>102</v>
      </c>
      <c r="K465" s="3" t="s">
        <v>3433</v>
      </c>
      <c r="L465" s="3" t="s">
        <v>2708</v>
      </c>
      <c r="M465" s="3" t="s">
        <v>2731</v>
      </c>
      <c r="N465" s="3" t="s">
        <v>3434</v>
      </c>
      <c r="O465" s="3">
        <v>1.0</v>
      </c>
    </row>
    <row r="466" ht="15.75" customHeight="1">
      <c r="A466" s="3" t="s">
        <v>3435</v>
      </c>
      <c r="B466" s="3" t="s">
        <v>3436</v>
      </c>
      <c r="C466" s="3" t="s">
        <v>3437</v>
      </c>
      <c r="D466" s="3" t="s">
        <v>3438</v>
      </c>
      <c r="E466" s="3" t="str">
        <f>IFERROR(__xludf.DUMMYFUNCTION("GOOGLETRANSLATE($D466,""EN"",""RU"")")," Ручка")</f>
        <v> Ручка</v>
      </c>
      <c r="F466" s="3" t="s">
        <v>358</v>
      </c>
      <c r="G466" s="3" t="s">
        <v>199</v>
      </c>
      <c r="H466" s="3" t="s">
        <v>15</v>
      </c>
      <c r="I466" s="3" t="s">
        <v>102</v>
      </c>
      <c r="J466" s="3" t="s">
        <v>90</v>
      </c>
      <c r="K466" s="3" t="s">
        <v>2708</v>
      </c>
      <c r="L466" s="3" t="s">
        <v>2731</v>
      </c>
      <c r="M466" s="3" t="s">
        <v>3433</v>
      </c>
      <c r="N466" s="3" t="s">
        <v>2729</v>
      </c>
      <c r="O466" s="3">
        <v>2.0</v>
      </c>
    </row>
    <row r="467" ht="15.75" customHeight="1">
      <c r="A467" s="3" t="s">
        <v>1017</v>
      </c>
      <c r="B467" s="3" t="s">
        <v>3439</v>
      </c>
      <c r="C467" s="3" t="s">
        <v>3440</v>
      </c>
      <c r="D467" s="3" t="s">
        <v>3441</v>
      </c>
      <c r="E467" s="3" t="str">
        <f>IFERROR(__xludf.DUMMYFUNCTION("GOOGLETRANSLATE($D467,""EN"",""RU"")")," Скрещенные пальцы")</f>
        <v> Скрещенные пальцы</v>
      </c>
      <c r="F467" s="3" t="s">
        <v>178</v>
      </c>
      <c r="G467" s="3" t="s">
        <v>199</v>
      </c>
      <c r="H467" s="3" t="s">
        <v>53</v>
      </c>
      <c r="I467" s="3" t="s">
        <v>102</v>
      </c>
      <c r="J467" s="3" t="s">
        <v>53</v>
      </c>
      <c r="K467" s="3" t="s">
        <v>1842</v>
      </c>
      <c r="L467" s="3" t="s">
        <v>2731</v>
      </c>
      <c r="M467" s="3" t="s">
        <v>1842</v>
      </c>
      <c r="N467" s="3" t="s">
        <v>1425</v>
      </c>
      <c r="O467" s="3">
        <v>1.0</v>
      </c>
    </row>
    <row r="468" ht="15.75" customHeight="1">
      <c r="A468" s="3" t="s">
        <v>3442</v>
      </c>
      <c r="B468" s="3" t="s">
        <v>3443</v>
      </c>
      <c r="C468" s="3" t="s">
        <v>3444</v>
      </c>
      <c r="D468" s="3" t="s">
        <v>3445</v>
      </c>
      <c r="E468" s="3" t="str">
        <f>IFERROR(__xludf.DUMMYFUNCTION("GOOGLETRANSLATE($D468,""EN"",""RU"")")," Человек в тюрбане")</f>
        <v> Человек в тюрбане</v>
      </c>
      <c r="F468" s="3" t="s">
        <v>2649</v>
      </c>
      <c r="G468" s="3" t="s">
        <v>199</v>
      </c>
      <c r="H468" s="3" t="s">
        <v>102</v>
      </c>
      <c r="I468" s="3" t="s">
        <v>15</v>
      </c>
      <c r="J468" s="3" t="s">
        <v>90</v>
      </c>
      <c r="K468" s="3" t="s">
        <v>2731</v>
      </c>
      <c r="L468" s="3" t="s">
        <v>2708</v>
      </c>
      <c r="M468" s="3" t="s">
        <v>3433</v>
      </c>
      <c r="N468" s="3" t="s">
        <v>3446</v>
      </c>
      <c r="O468" s="3">
        <v>1.0</v>
      </c>
    </row>
    <row r="469" ht="15.75" customHeight="1">
      <c r="A469" s="3" t="s">
        <v>3447</v>
      </c>
      <c r="B469" s="3" t="s">
        <v>3448</v>
      </c>
      <c r="C469" s="3" t="s">
        <v>3449</v>
      </c>
      <c r="D469" s="3" t="s">
        <v>3450</v>
      </c>
      <c r="E469" s="3" t="str">
        <f>IFERROR(__xludf.DUMMYFUNCTION("GOOGLETRANSLATE($D469,""EN"",""RU"")")," Мужская обувь")</f>
        <v> Мужская обувь</v>
      </c>
      <c r="F469" s="3" t="s">
        <v>358</v>
      </c>
      <c r="G469" s="3" t="s">
        <v>199</v>
      </c>
      <c r="H469" s="3" t="s">
        <v>187</v>
      </c>
      <c r="I469" s="3" t="s">
        <v>2226</v>
      </c>
      <c r="J469" s="3" t="s">
        <v>15</v>
      </c>
      <c r="K469" s="3" t="s">
        <v>3451</v>
      </c>
      <c r="L469" s="3" t="s">
        <v>3434</v>
      </c>
      <c r="M469" s="3" t="s">
        <v>2708</v>
      </c>
      <c r="N469" s="3" t="s">
        <v>3452</v>
      </c>
      <c r="O469" s="3">
        <v>0.0</v>
      </c>
    </row>
    <row r="470" ht="15.75" customHeight="1">
      <c r="A470" s="3" t="s">
        <v>3453</v>
      </c>
      <c r="B470" s="3" t="s">
        <v>3454</v>
      </c>
      <c r="C470" s="3" t="s">
        <v>3455</v>
      </c>
      <c r="D470" s="3" t="s">
        <v>3456</v>
      </c>
      <c r="E470" s="3" t="str">
        <f>IFERROR(__xludf.DUMMYFUNCTION("GOOGLETRANSLATE($D470,""EN"",""RU"")")," Зеленое яблоко")</f>
        <v> Зеленое яблоко</v>
      </c>
      <c r="F470" s="3" t="s">
        <v>1510</v>
      </c>
      <c r="G470" s="3" t="s">
        <v>199</v>
      </c>
      <c r="H470" s="3" t="s">
        <v>41</v>
      </c>
      <c r="I470" s="3" t="s">
        <v>102</v>
      </c>
      <c r="J470" s="3" t="s">
        <v>65</v>
      </c>
      <c r="K470" s="3" t="s">
        <v>2724</v>
      </c>
      <c r="L470" s="3" t="s">
        <v>2731</v>
      </c>
      <c r="M470" s="3" t="s">
        <v>2729</v>
      </c>
      <c r="N470" s="3" t="s">
        <v>2708</v>
      </c>
      <c r="O470" s="3">
        <v>2.0</v>
      </c>
    </row>
    <row r="471" ht="15.75" customHeight="1">
      <c r="A471" s="3" t="s">
        <v>468</v>
      </c>
      <c r="B471" s="3" t="s">
        <v>3457</v>
      </c>
      <c r="C471" s="3" t="s">
        <v>3458</v>
      </c>
      <c r="D471" s="3" t="s">
        <v>3459</v>
      </c>
      <c r="E471" s="3" t="str">
        <f>IFERROR(__xludf.DUMMYFUNCTION("GOOGLETRANSLATE($D471,""EN"",""RU"")")," Повтор одной кнопки")</f>
        <v> Повтор одной кнопки</v>
      </c>
      <c r="F471" s="3" t="s">
        <v>637</v>
      </c>
      <c r="G471" s="3" t="s">
        <v>199</v>
      </c>
      <c r="H471" s="3" t="s">
        <v>41</v>
      </c>
      <c r="I471" s="3" t="s">
        <v>162</v>
      </c>
      <c r="J471" s="3" t="s">
        <v>2226</v>
      </c>
      <c r="K471" s="3" t="s">
        <v>2724</v>
      </c>
      <c r="L471" s="3" t="s">
        <v>2086</v>
      </c>
      <c r="M471" s="3" t="s">
        <v>3434</v>
      </c>
      <c r="N471" s="3" t="s">
        <v>1090</v>
      </c>
      <c r="O471" s="3">
        <v>0.0</v>
      </c>
    </row>
    <row r="472" ht="15.75" customHeight="1">
      <c r="A472" s="3" t="s">
        <v>548</v>
      </c>
      <c r="B472" s="3" t="s">
        <v>3460</v>
      </c>
      <c r="C472" s="3" t="s">
        <v>3461</v>
      </c>
      <c r="D472" s="3" t="s">
        <v>3462</v>
      </c>
      <c r="E472" s="3" t="str">
        <f>IFERROR(__xludf.DUMMYFUNCTION("GOOGLETRANSLATE($D472,""EN"",""RU"")")," Кнопка затемнения")</f>
        <v> Кнопка затемнения</v>
      </c>
      <c r="F472" s="3" t="s">
        <v>637</v>
      </c>
      <c r="G472" s="3" t="s">
        <v>199</v>
      </c>
      <c r="H472" s="3" t="s">
        <v>41</v>
      </c>
      <c r="I472" s="3" t="s">
        <v>126</v>
      </c>
      <c r="J472" s="3" t="s">
        <v>41</v>
      </c>
      <c r="K472" s="3" t="s">
        <v>2724</v>
      </c>
      <c r="L472" s="3" t="s">
        <v>2730</v>
      </c>
      <c r="M472" s="3" t="s">
        <v>2724</v>
      </c>
      <c r="N472" s="3" t="s">
        <v>1425</v>
      </c>
      <c r="O472" s="3">
        <v>1.0</v>
      </c>
    </row>
    <row r="473" ht="15.75" customHeight="1">
      <c r="A473" s="3" t="s">
        <v>3463</v>
      </c>
      <c r="B473" s="3" t="s">
        <v>3464</v>
      </c>
      <c r="C473" s="3" t="s">
        <v>3465</v>
      </c>
      <c r="D473" s="3" t="s">
        <v>3466</v>
      </c>
      <c r="E473" s="3" t="str">
        <f>IFERROR(__xludf.DUMMYFUNCTION("GOOGLETRANSLATE($D473,""EN"",""RU"")")," Торнадо")</f>
        <v> Торнадо</v>
      </c>
      <c r="F473" s="3" t="s">
        <v>81</v>
      </c>
      <c r="G473" s="3" t="s">
        <v>199</v>
      </c>
      <c r="H473" s="3" t="s">
        <v>65</v>
      </c>
      <c r="I473" s="3" t="s">
        <v>41</v>
      </c>
      <c r="J473" s="3" t="s">
        <v>102</v>
      </c>
      <c r="K473" s="3" t="s">
        <v>2729</v>
      </c>
      <c r="L473" s="3" t="s">
        <v>2724</v>
      </c>
      <c r="M473" s="3" t="s">
        <v>2731</v>
      </c>
      <c r="N473" s="3" t="s">
        <v>2095</v>
      </c>
      <c r="O473" s="3">
        <v>2.0</v>
      </c>
    </row>
    <row r="474" ht="15.75" customHeight="1">
      <c r="A474" s="3" t="s">
        <v>3467</v>
      </c>
      <c r="B474" s="3" t="s">
        <v>3468</v>
      </c>
      <c r="C474" s="3" t="s">
        <v>3469</v>
      </c>
      <c r="D474" s="3" t="s">
        <v>3470</v>
      </c>
      <c r="E474" s="3" t="str">
        <f>IFERROR(__xludf.DUMMYFUNCTION("GOOGLETRANSLATE($D474,""EN"",""RU"")")," Попкорн")</f>
        <v> Попкорн</v>
      </c>
      <c r="F474" s="3" t="s">
        <v>1510</v>
      </c>
      <c r="G474" s="3" t="s">
        <v>199</v>
      </c>
      <c r="H474" s="3" t="s">
        <v>28</v>
      </c>
      <c r="I474" s="3" t="s">
        <v>102</v>
      </c>
      <c r="J474" s="3" t="s">
        <v>77</v>
      </c>
      <c r="K474" s="3" t="s">
        <v>2095</v>
      </c>
      <c r="L474" s="3" t="s">
        <v>2731</v>
      </c>
      <c r="M474" s="3" t="s">
        <v>2736</v>
      </c>
      <c r="N474" s="3" t="s">
        <v>2724</v>
      </c>
      <c r="O474" s="3">
        <v>2.0</v>
      </c>
    </row>
    <row r="475" ht="15.75" customHeight="1">
      <c r="A475" s="3" t="s">
        <v>205</v>
      </c>
      <c r="B475" s="3" t="s">
        <v>3471</v>
      </c>
      <c r="C475" s="3" t="s">
        <v>3472</v>
      </c>
      <c r="D475" s="3" t="s">
        <v>3473</v>
      </c>
      <c r="E475" s="3" t="str">
        <f>IFERROR(__xludf.DUMMYFUNCTION("GOOGLETRANSLATE($D475,""EN"",""RU"")")," Старая женщина")</f>
        <v> Старая женщина</v>
      </c>
      <c r="F475" s="3" t="s">
        <v>19</v>
      </c>
      <c r="G475" s="3" t="s">
        <v>187</v>
      </c>
      <c r="H475" s="3" t="s">
        <v>90</v>
      </c>
      <c r="I475" s="3" t="s">
        <v>53</v>
      </c>
      <c r="J475" s="3" t="s">
        <v>53</v>
      </c>
      <c r="K475" s="3" t="s">
        <v>3094</v>
      </c>
      <c r="L475" s="3" t="s">
        <v>3474</v>
      </c>
      <c r="M475" s="3" t="s">
        <v>3474</v>
      </c>
      <c r="N475" s="3" t="s">
        <v>3475</v>
      </c>
      <c r="O475" s="3">
        <v>0.0</v>
      </c>
    </row>
    <row r="476" ht="15.75" customHeight="1">
      <c r="A476" s="3" t="s">
        <v>945</v>
      </c>
      <c r="B476" s="3" t="s">
        <v>3476</v>
      </c>
      <c r="C476" s="3" t="s">
        <v>3477</v>
      </c>
      <c r="D476" s="3" t="s">
        <v>3478</v>
      </c>
      <c r="E476" s="3" t="str">
        <f>IFERROR(__xludf.DUMMYFUNCTION("GOOGLETRANSLATE($D476,""EN"",""RU"")")," Закат")</f>
        <v> Закат</v>
      </c>
      <c r="F476" s="3" t="s">
        <v>81</v>
      </c>
      <c r="G476" s="3" t="s">
        <v>187</v>
      </c>
      <c r="H476" s="3" t="s">
        <v>2226</v>
      </c>
      <c r="I476" s="3" t="s">
        <v>77</v>
      </c>
      <c r="J476" s="3" t="s">
        <v>114</v>
      </c>
      <c r="K476" s="3" t="s">
        <v>1525</v>
      </c>
      <c r="L476" s="3" t="s">
        <v>3479</v>
      </c>
      <c r="M476" s="3" t="s">
        <v>2553</v>
      </c>
      <c r="N476" s="3" t="s">
        <v>1675</v>
      </c>
      <c r="O476" s="3">
        <v>2.0</v>
      </c>
    </row>
    <row r="477" ht="15.75" customHeight="1">
      <c r="A477" s="3" t="s">
        <v>3480</v>
      </c>
      <c r="B477" s="3" t="s">
        <v>3481</v>
      </c>
      <c r="C477" s="3" t="s">
        <v>3482</v>
      </c>
      <c r="D477" s="3" t="s">
        <v>3483</v>
      </c>
      <c r="E477" s="3" t="str">
        <f>IFERROR(__xludf.DUMMYFUNCTION("GOOGLETRANSLATE($D477,""EN"",""RU"")")," Встречный автомобиль")</f>
        <v> Встречный автомобиль</v>
      </c>
      <c r="F477" s="3" t="s">
        <v>358</v>
      </c>
      <c r="G477" s="3" t="s">
        <v>187</v>
      </c>
      <c r="H477" s="3" t="s">
        <v>53</v>
      </c>
      <c r="I477" s="3" t="s">
        <v>77</v>
      </c>
      <c r="J477" s="3" t="s">
        <v>65</v>
      </c>
      <c r="K477" s="3" t="s">
        <v>3474</v>
      </c>
      <c r="L477" s="3" t="s">
        <v>3479</v>
      </c>
      <c r="M477" s="3" t="s">
        <v>2378</v>
      </c>
      <c r="N477" s="3" t="s">
        <v>3484</v>
      </c>
      <c r="O477" s="3">
        <v>1.0</v>
      </c>
    </row>
    <row r="478" ht="15.75" customHeight="1">
      <c r="A478" s="3" t="s">
        <v>3485</v>
      </c>
      <c r="B478" s="3" t="s">
        <v>3486</v>
      </c>
      <c r="C478" s="3" t="s">
        <v>3487</v>
      </c>
      <c r="D478" s="3" t="s">
        <v>3488</v>
      </c>
      <c r="E478" s="3" t="str">
        <f>IFERROR(__xludf.DUMMYFUNCTION("GOOGLETRANSLATE($D478,""EN"",""RU"")")," Флаг в отверстии")</f>
        <v> Флаг в отверстии</v>
      </c>
      <c r="F478" s="3" t="s">
        <v>358</v>
      </c>
      <c r="G478" s="3" t="s">
        <v>187</v>
      </c>
      <c r="H478" s="3" t="s">
        <v>15</v>
      </c>
      <c r="I478" s="3" t="s">
        <v>162</v>
      </c>
      <c r="J478" s="3" t="s">
        <v>15</v>
      </c>
      <c r="K478" s="3" t="s">
        <v>2247</v>
      </c>
      <c r="L478" s="3" t="s">
        <v>3489</v>
      </c>
      <c r="M478" s="3" t="s">
        <v>2247</v>
      </c>
      <c r="N478" s="3" t="s">
        <v>1425</v>
      </c>
      <c r="O478" s="3">
        <v>1.0</v>
      </c>
    </row>
    <row r="479" ht="15.75" customHeight="1">
      <c r="A479" s="3" t="s">
        <v>3490</v>
      </c>
      <c r="B479" s="3" t="s">
        <v>3491</v>
      </c>
      <c r="C479" s="3" t="s">
        <v>3492</v>
      </c>
      <c r="D479" s="3" t="s">
        <v>3493</v>
      </c>
      <c r="E479" s="3" t="str">
        <f>IFERROR(__xludf.DUMMYFUNCTION("GOOGLETRANSLATE($D479,""EN"",""RU"")")," Четки")</f>
        <v> Четки</v>
      </c>
      <c r="F479" s="3" t="s">
        <v>358</v>
      </c>
      <c r="G479" s="3" t="s">
        <v>187</v>
      </c>
      <c r="H479" s="3" t="s">
        <v>41</v>
      </c>
      <c r="I479" s="3" t="s">
        <v>15</v>
      </c>
      <c r="J479" s="3" t="s">
        <v>138</v>
      </c>
      <c r="K479" s="3" t="s">
        <v>2372</v>
      </c>
      <c r="L479" s="3" t="s">
        <v>2247</v>
      </c>
      <c r="M479" s="3" t="s">
        <v>1450</v>
      </c>
      <c r="N479" s="3" t="s">
        <v>3094</v>
      </c>
      <c r="O479" s="3">
        <v>2.0</v>
      </c>
    </row>
    <row r="480" ht="15.75" customHeight="1">
      <c r="A480" s="3" t="s">
        <v>3494</v>
      </c>
      <c r="B480" s="3" t="s">
        <v>3495</v>
      </c>
      <c r="C480" s="3" t="s">
        <v>3496</v>
      </c>
      <c r="D480" s="3" t="s">
        <v>3497</v>
      </c>
      <c r="E480" s="3" t="str">
        <f>IFERROR(__xludf.DUMMYFUNCTION("GOOGLETRANSLATE($D480,""EN"",""RU"")")," Связанные скрепки")</f>
        <v> Связанные скрепки</v>
      </c>
      <c r="F480" s="3" t="s">
        <v>358</v>
      </c>
      <c r="G480" s="3" t="s">
        <v>187</v>
      </c>
      <c r="H480" s="3" t="s">
        <v>15</v>
      </c>
      <c r="I480" s="3" t="s">
        <v>41</v>
      </c>
      <c r="J480" s="3" t="s">
        <v>138</v>
      </c>
      <c r="K480" s="3" t="s">
        <v>2247</v>
      </c>
      <c r="L480" s="3" t="s">
        <v>2372</v>
      </c>
      <c r="M480" s="3" t="s">
        <v>1450</v>
      </c>
      <c r="N480" s="3" t="s">
        <v>2553</v>
      </c>
      <c r="O480" s="3">
        <v>2.0</v>
      </c>
    </row>
    <row r="481" ht="15.75" customHeight="1">
      <c r="A481" s="3" t="s">
        <v>3498</v>
      </c>
      <c r="B481" s="3" t="s">
        <v>3499</v>
      </c>
      <c r="C481" s="3" t="s">
        <v>3500</v>
      </c>
      <c r="D481" s="3" t="s">
        <v>3501</v>
      </c>
      <c r="E481" s="3" t="str">
        <f>IFERROR(__xludf.DUMMYFUNCTION("GOOGLETRANSLATE($D481,""EN"",""RU"")")," Военная медаль")</f>
        <v> Военная медаль</v>
      </c>
      <c r="F481" s="3" t="s">
        <v>358</v>
      </c>
      <c r="G481" s="3" t="s">
        <v>187</v>
      </c>
      <c r="H481" s="3" t="s">
        <v>2226</v>
      </c>
      <c r="I481" s="3" t="s">
        <v>41</v>
      </c>
      <c r="J481" s="3" t="s">
        <v>150</v>
      </c>
      <c r="K481" s="3" t="s">
        <v>1525</v>
      </c>
      <c r="L481" s="3" t="s">
        <v>2372</v>
      </c>
      <c r="M481" s="3" t="s">
        <v>2781</v>
      </c>
      <c r="N481" s="3" t="s">
        <v>1450</v>
      </c>
      <c r="O481" s="3">
        <v>2.0</v>
      </c>
    </row>
    <row r="482" ht="15.75" customHeight="1">
      <c r="A482" s="3" t="s">
        <v>3502</v>
      </c>
      <c r="B482" s="3" t="s">
        <v>3503</v>
      </c>
      <c r="C482" s="3" t="s">
        <v>3504</v>
      </c>
      <c r="D482" s="3" t="s">
        <v>3505</v>
      </c>
      <c r="E482" s="3" t="str">
        <f>IFERROR(__xludf.DUMMYFUNCTION("GOOGLETRANSLATE($D482,""EN"",""RU"")")," Палитра художника")</f>
        <v> Палитра художника</v>
      </c>
      <c r="F482" s="3" t="s">
        <v>358</v>
      </c>
      <c r="G482" s="3" t="s">
        <v>187</v>
      </c>
      <c r="H482" s="3" t="s">
        <v>15</v>
      </c>
      <c r="I482" s="3" t="s">
        <v>65</v>
      </c>
      <c r="J482" s="3" t="s">
        <v>114</v>
      </c>
      <c r="K482" s="3" t="s">
        <v>2247</v>
      </c>
      <c r="L482" s="3" t="s">
        <v>2378</v>
      </c>
      <c r="M482" s="3" t="s">
        <v>2553</v>
      </c>
      <c r="N482" s="3" t="s">
        <v>3506</v>
      </c>
      <c r="O482" s="3">
        <v>2.0</v>
      </c>
    </row>
    <row r="483" ht="15.75" customHeight="1">
      <c r="A483" s="3" t="s">
        <v>3507</v>
      </c>
      <c r="B483" s="3" t="s">
        <v>3508</v>
      </c>
      <c r="C483" s="3" t="s">
        <v>3509</v>
      </c>
      <c r="D483" s="3" t="s">
        <v>3510</v>
      </c>
      <c r="E483" s="3" t="str">
        <f>IFERROR(__xludf.DUMMYFUNCTION("GOOGLETRANSLATE($D483,""EN"",""RU"")")," Восход")</f>
        <v> Восход</v>
      </c>
      <c r="F483" s="3" t="s">
        <v>81</v>
      </c>
      <c r="G483" s="3" t="s">
        <v>187</v>
      </c>
      <c r="H483" s="3" t="s">
        <v>2226</v>
      </c>
      <c r="I483" s="3" t="s">
        <v>28</v>
      </c>
      <c r="J483" s="3" t="s">
        <v>162</v>
      </c>
      <c r="K483" s="3" t="s">
        <v>1525</v>
      </c>
      <c r="L483" s="3" t="s">
        <v>1901</v>
      </c>
      <c r="M483" s="3" t="s">
        <v>3489</v>
      </c>
      <c r="N483" s="3" t="s">
        <v>2781</v>
      </c>
      <c r="O483" s="3">
        <v>2.0</v>
      </c>
    </row>
    <row r="484" ht="15.75" customHeight="1">
      <c r="A484" s="3" t="s">
        <v>888</v>
      </c>
      <c r="B484" s="3" t="s">
        <v>3511</v>
      </c>
      <c r="C484" s="3" t="s">
        <v>3512</v>
      </c>
      <c r="D484" s="3" t="s">
        <v>3513</v>
      </c>
      <c r="E484" s="3" t="str">
        <f>IFERROR(__xludf.DUMMYFUNCTION("GOOGLETRANSLATE($D484,""EN"",""RU"")")," Скоро Стрелка")</f>
        <v> Скоро Стрелка</v>
      </c>
      <c r="F484" s="3" t="s">
        <v>637</v>
      </c>
      <c r="G484" s="3" t="s">
        <v>187</v>
      </c>
      <c r="H484" s="3" t="s">
        <v>41</v>
      </c>
      <c r="I484" s="3" t="s">
        <v>102</v>
      </c>
      <c r="J484" s="3" t="s">
        <v>53</v>
      </c>
      <c r="K484" s="3" t="s">
        <v>2372</v>
      </c>
      <c r="L484" s="3" t="s">
        <v>1675</v>
      </c>
      <c r="M484" s="3" t="s">
        <v>3474</v>
      </c>
      <c r="N484" s="3" t="s">
        <v>3514</v>
      </c>
      <c r="O484" s="3">
        <v>1.0</v>
      </c>
    </row>
    <row r="485" ht="15.75" customHeight="1">
      <c r="A485" s="3" t="s">
        <v>640</v>
      </c>
      <c r="B485" s="3" t="s">
        <v>3515</v>
      </c>
      <c r="C485" s="3" t="s">
        <v>3516</v>
      </c>
      <c r="D485" s="3" t="s">
        <v>3517</v>
      </c>
      <c r="E485" s="3" t="str">
        <f>IFERROR(__xludf.DUMMYFUNCTION("GOOGLETRANSLATE($D485,""EN"",""RU"")")," Блеск")</f>
        <v> Блеск</v>
      </c>
      <c r="F485" s="3" t="s">
        <v>637</v>
      </c>
      <c r="G485" s="3" t="s">
        <v>187</v>
      </c>
      <c r="H485" s="3" t="s">
        <v>2226</v>
      </c>
      <c r="I485" s="3" t="s">
        <v>77</v>
      </c>
      <c r="J485" s="3" t="s">
        <v>114</v>
      </c>
      <c r="K485" s="3" t="s">
        <v>1525</v>
      </c>
      <c r="L485" s="3" t="s">
        <v>3479</v>
      </c>
      <c r="M485" s="3" t="s">
        <v>2553</v>
      </c>
      <c r="N485" s="3" t="s">
        <v>1675</v>
      </c>
      <c r="O485" s="3">
        <v>2.0</v>
      </c>
    </row>
    <row r="486" ht="15.75" customHeight="1">
      <c r="A486" s="3" t="s">
        <v>3518</v>
      </c>
      <c r="B486" s="3" t="s">
        <v>3519</v>
      </c>
      <c r="C486" s="3" t="s">
        <v>3520</v>
      </c>
      <c r="D486" s="3" t="s">
        <v>3521</v>
      </c>
      <c r="E486" s="3" t="str">
        <f>IFERROR(__xludf.DUMMYFUNCTION("GOOGLETRANSLATE($D486,""EN"",""RU"")")," Символ регионального индикатора, буква R")</f>
        <v> Символ регионального индикатора, буква R</v>
      </c>
      <c r="F486" s="3" t="s">
        <v>637</v>
      </c>
      <c r="G486" s="3" t="s">
        <v>187</v>
      </c>
      <c r="H486" s="3" t="s">
        <v>65</v>
      </c>
      <c r="I486" s="3" t="s">
        <v>114</v>
      </c>
      <c r="J486" s="3" t="s">
        <v>15</v>
      </c>
      <c r="K486" s="3" t="s">
        <v>2378</v>
      </c>
      <c r="L486" s="3" t="s">
        <v>2553</v>
      </c>
      <c r="M486" s="3" t="s">
        <v>2247</v>
      </c>
      <c r="N486" s="3" t="s">
        <v>3522</v>
      </c>
      <c r="O486" s="3">
        <v>0.0</v>
      </c>
    </row>
    <row r="487" ht="15.75" customHeight="1">
      <c r="A487" s="3" t="s">
        <v>3523</v>
      </c>
      <c r="B487" s="3" t="s">
        <v>3524</v>
      </c>
      <c r="C487" s="3" t="s">
        <v>3525</v>
      </c>
      <c r="D487" s="3" t="s">
        <v>3526</v>
      </c>
      <c r="E487" s="3" t="str">
        <f>IFERROR(__xludf.DUMMYFUNCTION("GOOGLETRANSLATE($D487,""EN"",""RU"")")," Следы")</f>
        <v> Следы</v>
      </c>
      <c r="F487" s="3" t="s">
        <v>637</v>
      </c>
      <c r="G487" s="3" t="s">
        <v>187</v>
      </c>
      <c r="H487" s="3" t="s">
        <v>126</v>
      </c>
      <c r="I487" s="3" t="s">
        <v>15</v>
      </c>
      <c r="J487" s="3" t="s">
        <v>53</v>
      </c>
      <c r="K487" s="3" t="s">
        <v>3527</v>
      </c>
      <c r="L487" s="3" t="s">
        <v>2247</v>
      </c>
      <c r="M487" s="3" t="s">
        <v>3474</v>
      </c>
      <c r="N487" s="3" t="s">
        <v>3528</v>
      </c>
      <c r="O487" s="3">
        <v>0.0</v>
      </c>
    </row>
    <row r="488" ht="15.75" customHeight="1">
      <c r="A488" s="3" t="s">
        <v>3529</v>
      </c>
      <c r="B488" s="3" t="s">
        <v>3530</v>
      </c>
      <c r="C488" s="3" t="s">
        <v>3531</v>
      </c>
      <c r="D488" s="3" t="s">
        <v>3532</v>
      </c>
      <c r="E488" s="3" t="str">
        <f>IFERROR(__xludf.DUMMYFUNCTION("GOOGLETRANSLATE($D488,""EN"",""RU"")")," Символ регионального индикатора, буква I")</f>
        <v> Символ регионального индикатора, буква I</v>
      </c>
      <c r="F488" s="3" t="s">
        <v>637</v>
      </c>
      <c r="G488" s="3" t="s">
        <v>174</v>
      </c>
      <c r="H488" s="3" t="s">
        <v>65</v>
      </c>
      <c r="I488" s="3" t="s">
        <v>41</v>
      </c>
      <c r="J488" s="3" t="s">
        <v>77</v>
      </c>
      <c r="K488" s="3" t="s">
        <v>3533</v>
      </c>
      <c r="L488" s="3" t="s">
        <v>2426</v>
      </c>
      <c r="M488" s="3" t="s">
        <v>2434</v>
      </c>
      <c r="N488" s="3" t="s">
        <v>3534</v>
      </c>
      <c r="O488" s="3">
        <v>1.0</v>
      </c>
    </row>
    <row r="489" ht="15.75" customHeight="1">
      <c r="A489" s="3" t="s">
        <v>3535</v>
      </c>
      <c r="B489" s="3" t="s">
        <v>3536</v>
      </c>
      <c r="C489" s="3" t="s">
        <v>3537</v>
      </c>
      <c r="D489" s="3" t="s">
        <v>3538</v>
      </c>
      <c r="E489" s="3" t="str">
        <f>IFERROR(__xludf.DUMMYFUNCTION("GOOGLETRANSLATE($D489,""EN"",""RU"")")," Женские сандалии")</f>
        <v> Женские сандалии</v>
      </c>
      <c r="F489" s="3" t="s">
        <v>358</v>
      </c>
      <c r="G489" s="3" t="s">
        <v>174</v>
      </c>
      <c r="H489" s="3" t="s">
        <v>150</v>
      </c>
      <c r="I489" s="3" t="s">
        <v>28</v>
      </c>
      <c r="J489" s="3" t="s">
        <v>2226</v>
      </c>
      <c r="K489" s="3" t="s">
        <v>3539</v>
      </c>
      <c r="L489" s="3" t="s">
        <v>2019</v>
      </c>
      <c r="M489" s="3" t="s">
        <v>3540</v>
      </c>
      <c r="N489" s="3" t="s">
        <v>3541</v>
      </c>
      <c r="O489" s="3">
        <v>0.0</v>
      </c>
    </row>
    <row r="490" ht="15.75" customHeight="1">
      <c r="A490" s="3" t="s">
        <v>3542</v>
      </c>
      <c r="B490" s="3" t="s">
        <v>3543</v>
      </c>
      <c r="C490" s="3" t="s">
        <v>3544</v>
      </c>
      <c r="D490" s="3" t="s">
        <v>3545</v>
      </c>
      <c r="E490" s="3" t="str">
        <f>IFERROR(__xludf.DUMMYFUNCTION("GOOGLETRANSLATE($D490,""EN"",""RU"")")," Черный флаг")</f>
        <v> Черный флаг</v>
      </c>
      <c r="F490" s="3" t="s">
        <v>559</v>
      </c>
      <c r="G490" s="3" t="s">
        <v>174</v>
      </c>
      <c r="H490" s="3" t="s">
        <v>53</v>
      </c>
      <c r="I490" s="3" t="s">
        <v>28</v>
      </c>
      <c r="J490" s="3" t="s">
        <v>102</v>
      </c>
      <c r="K490" s="3" t="s">
        <v>3546</v>
      </c>
      <c r="L490" s="3" t="s">
        <v>2019</v>
      </c>
      <c r="M490" s="3" t="s">
        <v>3547</v>
      </c>
      <c r="N490" s="3" t="s">
        <v>2426</v>
      </c>
      <c r="O490" s="3">
        <v>2.0</v>
      </c>
    </row>
    <row r="491" ht="15.75" customHeight="1">
      <c r="A491" s="3" t="s">
        <v>3548</v>
      </c>
      <c r="B491" s="3" t="s">
        <v>3549</v>
      </c>
      <c r="C491" s="3" t="s">
        <v>3550</v>
      </c>
      <c r="D491" s="3" t="s">
        <v>3551</v>
      </c>
      <c r="E491" s="3" t="str">
        <f>IFERROR(__xludf.DUMMYFUNCTION("GOOGLETRANSLATE($D491,""EN"",""RU"")")," Белый Средний-Маленький Квадрат")</f>
        <v> Белый Средний-Маленький Квадрат</v>
      </c>
      <c r="F491" s="3" t="s">
        <v>637</v>
      </c>
      <c r="G491" s="3" t="s">
        <v>174</v>
      </c>
      <c r="H491" s="3" t="s">
        <v>28</v>
      </c>
      <c r="I491" s="3" t="s">
        <v>90</v>
      </c>
      <c r="J491" s="3" t="s">
        <v>65</v>
      </c>
      <c r="K491" s="3" t="s">
        <v>2019</v>
      </c>
      <c r="L491" s="3" t="s">
        <v>2849</v>
      </c>
      <c r="M491" s="3" t="s">
        <v>3533</v>
      </c>
      <c r="N491" s="3" t="s">
        <v>2019</v>
      </c>
      <c r="O491" s="3">
        <v>2.0</v>
      </c>
    </row>
    <row r="492" ht="15.75" customHeight="1">
      <c r="A492" s="3" t="s">
        <v>3552</v>
      </c>
      <c r="B492" s="3" t="s">
        <v>3553</v>
      </c>
      <c r="C492" s="3" t="s">
        <v>3554</v>
      </c>
      <c r="D492" s="3" t="s">
        <v>3555</v>
      </c>
      <c r="E492" s="3" t="str">
        <f>IFERROR(__xludf.DUMMYFUNCTION("GOOGLETRANSLATE($D492,""EN"",""RU"")")," Дания")</f>
        <v> Дания</v>
      </c>
      <c r="F492" s="3" t="s">
        <v>559</v>
      </c>
      <c r="G492" s="3" t="s">
        <v>174</v>
      </c>
      <c r="H492" s="3" t="s">
        <v>2226</v>
      </c>
      <c r="I492" s="3" t="s">
        <v>174</v>
      </c>
      <c r="J492" s="3" t="s">
        <v>2226</v>
      </c>
      <c r="K492" s="3" t="s">
        <v>3540</v>
      </c>
      <c r="L492" s="3" t="s">
        <v>3556</v>
      </c>
      <c r="M492" s="3" t="s">
        <v>3540</v>
      </c>
      <c r="N492" s="3" t="s">
        <v>1425</v>
      </c>
      <c r="O492" s="3">
        <v>1.0</v>
      </c>
    </row>
    <row r="493" ht="15.75" customHeight="1">
      <c r="A493" s="3" t="s">
        <v>3557</v>
      </c>
      <c r="B493" s="3" t="s">
        <v>3558</v>
      </c>
      <c r="C493" s="3" t="s">
        <v>3559</v>
      </c>
      <c r="D493" s="3" t="s">
        <v>3560</v>
      </c>
      <c r="E493" s="3" t="str">
        <f>IFERROR(__xludf.DUMMYFUNCTION("GOOGLETRANSLATE($D493,""EN"",""RU"")")," Аргентина")</f>
        <v> Аргентина</v>
      </c>
      <c r="F493" s="3" t="s">
        <v>559</v>
      </c>
      <c r="G493" s="3" t="s">
        <v>174</v>
      </c>
      <c r="H493" s="3" t="s">
        <v>41</v>
      </c>
      <c r="I493" s="3" t="s">
        <v>53</v>
      </c>
      <c r="J493" s="3" t="s">
        <v>90</v>
      </c>
      <c r="K493" s="3" t="s">
        <v>2426</v>
      </c>
      <c r="L493" s="3" t="s">
        <v>3546</v>
      </c>
      <c r="M493" s="3" t="s">
        <v>2849</v>
      </c>
      <c r="N493" s="3" t="s">
        <v>2426</v>
      </c>
      <c r="O493" s="3">
        <v>2.0</v>
      </c>
    </row>
    <row r="494" ht="15.75" customHeight="1">
      <c r="A494" s="3" t="s">
        <v>71</v>
      </c>
      <c r="B494" s="3" t="s">
        <v>3561</v>
      </c>
      <c r="C494" s="3" t="s">
        <v>3562</v>
      </c>
      <c r="D494" s="3" t="s">
        <v>3563</v>
      </c>
      <c r="E494" s="3" t="str">
        <f>IFERROR(__xludf.DUMMYFUNCTION("GOOGLETRANSLATE($D494,""EN"",""RU"")")," Закрытая книга")</f>
        <v> Закрытая книга</v>
      </c>
      <c r="F494" s="3" t="s">
        <v>358</v>
      </c>
      <c r="G494" s="3" t="s">
        <v>174</v>
      </c>
      <c r="H494" s="3" t="s">
        <v>15</v>
      </c>
      <c r="I494" s="3" t="s">
        <v>150</v>
      </c>
      <c r="J494" s="3" t="s">
        <v>15</v>
      </c>
      <c r="K494" s="3" t="s">
        <v>1909</v>
      </c>
      <c r="L494" s="3" t="s">
        <v>3539</v>
      </c>
      <c r="M494" s="3" t="s">
        <v>1909</v>
      </c>
      <c r="N494" s="3" t="s">
        <v>1425</v>
      </c>
      <c r="O494" s="3">
        <v>1.0</v>
      </c>
    </row>
    <row r="495" ht="15.75" customHeight="1">
      <c r="A495" s="3" t="s">
        <v>3564</v>
      </c>
      <c r="B495" s="3" t="s">
        <v>3565</v>
      </c>
      <c r="C495" s="3" t="s">
        <v>3566</v>
      </c>
      <c r="D495" s="3" t="s">
        <v>3567</v>
      </c>
      <c r="E495" s="3" t="str">
        <f>IFERROR(__xludf.DUMMYFUNCTION("GOOGLETRANSLATE($D495,""EN"",""RU"")")," Внедорожник")</f>
        <v> Внедорожник</v>
      </c>
      <c r="F495" s="3" t="s">
        <v>358</v>
      </c>
      <c r="G495" s="3" t="s">
        <v>174</v>
      </c>
      <c r="H495" s="3" t="s">
        <v>41</v>
      </c>
      <c r="I495" s="3" t="s">
        <v>28</v>
      </c>
      <c r="J495" s="3" t="s">
        <v>114</v>
      </c>
      <c r="K495" s="3" t="s">
        <v>2426</v>
      </c>
      <c r="L495" s="3" t="s">
        <v>2019</v>
      </c>
      <c r="M495" s="3" t="s">
        <v>2837</v>
      </c>
      <c r="N495" s="3" t="s">
        <v>3533</v>
      </c>
      <c r="O495" s="3">
        <v>2.0</v>
      </c>
    </row>
    <row r="496" ht="15.75" customHeight="1">
      <c r="A496" s="3" t="s">
        <v>3568</v>
      </c>
      <c r="B496" s="3" t="s">
        <v>3569</v>
      </c>
      <c r="C496" s="3" t="s">
        <v>3570</v>
      </c>
      <c r="D496" s="3" t="s">
        <v>3571</v>
      </c>
      <c r="E496" s="3" t="str">
        <f>IFERROR(__xludf.DUMMYFUNCTION("GOOGLETRANSLATE($D496,""EN"",""RU"")")," Товарный знак")</f>
        <v> Товарный знак</v>
      </c>
      <c r="F496" s="3" t="s">
        <v>637</v>
      </c>
      <c r="G496" s="3" t="s">
        <v>174</v>
      </c>
      <c r="H496" s="3" t="s">
        <v>53</v>
      </c>
      <c r="I496" s="3" t="s">
        <v>102</v>
      </c>
      <c r="J496" s="3" t="s">
        <v>28</v>
      </c>
      <c r="K496" s="3" t="s">
        <v>3546</v>
      </c>
      <c r="L496" s="3" t="s">
        <v>3547</v>
      </c>
      <c r="M496" s="3" t="s">
        <v>2019</v>
      </c>
      <c r="N496" s="3" t="s">
        <v>2839</v>
      </c>
      <c r="O496" s="3">
        <v>0.0</v>
      </c>
    </row>
    <row r="497" ht="15.75" customHeight="1">
      <c r="A497" s="3" t="s">
        <v>3572</v>
      </c>
      <c r="B497" s="3" t="s">
        <v>3573</v>
      </c>
      <c r="C497" s="3" t="s">
        <v>3574</v>
      </c>
      <c r="D497" s="3" t="s">
        <v>3575</v>
      </c>
      <c r="E497" s="3" t="str">
        <f>IFERROR(__xludf.DUMMYFUNCTION("GOOGLETRANSLATE($D497,""EN"",""RU"")")," Бутылочки")</f>
        <v> Бутылочки</v>
      </c>
      <c r="F497" s="3" t="s">
        <v>1510</v>
      </c>
      <c r="G497" s="3" t="s">
        <v>174</v>
      </c>
      <c r="H497" s="3" t="s">
        <v>90</v>
      </c>
      <c r="I497" s="3" t="s">
        <v>15</v>
      </c>
      <c r="J497" s="3" t="s">
        <v>77</v>
      </c>
      <c r="K497" s="3" t="s">
        <v>2849</v>
      </c>
      <c r="L497" s="3" t="s">
        <v>1909</v>
      </c>
      <c r="M497" s="3" t="s">
        <v>2434</v>
      </c>
      <c r="N497" s="3" t="s">
        <v>3576</v>
      </c>
      <c r="O497" s="3">
        <v>1.0</v>
      </c>
    </row>
    <row r="498" ht="15.75" customHeight="1">
      <c r="A498" s="3" t="s">
        <v>3577</v>
      </c>
      <c r="B498" s="3" t="s">
        <v>3578</v>
      </c>
      <c r="C498" s="3" t="s">
        <v>3579</v>
      </c>
      <c r="D498" s="3" t="s">
        <v>3580</v>
      </c>
      <c r="E498" s="3" t="str">
        <f>IFERROR(__xludf.DUMMYFUNCTION("GOOGLETRANSLATE($D498,""EN"",""RU"")")," Ножка птицы")</f>
        <v> Ножка птицы</v>
      </c>
      <c r="F498" s="3" t="s">
        <v>1510</v>
      </c>
      <c r="G498" s="3" t="s">
        <v>174</v>
      </c>
      <c r="H498" s="3" t="s">
        <v>15</v>
      </c>
      <c r="I498" s="3" t="s">
        <v>90</v>
      </c>
      <c r="J498" s="3" t="s">
        <v>77</v>
      </c>
      <c r="K498" s="3" t="s">
        <v>1909</v>
      </c>
      <c r="L498" s="3" t="s">
        <v>2849</v>
      </c>
      <c r="M498" s="3" t="s">
        <v>2434</v>
      </c>
      <c r="N498" s="3" t="s">
        <v>3581</v>
      </c>
      <c r="O498" s="3">
        <v>2.0</v>
      </c>
    </row>
    <row r="499" ht="15.75" customHeight="1">
      <c r="A499" s="3" t="s">
        <v>3582</v>
      </c>
      <c r="B499" s="3" t="s">
        <v>3583</v>
      </c>
      <c r="C499" s="3" t="s">
        <v>3584</v>
      </c>
      <c r="D499" s="3" t="s">
        <v>3585</v>
      </c>
      <c r="E499" s="3" t="str">
        <f>IFERROR(__xludf.DUMMYFUNCTION("GOOGLETRANSLATE($D499,""EN"",""RU"")")," Бокал для вина")</f>
        <v> Бокал для вина</v>
      </c>
      <c r="F499" s="3" t="s">
        <v>1510</v>
      </c>
      <c r="G499" s="3" t="s">
        <v>174</v>
      </c>
      <c r="H499" s="3" t="s">
        <v>53</v>
      </c>
      <c r="I499" s="3" t="s">
        <v>53</v>
      </c>
      <c r="J499" s="3" t="s">
        <v>77</v>
      </c>
      <c r="K499" s="3" t="s">
        <v>3546</v>
      </c>
      <c r="L499" s="3" t="s">
        <v>3546</v>
      </c>
      <c r="M499" s="3" t="s">
        <v>2434</v>
      </c>
      <c r="N499" s="3" t="s">
        <v>3586</v>
      </c>
      <c r="O499" s="3">
        <v>2.0</v>
      </c>
    </row>
    <row r="500" ht="15.75" customHeight="1">
      <c r="A500" s="3" t="s">
        <v>3587</v>
      </c>
      <c r="B500" s="3" t="s">
        <v>3588</v>
      </c>
      <c r="C500" s="3" t="s">
        <v>3589</v>
      </c>
      <c r="D500" s="3" t="s">
        <v>3590</v>
      </c>
      <c r="E500" s="3" t="str">
        <f>IFERROR(__xludf.DUMMYFUNCTION("GOOGLETRANSLATE($D500,""EN"",""RU"")")," Бюсты в силуэте")</f>
        <v> Бюсты в силуэте</v>
      </c>
      <c r="F500" s="3" t="s">
        <v>2649</v>
      </c>
      <c r="G500" s="3" t="s">
        <v>174</v>
      </c>
      <c r="H500" s="3" t="s">
        <v>41</v>
      </c>
      <c r="I500" s="3" t="s">
        <v>102</v>
      </c>
      <c r="J500" s="3" t="s">
        <v>41</v>
      </c>
      <c r="K500" s="3" t="s">
        <v>2426</v>
      </c>
      <c r="L500" s="3" t="s">
        <v>3547</v>
      </c>
      <c r="M500" s="3" t="s">
        <v>2426</v>
      </c>
      <c r="N500" s="3" t="s">
        <v>1425</v>
      </c>
      <c r="O500" s="3">
        <v>1.0</v>
      </c>
    </row>
    <row r="501" ht="15.75" customHeight="1">
      <c r="A501" s="3" t="s">
        <v>3591</v>
      </c>
      <c r="B501" s="3" t="s">
        <v>3592</v>
      </c>
      <c r="C501" s="3" t="s">
        <v>3593</v>
      </c>
      <c r="D501" s="3" t="s">
        <v>3594</v>
      </c>
      <c r="E501" s="3" t="str">
        <f>IFERROR(__xludf.DUMMYFUNCTION("GOOGLETRANSLATE($D501,""EN"",""RU"")")," Две женщины держатся за руки")</f>
        <v> Две женщины держатся за руки</v>
      </c>
      <c r="F501" s="3" t="s">
        <v>2649</v>
      </c>
      <c r="G501" s="3" t="s">
        <v>174</v>
      </c>
      <c r="H501" s="3" t="s">
        <v>15</v>
      </c>
      <c r="I501" s="3" t="s">
        <v>41</v>
      </c>
      <c r="J501" s="3" t="s">
        <v>126</v>
      </c>
      <c r="K501" s="3" t="s">
        <v>1909</v>
      </c>
      <c r="L501" s="3" t="s">
        <v>2426</v>
      </c>
      <c r="M501" s="3" t="s">
        <v>2421</v>
      </c>
      <c r="N501" s="3" t="s">
        <v>3547</v>
      </c>
      <c r="O501" s="3">
        <v>2.0</v>
      </c>
    </row>
    <row r="502" ht="15.75" customHeight="1">
      <c r="A502" s="3" t="s">
        <v>3595</v>
      </c>
      <c r="B502" s="3" t="s">
        <v>3596</v>
      </c>
      <c r="C502" s="3" t="s">
        <v>3597</v>
      </c>
      <c r="D502" s="3" t="s">
        <v>3598</v>
      </c>
      <c r="E502" s="3" t="str">
        <f>IFERROR(__xludf.DUMMYFUNCTION("GOOGLETRANSLATE($D502,""EN"",""RU"")")," Кот")</f>
        <v> Кот</v>
      </c>
      <c r="F502" s="3" t="s">
        <v>81</v>
      </c>
      <c r="G502" s="3" t="s">
        <v>174</v>
      </c>
      <c r="H502" s="3" t="s">
        <v>77</v>
      </c>
      <c r="I502" s="3" t="s">
        <v>28</v>
      </c>
      <c r="J502" s="3" t="s">
        <v>77</v>
      </c>
      <c r="K502" s="3" t="s">
        <v>2434</v>
      </c>
      <c r="L502" s="3" t="s">
        <v>2019</v>
      </c>
      <c r="M502" s="3" t="s">
        <v>2434</v>
      </c>
      <c r="N502" s="3" t="s">
        <v>1425</v>
      </c>
      <c r="O502" s="3">
        <v>1.0</v>
      </c>
    </row>
    <row r="503" ht="15.75" customHeight="1">
      <c r="A503" s="3" t="s">
        <v>3599</v>
      </c>
      <c r="B503" s="3" t="s">
        <v>3600</v>
      </c>
      <c r="C503" s="3" t="s">
        <v>3601</v>
      </c>
      <c r="D503" s="3" t="s">
        <v>3602</v>
      </c>
      <c r="E503" s="3" t="str">
        <f>IFERROR(__xludf.DUMMYFUNCTION("GOOGLETRANSLATE($D503,""EN"",""RU"")")," Лицо кролика")</f>
        <v> Лицо кролика</v>
      </c>
      <c r="F503" s="3" t="s">
        <v>81</v>
      </c>
      <c r="G503" s="3" t="s">
        <v>174</v>
      </c>
      <c r="H503" s="3" t="s">
        <v>28</v>
      </c>
      <c r="I503" s="3" t="s">
        <v>53</v>
      </c>
      <c r="J503" s="3" t="s">
        <v>102</v>
      </c>
      <c r="K503" s="3" t="s">
        <v>2019</v>
      </c>
      <c r="L503" s="3" t="s">
        <v>3546</v>
      </c>
      <c r="M503" s="3" t="s">
        <v>3547</v>
      </c>
      <c r="N503" s="3" t="s">
        <v>3603</v>
      </c>
      <c r="O503" s="3">
        <v>2.0</v>
      </c>
    </row>
    <row r="504" ht="15.75" customHeight="1">
      <c r="A504" s="3" t="s">
        <v>3604</v>
      </c>
      <c r="B504" s="3" t="s">
        <v>3605</v>
      </c>
      <c r="C504" s="3" t="s">
        <v>3606</v>
      </c>
      <c r="D504" s="3" t="s">
        <v>3607</v>
      </c>
      <c r="E504" s="3" t="str">
        <f>IFERROR(__xludf.DUMMYFUNCTION("GOOGLETRANSLATE($D504,""EN"",""RU"")")," Морда")</f>
        <v> Морда</v>
      </c>
      <c r="F504" s="3" t="s">
        <v>81</v>
      </c>
      <c r="G504" s="3" t="s">
        <v>174</v>
      </c>
      <c r="H504" s="3" t="s">
        <v>77</v>
      </c>
      <c r="I504" s="3" t="s">
        <v>53</v>
      </c>
      <c r="J504" s="3" t="s">
        <v>53</v>
      </c>
      <c r="K504" s="3" t="s">
        <v>2434</v>
      </c>
      <c r="L504" s="3" t="s">
        <v>3546</v>
      </c>
      <c r="M504" s="3" t="s">
        <v>3546</v>
      </c>
      <c r="N504" s="3" t="s">
        <v>3608</v>
      </c>
      <c r="O504" s="3">
        <v>0.0</v>
      </c>
    </row>
    <row r="505" ht="15.75" customHeight="1">
      <c r="A505" s="3" t="s">
        <v>3609</v>
      </c>
      <c r="B505" s="3" t="s">
        <v>3610</v>
      </c>
      <c r="C505" s="3" t="s">
        <v>3611</v>
      </c>
      <c r="D505" s="3" t="s">
        <v>3612</v>
      </c>
      <c r="E505" s="3" t="str">
        <f>IFERROR(__xludf.DUMMYFUNCTION("GOOGLETRANSLATE($D505,""EN"",""RU"")")," Лицо с денежным ртом")</f>
        <v> Лицо с денежным ртом</v>
      </c>
      <c r="F505" s="3" t="s">
        <v>19</v>
      </c>
      <c r="G505" s="3" t="s">
        <v>162</v>
      </c>
      <c r="H505" s="3" t="s">
        <v>41</v>
      </c>
      <c r="I505" s="3" t="s">
        <v>102</v>
      </c>
      <c r="J505" s="3" t="s">
        <v>28</v>
      </c>
      <c r="K505" s="3" t="s">
        <v>1798</v>
      </c>
      <c r="L505" s="3" t="s">
        <v>1253</v>
      </c>
      <c r="M505" s="3" t="s">
        <v>2473</v>
      </c>
      <c r="N505" s="3" t="s">
        <v>3613</v>
      </c>
      <c r="O505" s="3">
        <v>1.0</v>
      </c>
    </row>
    <row r="506" ht="15.75" customHeight="1">
      <c r="A506" s="3" t="s">
        <v>3614</v>
      </c>
      <c r="B506" s="3" t="s">
        <v>3615</v>
      </c>
      <c r="C506" s="3" t="s">
        <v>3616</v>
      </c>
      <c r="D506" s="3" t="s">
        <v>3617</v>
      </c>
      <c r="E506" s="3" t="str">
        <f>IFERROR(__xludf.DUMMYFUNCTION("GOOGLETRANSLATE($D506,""EN"",""RU"")")," Радио")</f>
        <v> Радио</v>
      </c>
      <c r="F506" s="3" t="s">
        <v>358</v>
      </c>
      <c r="G506" s="3" t="s">
        <v>162</v>
      </c>
      <c r="H506" s="3" t="s">
        <v>77</v>
      </c>
      <c r="I506" s="3" t="s">
        <v>77</v>
      </c>
      <c r="J506" s="3" t="s">
        <v>15</v>
      </c>
      <c r="K506" s="3" t="s">
        <v>3618</v>
      </c>
      <c r="L506" s="3" t="s">
        <v>3618</v>
      </c>
      <c r="M506" s="3" t="s">
        <v>2463</v>
      </c>
      <c r="N506" s="3" t="s">
        <v>3619</v>
      </c>
      <c r="O506" s="3">
        <v>0.0</v>
      </c>
    </row>
    <row r="507" ht="15.75" customHeight="1">
      <c r="A507" s="3" t="s">
        <v>3620</v>
      </c>
      <c r="B507" s="3" t="s">
        <v>3621</v>
      </c>
      <c r="C507" s="3" t="s">
        <v>3622</v>
      </c>
      <c r="D507" s="3" t="s">
        <v>3623</v>
      </c>
      <c r="E507" s="3" t="str">
        <f>IFERROR(__xludf.DUMMYFUNCTION("GOOGLETRANSLATE($D507,""EN"",""RU"")")," Посыльный Белл")</f>
        <v> Посыльный Белл</v>
      </c>
      <c r="F507" s="3" t="s">
        <v>358</v>
      </c>
      <c r="G507" s="3" t="s">
        <v>162</v>
      </c>
      <c r="H507" s="3" t="s">
        <v>28</v>
      </c>
      <c r="I507" s="3" t="s">
        <v>114</v>
      </c>
      <c r="J507" s="3" t="s">
        <v>28</v>
      </c>
      <c r="K507" s="3" t="s">
        <v>2473</v>
      </c>
      <c r="L507" s="3" t="s">
        <v>1950</v>
      </c>
      <c r="M507" s="3" t="s">
        <v>2473</v>
      </c>
      <c r="N507" s="3" t="s">
        <v>1425</v>
      </c>
      <c r="O507" s="3">
        <v>1.0</v>
      </c>
    </row>
    <row r="508" ht="15.75" customHeight="1">
      <c r="A508" s="3" t="s">
        <v>3624</v>
      </c>
      <c r="B508" s="3" t="s">
        <v>3625</v>
      </c>
      <c r="C508" s="3" t="s">
        <v>3626</v>
      </c>
      <c r="D508" s="3" t="s">
        <v>3627</v>
      </c>
      <c r="E508" s="3" t="str">
        <f>IFERROR(__xludf.DUMMYFUNCTION("GOOGLETRANSLATE($D508,""EN"",""RU"")")," Ключ")</f>
        <v> Ключ</v>
      </c>
      <c r="F508" s="3" t="s">
        <v>358</v>
      </c>
      <c r="G508" s="3" t="s">
        <v>162</v>
      </c>
      <c r="H508" s="3" t="s">
        <v>41</v>
      </c>
      <c r="I508" s="3" t="s">
        <v>53</v>
      </c>
      <c r="J508" s="3" t="s">
        <v>77</v>
      </c>
      <c r="K508" s="3" t="s">
        <v>1798</v>
      </c>
      <c r="L508" s="3" t="s">
        <v>2903</v>
      </c>
      <c r="M508" s="3" t="s">
        <v>3618</v>
      </c>
      <c r="N508" s="3" t="s">
        <v>2473</v>
      </c>
      <c r="O508" s="3">
        <v>2.0</v>
      </c>
    </row>
    <row r="509" ht="15.75" customHeight="1">
      <c r="A509" s="3" t="s">
        <v>782</v>
      </c>
      <c r="B509" s="3" t="s">
        <v>3628</v>
      </c>
      <c r="C509" s="3" t="s">
        <v>3629</v>
      </c>
      <c r="D509" s="3" t="s">
        <v>3630</v>
      </c>
      <c r="E509" s="3" t="str">
        <f>IFERROR(__xludf.DUMMYFUNCTION("GOOGLETRANSLATE($D509,""EN"",""RU"")")," Птица")</f>
        <v> Птица</v>
      </c>
      <c r="F509" s="3" t="s">
        <v>81</v>
      </c>
      <c r="G509" s="3" t="s">
        <v>162</v>
      </c>
      <c r="H509" s="3" t="s">
        <v>65</v>
      </c>
      <c r="I509" s="3" t="s">
        <v>15</v>
      </c>
      <c r="J509" s="3" t="s">
        <v>90</v>
      </c>
      <c r="K509" s="3" t="s">
        <v>1259</v>
      </c>
      <c r="L509" s="3" t="s">
        <v>2463</v>
      </c>
      <c r="M509" s="3" t="s">
        <v>1675</v>
      </c>
      <c r="N509" s="3" t="s">
        <v>2463</v>
      </c>
      <c r="O509" s="3">
        <v>2.0</v>
      </c>
    </row>
    <row r="510" ht="15.75" customHeight="1">
      <c r="A510" s="3" t="s">
        <v>3631</v>
      </c>
      <c r="B510" s="3" t="s">
        <v>3632</v>
      </c>
      <c r="C510" s="3" t="s">
        <v>3633</v>
      </c>
      <c r="D510" s="3" t="s">
        <v>3634</v>
      </c>
      <c r="E510" s="3" t="str">
        <f>IFERROR(__xludf.DUMMYFUNCTION("GOOGLETRANSLATE($D510,""EN"",""RU"")")," Лицо в ковбойской шляпе")</f>
        <v> Лицо в ковбойской шляпе</v>
      </c>
      <c r="F510" s="3" t="s">
        <v>19</v>
      </c>
      <c r="G510" s="3" t="s">
        <v>162</v>
      </c>
      <c r="H510" s="3" t="s">
        <v>150</v>
      </c>
      <c r="I510" s="3" t="s">
        <v>15</v>
      </c>
      <c r="J510" s="3" t="s">
        <v>2226</v>
      </c>
      <c r="K510" s="3" t="s">
        <v>3635</v>
      </c>
      <c r="L510" s="3" t="s">
        <v>2463</v>
      </c>
      <c r="M510" s="3" t="s">
        <v>1952</v>
      </c>
      <c r="N510" s="3" t="s">
        <v>2059</v>
      </c>
      <c r="O510" s="3">
        <v>0.0</v>
      </c>
    </row>
    <row r="511" ht="15.75" customHeight="1">
      <c r="A511" s="3" t="s">
        <v>3636</v>
      </c>
      <c r="B511" s="3" t="s">
        <v>3637</v>
      </c>
      <c r="C511" s="3" t="s">
        <v>3638</v>
      </c>
      <c r="D511" s="3" t="s">
        <v>3639</v>
      </c>
      <c r="E511" s="3" t="str">
        <f>IFERROR(__xludf.DUMMYFUNCTION("GOOGLETRANSLATE($D511,""EN"",""RU"")")," Ноутбук")</f>
        <v> Ноутбук</v>
      </c>
      <c r="F511" s="3" t="s">
        <v>358</v>
      </c>
      <c r="G511" s="3" t="s">
        <v>162</v>
      </c>
      <c r="H511" s="3" t="s">
        <v>15</v>
      </c>
      <c r="I511" s="3" t="s">
        <v>90</v>
      </c>
      <c r="J511" s="3" t="s">
        <v>65</v>
      </c>
      <c r="K511" s="3" t="s">
        <v>2463</v>
      </c>
      <c r="L511" s="3" t="s">
        <v>1675</v>
      </c>
      <c r="M511" s="3" t="s">
        <v>1259</v>
      </c>
      <c r="N511" s="3" t="s">
        <v>1798</v>
      </c>
      <c r="O511" s="3">
        <v>2.0</v>
      </c>
    </row>
    <row r="512" ht="15.75" customHeight="1">
      <c r="A512" s="3" t="s">
        <v>3640</v>
      </c>
      <c r="B512" s="3" t="s">
        <v>3641</v>
      </c>
      <c r="C512" s="3" t="s">
        <v>3642</v>
      </c>
      <c r="D512" s="3" t="s">
        <v>3643</v>
      </c>
      <c r="E512" s="3" t="str">
        <f>IFERROR(__xludf.DUMMYFUNCTION("GOOGLETRANSLATE($D512,""EN"",""RU"")")," Готовка")</f>
        <v> Готовка</v>
      </c>
      <c r="F512" s="3" t="s">
        <v>1510</v>
      </c>
      <c r="G512" s="3" t="s">
        <v>162</v>
      </c>
      <c r="H512" s="3" t="s">
        <v>65</v>
      </c>
      <c r="I512" s="3" t="s">
        <v>28</v>
      </c>
      <c r="J512" s="3" t="s">
        <v>77</v>
      </c>
      <c r="K512" s="3" t="s">
        <v>1259</v>
      </c>
      <c r="L512" s="3" t="s">
        <v>2473</v>
      </c>
      <c r="M512" s="3" t="s">
        <v>3618</v>
      </c>
      <c r="N512" s="3" t="s">
        <v>1952</v>
      </c>
      <c r="O512" s="3">
        <v>1.0</v>
      </c>
    </row>
    <row r="513" ht="15.75" customHeight="1">
      <c r="A513" s="3" t="s">
        <v>3644</v>
      </c>
      <c r="B513" s="3" t="s">
        <v>3645</v>
      </c>
      <c r="C513" s="3" t="s">
        <v>3646</v>
      </c>
      <c r="D513" s="3" t="s">
        <v>3647</v>
      </c>
      <c r="E513" s="3" t="str">
        <f>IFERROR(__xludf.DUMMYFUNCTION("GOOGLETRANSLATE($D513,""EN"",""RU"")")," Кисть")</f>
        <v> Кисть</v>
      </c>
      <c r="F513" s="3" t="s">
        <v>358</v>
      </c>
      <c r="G513" s="3" t="s">
        <v>162</v>
      </c>
      <c r="H513" s="3" t="s">
        <v>41</v>
      </c>
      <c r="I513" s="3" t="s">
        <v>41</v>
      </c>
      <c r="J513" s="3" t="s">
        <v>90</v>
      </c>
      <c r="K513" s="3" t="s">
        <v>1798</v>
      </c>
      <c r="L513" s="3" t="s">
        <v>1798</v>
      </c>
      <c r="M513" s="3" t="s">
        <v>1675</v>
      </c>
      <c r="N513" s="3" t="s">
        <v>1798</v>
      </c>
      <c r="O513" s="3">
        <v>2.0</v>
      </c>
    </row>
    <row r="514" ht="15.75" customHeight="1">
      <c r="A514" s="3" t="s">
        <v>3648</v>
      </c>
      <c r="B514" s="3" t="s">
        <v>3649</v>
      </c>
      <c r="C514" s="3" t="s">
        <v>3650</v>
      </c>
      <c r="D514" s="3" t="s">
        <v>3651</v>
      </c>
      <c r="E514" s="3" t="str">
        <f>IFERROR(__xludf.DUMMYFUNCTION("GOOGLETRANSLATE($D514,""EN"",""RU"")")," Никаких мобильных телефонов")</f>
        <v> Никаких мобильных телефонов</v>
      </c>
      <c r="F514" s="3" t="s">
        <v>637</v>
      </c>
      <c r="G514" s="3" t="s">
        <v>162</v>
      </c>
      <c r="H514" s="3" t="s">
        <v>126</v>
      </c>
      <c r="I514" s="3" t="s">
        <v>28</v>
      </c>
      <c r="J514" s="3" t="s">
        <v>15</v>
      </c>
      <c r="K514" s="3" t="s">
        <v>2235</v>
      </c>
      <c r="L514" s="3" t="s">
        <v>2473</v>
      </c>
      <c r="M514" s="3" t="s">
        <v>2463</v>
      </c>
      <c r="N514" s="3" t="s">
        <v>3652</v>
      </c>
      <c r="O514" s="3">
        <v>0.0</v>
      </c>
    </row>
    <row r="515" ht="15.75" customHeight="1">
      <c r="A515" s="3" t="s">
        <v>3653</v>
      </c>
      <c r="B515" s="3" t="s">
        <v>3654</v>
      </c>
      <c r="C515" s="3" t="s">
        <v>3655</v>
      </c>
      <c r="D515" s="3" t="s">
        <v>3656</v>
      </c>
      <c r="E515" s="3" t="str">
        <f>IFERROR(__xludf.DUMMYFUNCTION("GOOGLETRANSLATE($D515,""EN"",""RU"")")," Символ регионального индикатора, буква Q")</f>
        <v> Символ регионального индикатора, буква Q</v>
      </c>
      <c r="F515" s="3" t="s">
        <v>637</v>
      </c>
      <c r="G515" s="3" t="s">
        <v>162</v>
      </c>
      <c r="H515" s="3" t="s">
        <v>41</v>
      </c>
      <c r="I515" s="3" t="s">
        <v>41</v>
      </c>
      <c r="J515" s="3" t="s">
        <v>90</v>
      </c>
      <c r="K515" s="3" t="s">
        <v>1798</v>
      </c>
      <c r="L515" s="3" t="s">
        <v>1798</v>
      </c>
      <c r="M515" s="3" t="s">
        <v>1675</v>
      </c>
      <c r="N515" s="3" t="s">
        <v>1798</v>
      </c>
      <c r="O515" s="3">
        <v>2.0</v>
      </c>
    </row>
    <row r="516" ht="15.75" customHeight="1">
      <c r="A516" s="3" t="s">
        <v>3657</v>
      </c>
      <c r="B516" s="3" t="s">
        <v>3658</v>
      </c>
      <c r="C516" s="3" t="s">
        <v>3659</v>
      </c>
      <c r="D516" s="3" t="s">
        <v>3660</v>
      </c>
      <c r="E516" s="3" t="str">
        <f>IFERROR(__xludf.DUMMYFUNCTION("GOOGLETRANSLATE($D516,""EN"",""RU"")")," Кнопка (группа крови)")</f>
        <v> Кнопка (группа крови)</v>
      </c>
      <c r="F516" s="3" t="s">
        <v>637</v>
      </c>
      <c r="G516" s="3" t="s">
        <v>162</v>
      </c>
      <c r="H516" s="3" t="s">
        <v>28</v>
      </c>
      <c r="I516" s="3" t="s">
        <v>65</v>
      </c>
      <c r="J516" s="3" t="s">
        <v>77</v>
      </c>
      <c r="K516" s="3" t="s">
        <v>2473</v>
      </c>
      <c r="L516" s="3" t="s">
        <v>1259</v>
      </c>
      <c r="M516" s="3" t="s">
        <v>3618</v>
      </c>
      <c r="N516" s="3" t="s">
        <v>1798</v>
      </c>
      <c r="O516" s="3">
        <v>2.0</v>
      </c>
    </row>
    <row r="517" ht="15.75" customHeight="1">
      <c r="A517" s="3" t="s">
        <v>3661</v>
      </c>
      <c r="B517" s="3" t="s">
        <v>3662</v>
      </c>
      <c r="C517" s="3" t="s">
        <v>3663</v>
      </c>
      <c r="D517" s="3" t="s">
        <v>3664</v>
      </c>
      <c r="E517" s="3" t="str">
        <f>IFERROR(__xludf.DUMMYFUNCTION("GOOGLETRANSLATE($D517,""EN"",""RU"")")," Символ регионального индикатора, буква N")</f>
        <v> Символ регионального индикатора, буква N</v>
      </c>
      <c r="F517" s="3" t="s">
        <v>637</v>
      </c>
      <c r="G517" s="3" t="s">
        <v>162</v>
      </c>
      <c r="H517" s="3" t="s">
        <v>90</v>
      </c>
      <c r="I517" s="3" t="s">
        <v>53</v>
      </c>
      <c r="J517" s="3" t="s">
        <v>28</v>
      </c>
      <c r="K517" s="3" t="s">
        <v>1675</v>
      </c>
      <c r="L517" s="3" t="s">
        <v>2903</v>
      </c>
      <c r="M517" s="3" t="s">
        <v>2473</v>
      </c>
      <c r="N517" s="3" t="s">
        <v>3619</v>
      </c>
      <c r="O517" s="3">
        <v>0.0</v>
      </c>
    </row>
    <row r="518" ht="15.75" customHeight="1">
      <c r="A518" s="3" t="s">
        <v>3665</v>
      </c>
      <c r="B518" s="3" t="s">
        <v>3666</v>
      </c>
      <c r="C518" s="3" t="s">
        <v>3667</v>
      </c>
      <c r="D518" s="3" t="s">
        <v>3668</v>
      </c>
      <c r="E518" s="3" t="str">
        <f>IFERROR(__xludf.DUMMYFUNCTION("GOOGLETRANSLATE($D518,""EN"",""RU"")")," Стрелка вправо, изгибающаяся влево")</f>
        <v> Стрелка вправо, изгибающаяся влево</v>
      </c>
      <c r="F518" s="3" t="s">
        <v>637</v>
      </c>
      <c r="G518" s="3" t="s">
        <v>162</v>
      </c>
      <c r="H518" s="3" t="s">
        <v>28</v>
      </c>
      <c r="I518" s="3" t="s">
        <v>41</v>
      </c>
      <c r="J518" s="3" t="s">
        <v>102</v>
      </c>
      <c r="K518" s="3" t="s">
        <v>2473</v>
      </c>
      <c r="L518" s="3" t="s">
        <v>1798</v>
      </c>
      <c r="M518" s="3" t="s">
        <v>1253</v>
      </c>
      <c r="N518" s="3" t="s">
        <v>1259</v>
      </c>
      <c r="O518" s="3">
        <v>2.0</v>
      </c>
    </row>
    <row r="519" ht="15.75" customHeight="1">
      <c r="A519" s="3" t="s">
        <v>3669</v>
      </c>
      <c r="B519" s="3" t="s">
        <v>3670</v>
      </c>
      <c r="C519" s="3" t="s">
        <v>3671</v>
      </c>
      <c r="D519" s="3" t="s">
        <v>3672</v>
      </c>
      <c r="E519" s="3" t="str">
        <f>IFERROR(__xludf.DUMMYFUNCTION("GOOGLETRANSLATE($D519,""EN"",""RU"")")," Биологическая опасность")</f>
        <v> Биологическая опасность</v>
      </c>
      <c r="F519" s="3" t="s">
        <v>637</v>
      </c>
      <c r="G519" s="3" t="s">
        <v>162</v>
      </c>
      <c r="H519" s="3" t="s">
        <v>15</v>
      </c>
      <c r="I519" s="3" t="s">
        <v>150</v>
      </c>
      <c r="J519" s="3" t="s">
        <v>2226</v>
      </c>
      <c r="K519" s="3" t="s">
        <v>2463</v>
      </c>
      <c r="L519" s="3" t="s">
        <v>3635</v>
      </c>
      <c r="M519" s="3" t="s">
        <v>1952</v>
      </c>
      <c r="N519" s="3" t="s">
        <v>3613</v>
      </c>
      <c r="O519" s="3">
        <v>1.0</v>
      </c>
    </row>
    <row r="520" ht="15.75" customHeight="1">
      <c r="A520" s="3" t="s">
        <v>617</v>
      </c>
      <c r="B520" s="3" t="s">
        <v>3673</v>
      </c>
      <c r="C520" s="3" t="s">
        <v>3674</v>
      </c>
      <c r="D520" s="3" t="s">
        <v>3675</v>
      </c>
      <c r="E520" s="3" t="str">
        <f>IFERROR(__xludf.DUMMYFUNCTION("GOOGLETRANSLATE($D520,""EN"",""RU"")")," Тропический напиток")</f>
        <v> Тропический напиток</v>
      </c>
      <c r="F520" s="3" t="s">
        <v>1510</v>
      </c>
      <c r="G520" s="3" t="s">
        <v>162</v>
      </c>
      <c r="H520" s="3" t="s">
        <v>41</v>
      </c>
      <c r="I520" s="3" t="s">
        <v>77</v>
      </c>
      <c r="J520" s="3" t="s">
        <v>53</v>
      </c>
      <c r="K520" s="3" t="s">
        <v>1798</v>
      </c>
      <c r="L520" s="3" t="s">
        <v>3618</v>
      </c>
      <c r="M520" s="3" t="s">
        <v>2903</v>
      </c>
      <c r="N520" s="3" t="s">
        <v>1952</v>
      </c>
      <c r="O520" s="3">
        <v>1.0</v>
      </c>
    </row>
    <row r="521" ht="15.75" customHeight="1">
      <c r="A521" s="3" t="s">
        <v>3676</v>
      </c>
      <c r="B521" s="3" t="s">
        <v>3677</v>
      </c>
      <c r="C521" s="3" t="s">
        <v>3678</v>
      </c>
      <c r="D521" s="3" t="s">
        <v>3679</v>
      </c>
      <c r="E521" s="3" t="str">
        <f>IFERROR(__xludf.DUMMYFUNCTION("GOOGLETRANSLATE($D521,""EN"",""RU"")")," Двенадцать часов")</f>
        <v> Двенадцать часов</v>
      </c>
      <c r="F521" s="3" t="s">
        <v>358</v>
      </c>
      <c r="G521" s="3" t="s">
        <v>162</v>
      </c>
      <c r="H521" s="3" t="s">
        <v>2226</v>
      </c>
      <c r="I521" s="3" t="s">
        <v>77</v>
      </c>
      <c r="J521" s="3" t="s">
        <v>90</v>
      </c>
      <c r="K521" s="3" t="s">
        <v>1952</v>
      </c>
      <c r="L521" s="3" t="s">
        <v>3618</v>
      </c>
      <c r="M521" s="3" t="s">
        <v>1675</v>
      </c>
      <c r="N521" s="3" t="s">
        <v>3618</v>
      </c>
      <c r="O521" s="3">
        <v>2.0</v>
      </c>
    </row>
    <row r="522" ht="15.75" customHeight="1">
      <c r="A522" s="3" t="s">
        <v>3680</v>
      </c>
      <c r="B522" s="3" t="s">
        <v>3681</v>
      </c>
      <c r="C522" s="3" t="s">
        <v>3682</v>
      </c>
      <c r="D522" s="3" t="s">
        <v>3683</v>
      </c>
      <c r="E522" s="3" t="str">
        <f>IFERROR(__xludf.DUMMYFUNCTION("GOOGLETRANSLATE($D522,""EN"",""RU"")")," Банан")</f>
        <v> Банан</v>
      </c>
      <c r="F522" s="3" t="s">
        <v>1510</v>
      </c>
      <c r="G522" s="3" t="s">
        <v>162</v>
      </c>
      <c r="H522" s="3" t="s">
        <v>77</v>
      </c>
      <c r="I522" s="3" t="s">
        <v>15</v>
      </c>
      <c r="J522" s="3" t="s">
        <v>77</v>
      </c>
      <c r="K522" s="3" t="s">
        <v>3618</v>
      </c>
      <c r="L522" s="3" t="s">
        <v>2463</v>
      </c>
      <c r="M522" s="3" t="s">
        <v>3618</v>
      </c>
      <c r="N522" s="3" t="s">
        <v>1425</v>
      </c>
      <c r="O522" s="3">
        <v>1.0</v>
      </c>
    </row>
    <row r="523" ht="15.75" customHeight="1">
      <c r="A523" s="3" t="s">
        <v>3684</v>
      </c>
      <c r="B523" s="3" t="s">
        <v>3685</v>
      </c>
      <c r="C523" s="3" t="s">
        <v>3686</v>
      </c>
      <c r="D523" s="3" t="s">
        <v>3687</v>
      </c>
      <c r="E523" s="3" t="str">
        <f>IFERROR(__xludf.DUMMYFUNCTION("GOOGLETRANSLATE($D523,""EN"",""RU"")")," Спортивная медаль")</f>
        <v> Спортивная медаль</v>
      </c>
      <c r="F523" s="3" t="s">
        <v>358</v>
      </c>
      <c r="G523" s="3" t="s">
        <v>162</v>
      </c>
      <c r="H523" s="3" t="s">
        <v>77</v>
      </c>
      <c r="I523" s="3" t="s">
        <v>28</v>
      </c>
      <c r="J523" s="3" t="s">
        <v>65</v>
      </c>
      <c r="K523" s="3" t="s">
        <v>3618</v>
      </c>
      <c r="L523" s="3" t="s">
        <v>2473</v>
      </c>
      <c r="M523" s="3" t="s">
        <v>1259</v>
      </c>
      <c r="N523" s="3" t="s">
        <v>3613</v>
      </c>
      <c r="O523" s="3">
        <v>1.0</v>
      </c>
    </row>
    <row r="524" ht="15.75" customHeight="1">
      <c r="A524" s="3" t="s">
        <v>466</v>
      </c>
      <c r="B524" s="3" t="s">
        <v>3688</v>
      </c>
      <c r="C524" s="3" t="s">
        <v>3689</v>
      </c>
      <c r="D524" s="3" t="s">
        <v>3690</v>
      </c>
      <c r="E524" s="3" t="str">
        <f>IFERROR(__xludf.DUMMYFUNCTION("GOOGLETRANSLATE($D524,""EN"",""RU"")")," Двойная фигурная петля")</f>
        <v> Двойная фигурная петля</v>
      </c>
      <c r="F524" s="3" t="s">
        <v>637</v>
      </c>
      <c r="G524" s="3" t="s">
        <v>162</v>
      </c>
      <c r="H524" s="3" t="s">
        <v>15</v>
      </c>
      <c r="I524" s="3" t="s">
        <v>53</v>
      </c>
      <c r="J524" s="3" t="s">
        <v>102</v>
      </c>
      <c r="K524" s="3" t="s">
        <v>2463</v>
      </c>
      <c r="L524" s="3" t="s">
        <v>2903</v>
      </c>
      <c r="M524" s="3" t="s">
        <v>1253</v>
      </c>
      <c r="N524" s="3" t="s">
        <v>3618</v>
      </c>
      <c r="O524" s="3">
        <v>2.0</v>
      </c>
    </row>
    <row r="525" ht="15.75" customHeight="1">
      <c r="A525" s="3" t="s">
        <v>3691</v>
      </c>
      <c r="B525" s="3" t="s">
        <v>3692</v>
      </c>
      <c r="C525" s="3" t="s">
        <v>3693</v>
      </c>
      <c r="D525" s="3" t="s">
        <v>3694</v>
      </c>
      <c r="E525" s="3" t="str">
        <f>IFERROR(__xludf.DUMMYFUNCTION("GOOGLETRANSLATE($D525,""EN"",""RU"")")," Символ регионального индикатора, буква B")</f>
        <v> Символ регионального индикатора, буква B</v>
      </c>
      <c r="F525" s="3" t="s">
        <v>637</v>
      </c>
      <c r="G525" s="3" t="s">
        <v>162</v>
      </c>
      <c r="H525" s="3" t="s">
        <v>28</v>
      </c>
      <c r="I525" s="3" t="s">
        <v>41</v>
      </c>
      <c r="J525" s="3" t="s">
        <v>102</v>
      </c>
      <c r="K525" s="3" t="s">
        <v>2473</v>
      </c>
      <c r="L525" s="3" t="s">
        <v>1798</v>
      </c>
      <c r="M525" s="3" t="s">
        <v>1253</v>
      </c>
      <c r="N525" s="3" t="s">
        <v>1259</v>
      </c>
      <c r="O525" s="3">
        <v>2.0</v>
      </c>
    </row>
    <row r="526" ht="15.75" customHeight="1">
      <c r="A526" s="3" t="s">
        <v>3695</v>
      </c>
      <c r="B526" s="3" t="s">
        <v>3696</v>
      </c>
      <c r="C526" s="3" t="s">
        <v>3697</v>
      </c>
      <c r="D526" s="3" t="s">
        <v>3698</v>
      </c>
      <c r="E526" s="3" t="str">
        <f>IFERROR(__xludf.DUMMYFUNCTION("GOOGLETRANSLATE($D526,""EN"",""RU"")")," Черный Средний-Маленький Квадрат")</f>
        <v> Черный Средний-Маленький Квадрат</v>
      </c>
      <c r="F526" s="3" t="s">
        <v>637</v>
      </c>
      <c r="G526" s="3" t="s">
        <v>162</v>
      </c>
      <c r="H526" s="3" t="s">
        <v>77</v>
      </c>
      <c r="I526" s="3" t="s">
        <v>90</v>
      </c>
      <c r="J526" s="3" t="s">
        <v>2226</v>
      </c>
      <c r="K526" s="3" t="s">
        <v>3618</v>
      </c>
      <c r="L526" s="3" t="s">
        <v>1675</v>
      </c>
      <c r="M526" s="3" t="s">
        <v>1952</v>
      </c>
      <c r="N526" s="3" t="s">
        <v>3699</v>
      </c>
      <c r="O526" s="3">
        <v>0.0</v>
      </c>
    </row>
    <row r="527" ht="15.75" customHeight="1">
      <c r="A527" s="3" t="s">
        <v>3700</v>
      </c>
      <c r="B527" s="3" t="s">
        <v>3701</v>
      </c>
      <c r="C527" s="3" t="s">
        <v>3702</v>
      </c>
      <c r="D527" s="3" t="s">
        <v>3703</v>
      </c>
      <c r="E527" s="3" t="str">
        <f>IFERROR(__xludf.DUMMYFUNCTION("GOOGLETRANSLATE($D527,""EN"",""RU"")")," Белый флаг")</f>
        <v> Белый флаг</v>
      </c>
      <c r="F527" s="3" t="s">
        <v>559</v>
      </c>
      <c r="G527" s="3" t="s">
        <v>162</v>
      </c>
      <c r="H527" s="3" t="s">
        <v>41</v>
      </c>
      <c r="I527" s="3" t="s">
        <v>53</v>
      </c>
      <c r="J527" s="3" t="s">
        <v>77</v>
      </c>
      <c r="K527" s="3" t="s">
        <v>1798</v>
      </c>
      <c r="L527" s="3" t="s">
        <v>2903</v>
      </c>
      <c r="M527" s="3" t="s">
        <v>3618</v>
      </c>
      <c r="N527" s="3" t="s">
        <v>2473</v>
      </c>
      <c r="O527" s="3">
        <v>2.0</v>
      </c>
    </row>
    <row r="528" ht="15.75" customHeight="1">
      <c r="A528" s="3" t="s">
        <v>538</v>
      </c>
      <c r="B528" s="3" t="s">
        <v>3704</v>
      </c>
      <c r="C528" s="3" t="s">
        <v>3705</v>
      </c>
      <c r="D528" s="3" t="s">
        <v>3706</v>
      </c>
      <c r="E528" s="3" t="str">
        <f>IFERROR(__xludf.DUMMYFUNCTION("GOOGLETRANSLATE($D528,""EN"",""RU"")")," человек в постели")</f>
        <v> человек в постели</v>
      </c>
      <c r="F528" s="3" t="s">
        <v>2649</v>
      </c>
      <c r="G528" s="3" t="s">
        <v>162</v>
      </c>
      <c r="H528" s="3" t="s">
        <v>90</v>
      </c>
      <c r="I528" s="3" t="s">
        <v>77</v>
      </c>
      <c r="J528" s="3" t="s">
        <v>2226</v>
      </c>
      <c r="K528" s="3" t="s">
        <v>1675</v>
      </c>
      <c r="L528" s="3" t="s">
        <v>3618</v>
      </c>
      <c r="M528" s="3" t="s">
        <v>1952</v>
      </c>
      <c r="N528" s="3" t="s">
        <v>2898</v>
      </c>
      <c r="O528" s="3">
        <v>0.0</v>
      </c>
    </row>
    <row r="529" ht="15.75" customHeight="1">
      <c r="A529" s="3" t="s">
        <v>3707</v>
      </c>
      <c r="B529" s="3" t="s">
        <v>3708</v>
      </c>
      <c r="C529" s="3" t="s">
        <v>3709</v>
      </c>
      <c r="D529" s="3" t="s">
        <v>3710</v>
      </c>
      <c r="E529" s="3" t="str">
        <f>IFERROR(__xludf.DUMMYFUNCTION("GOOGLETRANSLATE($D529,""EN"",""RU"")")," Сенегал")</f>
        <v> Сенегал</v>
      </c>
      <c r="F529" s="3" t="s">
        <v>559</v>
      </c>
      <c r="G529" s="3" t="s">
        <v>162</v>
      </c>
      <c r="H529" s="3" t="s">
        <v>2226</v>
      </c>
      <c r="I529" s="3" t="s">
        <v>126</v>
      </c>
      <c r="J529" s="3" t="s">
        <v>41</v>
      </c>
      <c r="K529" s="3" t="s">
        <v>1952</v>
      </c>
      <c r="L529" s="3" t="s">
        <v>2235</v>
      </c>
      <c r="M529" s="3" t="s">
        <v>1798</v>
      </c>
      <c r="N529" s="3" t="s">
        <v>2473</v>
      </c>
      <c r="O529" s="3">
        <v>2.0</v>
      </c>
    </row>
    <row r="530" ht="15.75" customHeight="1">
      <c r="A530" s="3" t="s">
        <v>3711</v>
      </c>
      <c r="B530" s="3" t="s">
        <v>3712</v>
      </c>
      <c r="C530" s="3" t="s">
        <v>3713</v>
      </c>
      <c r="D530" s="3" t="s">
        <v>3714</v>
      </c>
      <c r="E530" s="3" t="str">
        <f>IFERROR(__xludf.DUMMYFUNCTION("GOOGLETRANSLATE($D530,""EN"",""RU"")")," Приглушенный динамик")</f>
        <v> Приглушенный динамик</v>
      </c>
      <c r="F530" s="3" t="s">
        <v>637</v>
      </c>
      <c r="G530" s="3" t="s">
        <v>150</v>
      </c>
      <c r="H530" s="3" t="s">
        <v>41</v>
      </c>
      <c r="I530" s="3" t="s">
        <v>102</v>
      </c>
      <c r="J530" s="3" t="s">
        <v>15</v>
      </c>
      <c r="K530" s="3" t="s">
        <v>2951</v>
      </c>
      <c r="L530" s="3" t="s">
        <v>786</v>
      </c>
      <c r="M530" s="3" t="s">
        <v>2101</v>
      </c>
      <c r="N530" s="3" t="s">
        <v>3715</v>
      </c>
      <c r="O530" s="3">
        <v>0.0</v>
      </c>
    </row>
    <row r="531" ht="15.75" customHeight="1">
      <c r="A531" s="3" t="s">
        <v>3716</v>
      </c>
      <c r="B531" s="3" t="s">
        <v>3717</v>
      </c>
      <c r="C531" s="3" t="s">
        <v>3718</v>
      </c>
      <c r="D531" s="3" t="s">
        <v>3719</v>
      </c>
      <c r="E531" s="3" t="str">
        <f>IFERROR(__xludf.DUMMYFUNCTION("GOOGLETRANSLATE($D531,""EN"",""RU"")")," Рождественская елка")</f>
        <v> Рождественская елка</v>
      </c>
      <c r="F531" s="3" t="s">
        <v>81</v>
      </c>
      <c r="G531" s="3" t="s">
        <v>150</v>
      </c>
      <c r="H531" s="3" t="s">
        <v>2226</v>
      </c>
      <c r="I531" s="3" t="s">
        <v>15</v>
      </c>
      <c r="J531" s="3" t="s">
        <v>138</v>
      </c>
      <c r="K531" s="3" t="s">
        <v>2288</v>
      </c>
      <c r="L531" s="3" t="s">
        <v>2101</v>
      </c>
      <c r="M531" s="3" t="s">
        <v>2056</v>
      </c>
      <c r="N531" s="3" t="s">
        <v>3720</v>
      </c>
      <c r="O531" s="3">
        <v>2.0</v>
      </c>
    </row>
    <row r="532" ht="15.75" customHeight="1">
      <c r="A532" s="3" t="s">
        <v>992</v>
      </c>
      <c r="B532" s="3" t="s">
        <v>3721</v>
      </c>
      <c r="C532" s="3" t="s">
        <v>3722</v>
      </c>
      <c r="D532" s="3" t="s">
        <v>3723</v>
      </c>
      <c r="E532" s="3" t="str">
        <f>IFERROR(__xludf.DUMMYFUNCTION("GOOGLETRANSLATE($D532,""EN"",""RU"")")," Лицо панды")</f>
        <v> Лицо панды</v>
      </c>
      <c r="F532" s="3" t="s">
        <v>81</v>
      </c>
      <c r="G532" s="3" t="s">
        <v>150</v>
      </c>
      <c r="H532" s="3" t="s">
        <v>41</v>
      </c>
      <c r="I532" s="3" t="s">
        <v>28</v>
      </c>
      <c r="J532" s="3" t="s">
        <v>90</v>
      </c>
      <c r="K532" s="3" t="s">
        <v>2951</v>
      </c>
      <c r="L532" s="3" t="s">
        <v>940</v>
      </c>
      <c r="M532" s="3" t="s">
        <v>2988</v>
      </c>
      <c r="N532" s="3" t="s">
        <v>2951</v>
      </c>
      <c r="O532" s="3">
        <v>2.0</v>
      </c>
    </row>
    <row r="533" ht="15.75" customHeight="1">
      <c r="A533" s="3" t="s">
        <v>3724</v>
      </c>
      <c r="B533" s="3" t="s">
        <v>3725</v>
      </c>
      <c r="C533" s="3" t="s">
        <v>3726</v>
      </c>
      <c r="D533" s="3" t="s">
        <v>3727</v>
      </c>
      <c r="E533" s="3" t="str">
        <f>IFERROR(__xludf.DUMMYFUNCTION("GOOGLETRANSLATE($D533,""EN"",""RU"")")," Уставшая кошачья морда")</f>
        <v> Уставшая кошачья морда</v>
      </c>
      <c r="F533" s="3" t="s">
        <v>19</v>
      </c>
      <c r="G533" s="3" t="s">
        <v>150</v>
      </c>
      <c r="H533" s="3" t="s">
        <v>28</v>
      </c>
      <c r="I533" s="3" t="s">
        <v>90</v>
      </c>
      <c r="J533" s="3" t="s">
        <v>41</v>
      </c>
      <c r="K533" s="3" t="s">
        <v>940</v>
      </c>
      <c r="L533" s="3" t="s">
        <v>2988</v>
      </c>
      <c r="M533" s="3" t="s">
        <v>2951</v>
      </c>
      <c r="N533" s="3" t="s">
        <v>3728</v>
      </c>
      <c r="O533" s="3">
        <v>2.0</v>
      </c>
    </row>
    <row r="534" ht="15.75" customHeight="1">
      <c r="A534" s="3" t="s">
        <v>927</v>
      </c>
      <c r="B534" s="3" t="s">
        <v>3729</v>
      </c>
      <c r="C534" s="3" t="s">
        <v>3730</v>
      </c>
      <c r="D534" s="3" t="s">
        <v>3731</v>
      </c>
      <c r="E534" s="3" t="str">
        <f>IFERROR(__xludf.DUMMYFUNCTION("GOOGLETRANSLATE($D534,""EN"",""RU"")")," Мясо на кости")</f>
        <v> Мясо на кости</v>
      </c>
      <c r="F534" s="3" t="s">
        <v>1510</v>
      </c>
      <c r="G534" s="3" t="s">
        <v>150</v>
      </c>
      <c r="H534" s="3" t="s">
        <v>28</v>
      </c>
      <c r="I534" s="3" t="s">
        <v>90</v>
      </c>
      <c r="J534" s="3" t="s">
        <v>41</v>
      </c>
      <c r="K534" s="3" t="s">
        <v>940</v>
      </c>
      <c r="L534" s="3" t="s">
        <v>2988</v>
      </c>
      <c r="M534" s="3" t="s">
        <v>2951</v>
      </c>
      <c r="N534" s="3" t="s">
        <v>3728</v>
      </c>
      <c r="O534" s="3">
        <v>2.0</v>
      </c>
    </row>
    <row r="535" ht="15.75" customHeight="1">
      <c r="A535" s="3" t="s">
        <v>3732</v>
      </c>
      <c r="B535" s="3" t="s">
        <v>3733</v>
      </c>
      <c r="C535" s="3" t="s">
        <v>3734</v>
      </c>
      <c r="D535" s="3" t="s">
        <v>3735</v>
      </c>
      <c r="E535" s="3" t="str">
        <f>IFERROR(__xludf.DUMMYFUNCTION("GOOGLETRANSLATE($D535,""EN"",""RU"")")," Заварной крем")</f>
        <v> Заварной крем</v>
      </c>
      <c r="F535" s="3" t="s">
        <v>1510</v>
      </c>
      <c r="G535" s="3" t="s">
        <v>150</v>
      </c>
      <c r="H535" s="3" t="s">
        <v>41</v>
      </c>
      <c r="I535" s="3" t="s">
        <v>41</v>
      </c>
      <c r="J535" s="3" t="s">
        <v>77</v>
      </c>
      <c r="K535" s="3" t="s">
        <v>2951</v>
      </c>
      <c r="L535" s="3" t="s">
        <v>2951</v>
      </c>
      <c r="M535" s="3" t="s">
        <v>1882</v>
      </c>
      <c r="N535" s="3" t="s">
        <v>940</v>
      </c>
      <c r="O535" s="3">
        <v>2.0</v>
      </c>
    </row>
    <row r="536" ht="15.75" customHeight="1">
      <c r="A536" s="3" t="s">
        <v>467</v>
      </c>
      <c r="B536" s="3" t="s">
        <v>3736</v>
      </c>
      <c r="C536" s="3" t="s">
        <v>3737</v>
      </c>
      <c r="D536" s="3" t="s">
        <v>3738</v>
      </c>
      <c r="E536" s="3" t="str">
        <f>IFERROR(__xludf.DUMMYFUNCTION("GOOGLETRANSLATE($D536,""EN"",""RU"")")," Кнопка реверса")</f>
        <v> Кнопка реверса</v>
      </c>
      <c r="F536" s="3" t="s">
        <v>637</v>
      </c>
      <c r="G536" s="3" t="s">
        <v>150</v>
      </c>
      <c r="H536" s="3" t="s">
        <v>28</v>
      </c>
      <c r="I536" s="3" t="s">
        <v>126</v>
      </c>
      <c r="J536" s="3" t="s">
        <v>2226</v>
      </c>
      <c r="K536" s="3" t="s">
        <v>940</v>
      </c>
      <c r="L536" s="3" t="s">
        <v>1521</v>
      </c>
      <c r="M536" s="3" t="s">
        <v>2288</v>
      </c>
      <c r="N536" s="3" t="s">
        <v>3739</v>
      </c>
      <c r="O536" s="3">
        <v>0.0</v>
      </c>
    </row>
    <row r="537" ht="15.75" customHeight="1">
      <c r="A537" s="3" t="s">
        <v>491</v>
      </c>
      <c r="B537" s="3" t="s">
        <v>3740</v>
      </c>
      <c r="C537" s="3" t="s">
        <v>3741</v>
      </c>
      <c r="D537" s="3" t="s">
        <v>3742</v>
      </c>
      <c r="E537" s="3" t="str">
        <f>IFERROR(__xludf.DUMMYFUNCTION("GOOGLETRANSLATE($D537,""EN"",""RU"")")," Буфер обмена")</f>
        <v> Буфер обмена</v>
      </c>
      <c r="F537" s="3" t="s">
        <v>358</v>
      </c>
      <c r="G537" s="3" t="s">
        <v>150</v>
      </c>
      <c r="H537" s="3" t="s">
        <v>2226</v>
      </c>
      <c r="I537" s="3" t="s">
        <v>114</v>
      </c>
      <c r="J537" s="3" t="s">
        <v>41</v>
      </c>
      <c r="K537" s="3" t="s">
        <v>2288</v>
      </c>
      <c r="L537" s="3" t="s">
        <v>1450</v>
      </c>
      <c r="M537" s="3" t="s">
        <v>2951</v>
      </c>
      <c r="N537" s="3" t="s">
        <v>940</v>
      </c>
      <c r="O537" s="3">
        <v>2.0</v>
      </c>
    </row>
    <row r="538" ht="15.75" customHeight="1">
      <c r="A538" s="3" t="s">
        <v>3743</v>
      </c>
      <c r="B538" s="3" t="s">
        <v>3744</v>
      </c>
      <c r="C538" s="3" t="s">
        <v>3745</v>
      </c>
      <c r="D538" s="3" t="s">
        <v>3746</v>
      </c>
      <c r="E538" s="3" t="str">
        <f>IFERROR(__xludf.DUMMYFUNCTION("GOOGLETRANSLATE($D538,""EN"",""RU"")")," Нигерия")</f>
        <v> Нигерия</v>
      </c>
      <c r="F538" s="3" t="s">
        <v>559</v>
      </c>
      <c r="G538" s="3" t="s">
        <v>150</v>
      </c>
      <c r="H538" s="3" t="s">
        <v>2226</v>
      </c>
      <c r="I538" s="3" t="s">
        <v>150</v>
      </c>
      <c r="J538" s="3" t="s">
        <v>2226</v>
      </c>
      <c r="K538" s="3" t="s">
        <v>2288</v>
      </c>
      <c r="L538" s="3" t="s">
        <v>3747</v>
      </c>
      <c r="M538" s="3" t="s">
        <v>2288</v>
      </c>
      <c r="N538" s="3" t="s">
        <v>1425</v>
      </c>
      <c r="O538" s="3">
        <v>1.0</v>
      </c>
    </row>
    <row r="539" ht="15.75" customHeight="1">
      <c r="A539" s="3" t="s">
        <v>740</v>
      </c>
      <c r="B539" s="3" t="s">
        <v>3748</v>
      </c>
      <c r="C539" s="3" t="s">
        <v>3749</v>
      </c>
      <c r="D539" s="3" t="s">
        <v>3750</v>
      </c>
      <c r="E539" s="3" t="str">
        <f>IFERROR(__xludf.DUMMYFUNCTION("GOOGLETRANSLATE($D539,""EN"",""RU"")")," Польша")</f>
        <v> Польша</v>
      </c>
      <c r="F539" s="3" t="s">
        <v>559</v>
      </c>
      <c r="G539" s="3" t="s">
        <v>150</v>
      </c>
      <c r="H539" s="3" t="s">
        <v>2226</v>
      </c>
      <c r="I539" s="3" t="s">
        <v>150</v>
      </c>
      <c r="J539" s="3" t="s">
        <v>2226</v>
      </c>
      <c r="K539" s="3" t="s">
        <v>2288</v>
      </c>
      <c r="L539" s="3" t="s">
        <v>3747</v>
      </c>
      <c r="M539" s="3" t="s">
        <v>2288</v>
      </c>
      <c r="N539" s="3" t="s">
        <v>1425</v>
      </c>
      <c r="O539" s="3">
        <v>1.0</v>
      </c>
    </row>
    <row r="540" ht="15.75" customHeight="1">
      <c r="A540" s="3" t="s">
        <v>3751</v>
      </c>
      <c r="B540" s="3" t="s">
        <v>3752</v>
      </c>
      <c r="C540" s="3" t="s">
        <v>3753</v>
      </c>
      <c r="D540" s="3" t="s">
        <v>3754</v>
      </c>
      <c r="E540" s="3" t="str">
        <f>IFERROR(__xludf.DUMMYFUNCTION("GOOGLETRANSLATE($D540,""EN"",""RU"")")," Португалия")</f>
        <v> Португалия</v>
      </c>
      <c r="F540" s="3" t="s">
        <v>559</v>
      </c>
      <c r="G540" s="3" t="s">
        <v>150</v>
      </c>
      <c r="H540" s="3" t="s">
        <v>15</v>
      </c>
      <c r="I540" s="3" t="s">
        <v>126</v>
      </c>
      <c r="J540" s="3" t="s">
        <v>15</v>
      </c>
      <c r="K540" s="3" t="s">
        <v>2101</v>
      </c>
      <c r="L540" s="3" t="s">
        <v>1521</v>
      </c>
      <c r="M540" s="3" t="s">
        <v>2101</v>
      </c>
      <c r="N540" s="3" t="s">
        <v>1425</v>
      </c>
      <c r="O540" s="3">
        <v>1.0</v>
      </c>
    </row>
    <row r="541" ht="15.75" customHeight="1">
      <c r="A541" s="3" t="s">
        <v>974</v>
      </c>
      <c r="B541" s="3" t="s">
        <v>3755</v>
      </c>
      <c r="C541" s="3" t="s">
        <v>3756</v>
      </c>
      <c r="D541" s="3" t="s">
        <v>3757</v>
      </c>
      <c r="E541" s="3" t="str">
        <f>IFERROR(__xludf.DUMMYFUNCTION("GOOGLETRANSLATE($D541,""EN"",""RU"")")," Одеваться")</f>
        <v> Одеваться</v>
      </c>
      <c r="F541" s="3" t="s">
        <v>358</v>
      </c>
      <c r="G541" s="3" t="s">
        <v>150</v>
      </c>
      <c r="H541" s="3" t="s">
        <v>28</v>
      </c>
      <c r="I541" s="3" t="s">
        <v>90</v>
      </c>
      <c r="J541" s="3" t="s">
        <v>41</v>
      </c>
      <c r="K541" s="3" t="s">
        <v>940</v>
      </c>
      <c r="L541" s="3" t="s">
        <v>2988</v>
      </c>
      <c r="M541" s="3" t="s">
        <v>2951</v>
      </c>
      <c r="N541" s="3" t="s">
        <v>3728</v>
      </c>
      <c r="O541" s="3">
        <v>2.0</v>
      </c>
    </row>
    <row r="542" ht="15.75" customHeight="1">
      <c r="A542" s="3" t="s">
        <v>3758</v>
      </c>
      <c r="B542" s="3" t="s">
        <v>3759</v>
      </c>
      <c r="C542" s="3" t="s">
        <v>3760</v>
      </c>
      <c r="D542" s="3" t="s">
        <v>3761</v>
      </c>
      <c r="E542" s="3" t="str">
        <f>IFERROR(__xludf.DUMMYFUNCTION("GOOGLETRANSLATE($D542,""EN"",""RU"")")," Кредитная карта")</f>
        <v> Кредитная карта</v>
      </c>
      <c r="F542" s="3" t="s">
        <v>358</v>
      </c>
      <c r="G542" s="3" t="s">
        <v>150</v>
      </c>
      <c r="H542" s="3" t="s">
        <v>2226</v>
      </c>
      <c r="I542" s="3" t="s">
        <v>77</v>
      </c>
      <c r="J542" s="3" t="s">
        <v>77</v>
      </c>
      <c r="K542" s="3" t="s">
        <v>2288</v>
      </c>
      <c r="L542" s="3" t="s">
        <v>1882</v>
      </c>
      <c r="M542" s="3" t="s">
        <v>1882</v>
      </c>
      <c r="N542" s="3" t="s">
        <v>2176</v>
      </c>
      <c r="O542" s="3">
        <v>2.0</v>
      </c>
    </row>
    <row r="543" ht="15.75" customHeight="1">
      <c r="A543" s="3" t="s">
        <v>3762</v>
      </c>
      <c r="B543" s="3" t="s">
        <v>3763</v>
      </c>
      <c r="C543" s="3" t="s">
        <v>3764</v>
      </c>
      <c r="D543" s="3" t="s">
        <v>3765</v>
      </c>
      <c r="E543" s="3" t="str">
        <f>IFERROR(__xludf.DUMMYFUNCTION("GOOGLETRANSLATE($D543,""EN"",""RU"")")," Скорая помощь")</f>
        <v> Скорая помощь</v>
      </c>
      <c r="F543" s="3" t="s">
        <v>358</v>
      </c>
      <c r="G543" s="3" t="s">
        <v>150</v>
      </c>
      <c r="H543" s="3" t="s">
        <v>15</v>
      </c>
      <c r="I543" s="3" t="s">
        <v>138</v>
      </c>
      <c r="J543" s="3" t="s">
        <v>2226</v>
      </c>
      <c r="K543" s="3" t="s">
        <v>2101</v>
      </c>
      <c r="L543" s="3" t="s">
        <v>2056</v>
      </c>
      <c r="M543" s="3" t="s">
        <v>2288</v>
      </c>
      <c r="N543" s="3" t="s">
        <v>3766</v>
      </c>
      <c r="O543" s="3">
        <v>0.0</v>
      </c>
    </row>
    <row r="544" ht="15.75" customHeight="1">
      <c r="A544" s="3" t="s">
        <v>3767</v>
      </c>
      <c r="B544" s="3" t="s">
        <v>3768</v>
      </c>
      <c r="C544" s="3" t="s">
        <v>3769</v>
      </c>
      <c r="D544" s="3" t="s">
        <v>3770</v>
      </c>
      <c r="E544" s="3" t="str">
        <f>IFERROR(__xludf.DUMMYFUNCTION("GOOGLETRANSLATE($D544,""EN"",""RU"")")," Зеленый салат")</f>
        <v> Зеленый салат</v>
      </c>
      <c r="F544" s="3" t="s">
        <v>1510</v>
      </c>
      <c r="G544" s="3" t="s">
        <v>150</v>
      </c>
      <c r="H544" s="3" t="s">
        <v>28</v>
      </c>
      <c r="I544" s="3" t="s">
        <v>41</v>
      </c>
      <c r="J544" s="3" t="s">
        <v>90</v>
      </c>
      <c r="K544" s="3" t="s">
        <v>940</v>
      </c>
      <c r="L544" s="3" t="s">
        <v>2951</v>
      </c>
      <c r="M544" s="3" t="s">
        <v>2988</v>
      </c>
      <c r="N544" s="3" t="s">
        <v>2378</v>
      </c>
      <c r="O544" s="3">
        <v>2.0</v>
      </c>
    </row>
    <row r="545" ht="15.75" customHeight="1">
      <c r="A545" s="3" t="s">
        <v>3771</v>
      </c>
      <c r="B545" s="3" t="s">
        <v>3772</v>
      </c>
      <c r="C545" s="3" t="s">
        <v>3773</v>
      </c>
      <c r="D545" s="3" t="s">
        <v>3774</v>
      </c>
      <c r="E545" s="3" t="str">
        <f>IFERROR(__xludf.DUMMYFUNCTION("GOOGLETRANSLATE($D545,""EN"",""RU"")")," Хот-дог")</f>
        <v> Хот-дог</v>
      </c>
      <c r="F545" s="3" t="s">
        <v>1510</v>
      </c>
      <c r="G545" s="3" t="s">
        <v>138</v>
      </c>
      <c r="H545" s="3" t="s">
        <v>65</v>
      </c>
      <c r="I545" s="3" t="s">
        <v>77</v>
      </c>
      <c r="J545" s="3" t="s">
        <v>2226</v>
      </c>
      <c r="K545" s="3" t="s">
        <v>3044</v>
      </c>
      <c r="L545" s="3" t="s">
        <v>1675</v>
      </c>
      <c r="M545" s="3" t="s">
        <v>1773</v>
      </c>
      <c r="N545" s="3" t="s">
        <v>3775</v>
      </c>
      <c r="O545" s="3">
        <v>0.0</v>
      </c>
    </row>
    <row r="546" ht="15.75" customHeight="1">
      <c r="A546" s="3" t="s">
        <v>3776</v>
      </c>
      <c r="B546" s="3" t="s">
        <v>3777</v>
      </c>
      <c r="C546" s="3" t="s">
        <v>3778</v>
      </c>
      <c r="D546" s="3" t="s">
        <v>3779</v>
      </c>
      <c r="E546" s="3" t="str">
        <f>IFERROR(__xludf.DUMMYFUNCTION("GOOGLETRANSLATE($D546,""EN"",""RU"")")," Туфли на высоком каблуке")</f>
        <v> Туфли на высоком каблуке</v>
      </c>
      <c r="F546" s="3" t="s">
        <v>358</v>
      </c>
      <c r="G546" s="3" t="s">
        <v>138</v>
      </c>
      <c r="H546" s="3" t="s">
        <v>90</v>
      </c>
      <c r="I546" s="3" t="s">
        <v>2226</v>
      </c>
      <c r="J546" s="3" t="s">
        <v>53</v>
      </c>
      <c r="K546" s="3" t="s">
        <v>2812</v>
      </c>
      <c r="L546" s="3" t="s">
        <v>1773</v>
      </c>
      <c r="M546" s="3" t="s">
        <v>2624</v>
      </c>
      <c r="N546" s="3" t="s">
        <v>3780</v>
      </c>
      <c r="O546" s="3">
        <v>0.0</v>
      </c>
    </row>
    <row r="547" ht="15.75" customHeight="1">
      <c r="A547" s="3" t="s">
        <v>3781</v>
      </c>
      <c r="B547" s="3" t="s">
        <v>3782</v>
      </c>
      <c r="C547" s="3" t="s">
        <v>3783</v>
      </c>
      <c r="D547" s="3" t="s">
        <v>3784</v>
      </c>
      <c r="E547" s="3" t="str">
        <f>IFERROR(__xludf.DUMMYFUNCTION("GOOGLETRANSLATE($D547,""EN"",""RU"")")," Тако")</f>
        <v> Тако</v>
      </c>
      <c r="F547" s="3" t="s">
        <v>1510</v>
      </c>
      <c r="G547" s="3" t="s">
        <v>138</v>
      </c>
      <c r="H547" s="3" t="s">
        <v>53</v>
      </c>
      <c r="I547" s="3" t="s">
        <v>77</v>
      </c>
      <c r="J547" s="3" t="s">
        <v>15</v>
      </c>
      <c r="K547" s="3" t="s">
        <v>2624</v>
      </c>
      <c r="L547" s="3" t="s">
        <v>1675</v>
      </c>
      <c r="M547" s="3" t="s">
        <v>1601</v>
      </c>
      <c r="N547" s="3" t="s">
        <v>3785</v>
      </c>
      <c r="O547" s="3">
        <v>0.0</v>
      </c>
    </row>
    <row r="548" ht="15.75" customHeight="1">
      <c r="A548" s="3" t="s">
        <v>3786</v>
      </c>
      <c r="B548" s="3" t="s">
        <v>3787</v>
      </c>
      <c r="C548" s="3" t="s">
        <v>3788</v>
      </c>
      <c r="D548" s="3" t="s">
        <v>3789</v>
      </c>
      <c r="E548" s="3" t="str">
        <f>IFERROR(__xludf.DUMMYFUNCTION("GOOGLETRANSLATE($D548,""EN"",""RU"")")," Чашка без ручки")</f>
        <v> Чашка без ручки</v>
      </c>
      <c r="F548" s="3" t="s">
        <v>1510</v>
      </c>
      <c r="G548" s="3" t="s">
        <v>138</v>
      </c>
      <c r="H548" s="3" t="s">
        <v>2226</v>
      </c>
      <c r="I548" s="3" t="s">
        <v>77</v>
      </c>
      <c r="J548" s="3" t="s">
        <v>65</v>
      </c>
      <c r="K548" s="3" t="s">
        <v>1773</v>
      </c>
      <c r="L548" s="3" t="s">
        <v>1675</v>
      </c>
      <c r="M548" s="3" t="s">
        <v>3044</v>
      </c>
      <c r="N548" s="3" t="s">
        <v>3790</v>
      </c>
      <c r="O548" s="3">
        <v>2.0</v>
      </c>
    </row>
    <row r="549" ht="15.75" customHeight="1">
      <c r="A549" s="3" t="s">
        <v>3791</v>
      </c>
      <c r="B549" s="3" t="s">
        <v>3792</v>
      </c>
      <c r="C549" s="3" t="s">
        <v>3793</v>
      </c>
      <c r="D549" s="3" t="s">
        <v>3794</v>
      </c>
      <c r="E549" s="3" t="str">
        <f>IFERROR(__xludf.DUMMYFUNCTION("GOOGLETRANSLATE($D549,""EN"",""RU"")")," Скачки")</f>
        <v> Скачки</v>
      </c>
      <c r="F549" s="3" t="s">
        <v>2649</v>
      </c>
      <c r="G549" s="3" t="s">
        <v>138</v>
      </c>
      <c r="H549" s="3" t="s">
        <v>65</v>
      </c>
      <c r="I549" s="3" t="s">
        <v>15</v>
      </c>
      <c r="J549" s="3" t="s">
        <v>65</v>
      </c>
      <c r="K549" s="3" t="s">
        <v>3044</v>
      </c>
      <c r="L549" s="3" t="s">
        <v>1601</v>
      </c>
      <c r="M549" s="3" t="s">
        <v>3044</v>
      </c>
      <c r="N549" s="3" t="s">
        <v>1425</v>
      </c>
      <c r="O549" s="3">
        <v>1.0</v>
      </c>
    </row>
    <row r="550" ht="15.75" customHeight="1">
      <c r="A550" s="3" t="s">
        <v>953</v>
      </c>
      <c r="B550" s="3" t="s">
        <v>3795</v>
      </c>
      <c r="C550" s="3" t="s">
        <v>3796</v>
      </c>
      <c r="D550" s="3" t="s">
        <v>3797</v>
      </c>
      <c r="E550" s="3" t="str">
        <f>IFERROR(__xludf.DUMMYFUNCTION("GOOGLETRANSLATE($D550,""EN"",""RU"")")," Семья")</f>
        <v> Семья</v>
      </c>
      <c r="F550" s="3" t="s">
        <v>2649</v>
      </c>
      <c r="G550" s="3" t="s">
        <v>138</v>
      </c>
      <c r="H550" s="3" t="s">
        <v>41</v>
      </c>
      <c r="I550" s="3" t="s">
        <v>15</v>
      </c>
      <c r="J550" s="3" t="s">
        <v>90</v>
      </c>
      <c r="K550" s="3" t="s">
        <v>2333</v>
      </c>
      <c r="L550" s="3" t="s">
        <v>1601</v>
      </c>
      <c r="M550" s="3" t="s">
        <v>2812</v>
      </c>
      <c r="N550" s="3" t="s">
        <v>2333</v>
      </c>
      <c r="O550" s="3">
        <v>2.0</v>
      </c>
    </row>
    <row r="551" ht="15.75" customHeight="1">
      <c r="A551" s="3" t="s">
        <v>845</v>
      </c>
      <c r="B551" s="3" t="s">
        <v>3798</v>
      </c>
      <c r="C551" s="3" t="s">
        <v>3799</v>
      </c>
      <c r="D551" s="3" t="s">
        <v>3800</v>
      </c>
      <c r="E551" s="3" t="str">
        <f>IFERROR(__xludf.DUMMYFUNCTION("GOOGLETRANSLATE($D551,""EN"",""RU"")")," Малыш-ангелочек")</f>
        <v> Малыш-ангелочек</v>
      </c>
      <c r="F551" s="3" t="s">
        <v>2649</v>
      </c>
      <c r="G551" s="3" t="s">
        <v>138</v>
      </c>
      <c r="H551" s="3" t="s">
        <v>15</v>
      </c>
      <c r="I551" s="3" t="s">
        <v>28</v>
      </c>
      <c r="J551" s="3" t="s">
        <v>102</v>
      </c>
      <c r="K551" s="3" t="s">
        <v>1601</v>
      </c>
      <c r="L551" s="3" t="s">
        <v>1772</v>
      </c>
      <c r="M551" s="3" t="s">
        <v>1771</v>
      </c>
      <c r="N551" s="3" t="s">
        <v>1675</v>
      </c>
      <c r="O551" s="3">
        <v>2.0</v>
      </c>
    </row>
    <row r="552" ht="15.75" customHeight="1">
      <c r="A552" s="3" t="s">
        <v>3801</v>
      </c>
      <c r="B552" s="3" t="s">
        <v>3802</v>
      </c>
      <c r="C552" s="3" t="s">
        <v>3803</v>
      </c>
      <c r="D552" s="3" t="s">
        <v>3804</v>
      </c>
      <c r="E552" s="3" t="str">
        <f>IFERROR(__xludf.DUMMYFUNCTION("GOOGLETRANSLATE($D552,""EN"",""RU"")")," Бикини")</f>
        <v> Бикини</v>
      </c>
      <c r="F552" s="3" t="s">
        <v>358</v>
      </c>
      <c r="G552" s="3" t="s">
        <v>138</v>
      </c>
      <c r="H552" s="3" t="s">
        <v>90</v>
      </c>
      <c r="I552" s="3" t="s">
        <v>41</v>
      </c>
      <c r="J552" s="3" t="s">
        <v>15</v>
      </c>
      <c r="K552" s="3" t="s">
        <v>2812</v>
      </c>
      <c r="L552" s="3" t="s">
        <v>2333</v>
      </c>
      <c r="M552" s="3" t="s">
        <v>1601</v>
      </c>
      <c r="N552" s="3" t="s">
        <v>3805</v>
      </c>
      <c r="O552" s="3">
        <v>0.0</v>
      </c>
    </row>
    <row r="553" ht="15.75" customHeight="1">
      <c r="A553" s="3" t="s">
        <v>3806</v>
      </c>
      <c r="B553" s="3" t="s">
        <v>3807</v>
      </c>
      <c r="C553" s="3" t="s">
        <v>3808</v>
      </c>
      <c r="D553" s="3" t="s">
        <v>3809</v>
      </c>
      <c r="E553" s="3" t="str">
        <f>IFERROR(__xludf.DUMMYFUNCTION("GOOGLETRANSLATE($D553,""EN"",""RU"")")," Солнечные очки")</f>
        <v> Солнечные очки</v>
      </c>
      <c r="F553" s="3" t="s">
        <v>358</v>
      </c>
      <c r="G553" s="3" t="s">
        <v>138</v>
      </c>
      <c r="H553" s="3" t="s">
        <v>2226</v>
      </c>
      <c r="I553" s="3" t="s">
        <v>15</v>
      </c>
      <c r="J553" s="3" t="s">
        <v>126</v>
      </c>
      <c r="K553" s="3" t="s">
        <v>1773</v>
      </c>
      <c r="L553" s="3" t="s">
        <v>1601</v>
      </c>
      <c r="M553" s="3" t="s">
        <v>3810</v>
      </c>
      <c r="N553" s="3" t="s">
        <v>3376</v>
      </c>
      <c r="O553" s="3">
        <v>2.0</v>
      </c>
    </row>
    <row r="554" ht="15.75" customHeight="1">
      <c r="A554" s="3" t="s">
        <v>3811</v>
      </c>
      <c r="B554" s="3" t="s">
        <v>3812</v>
      </c>
      <c r="C554" s="3" t="s">
        <v>3813</v>
      </c>
      <c r="D554" s="3" t="s">
        <v>3814</v>
      </c>
      <c r="E554" s="3" t="str">
        <f>IFERROR(__xludf.DUMMYFUNCTION("GOOGLETRANSLATE($D554,""EN"",""RU"")")," Люди с кроличьими ушками")</f>
        <v> Люди с кроличьими ушками</v>
      </c>
      <c r="F554" s="3" t="s">
        <v>178</v>
      </c>
      <c r="G554" s="3" t="s">
        <v>138</v>
      </c>
      <c r="H554" s="3" t="s">
        <v>41</v>
      </c>
      <c r="I554" s="3" t="s">
        <v>28</v>
      </c>
      <c r="J554" s="3" t="s">
        <v>77</v>
      </c>
      <c r="K554" s="3" t="s">
        <v>2333</v>
      </c>
      <c r="L554" s="3" t="s">
        <v>1772</v>
      </c>
      <c r="M554" s="3" t="s">
        <v>1675</v>
      </c>
      <c r="N554" s="3" t="s">
        <v>2619</v>
      </c>
      <c r="O554" s="3">
        <v>2.0</v>
      </c>
    </row>
    <row r="555" ht="15.75" customHeight="1">
      <c r="A555" s="3" t="s">
        <v>3815</v>
      </c>
      <c r="B555" s="3" t="s">
        <v>3816</v>
      </c>
      <c r="C555" s="3" t="s">
        <v>3817</v>
      </c>
      <c r="D555" s="3" t="s">
        <v>3818</v>
      </c>
      <c r="E555" s="3" t="str">
        <f>IFERROR(__xludf.DUMMYFUNCTION("GOOGLETRANSLATE($D555,""EN"",""RU"")")," Чужой монстр")</f>
        <v> Чужой монстр</v>
      </c>
      <c r="F555" s="3" t="s">
        <v>358</v>
      </c>
      <c r="G555" s="3" t="s">
        <v>138</v>
      </c>
      <c r="H555" s="3" t="s">
        <v>114</v>
      </c>
      <c r="I555" s="3" t="s">
        <v>28</v>
      </c>
      <c r="J555" s="3" t="s">
        <v>2226</v>
      </c>
      <c r="K555" s="3" t="s">
        <v>3376</v>
      </c>
      <c r="L555" s="3" t="s">
        <v>1772</v>
      </c>
      <c r="M555" s="3" t="s">
        <v>1773</v>
      </c>
      <c r="N555" s="3" t="s">
        <v>3819</v>
      </c>
      <c r="O555" s="3">
        <v>0.0</v>
      </c>
    </row>
    <row r="556" ht="15.75" customHeight="1">
      <c r="A556" s="3" t="s">
        <v>3820</v>
      </c>
      <c r="B556" s="3" t="s">
        <v>3821</v>
      </c>
      <c r="C556" s="3" t="s">
        <v>3822</v>
      </c>
      <c r="D556" s="3" t="s">
        <v>3823</v>
      </c>
      <c r="E556" s="3" t="str">
        <f>IFERROR(__xludf.DUMMYFUNCTION("GOOGLETRANSLATE($D556,""EN"",""RU"")")," Снеговик без снега")</f>
        <v> Снеговик без снега</v>
      </c>
      <c r="F556" s="3" t="s">
        <v>81</v>
      </c>
      <c r="G556" s="3" t="s">
        <v>138</v>
      </c>
      <c r="H556" s="3" t="s">
        <v>15</v>
      </c>
      <c r="I556" s="3" t="s">
        <v>15</v>
      </c>
      <c r="J556" s="3" t="s">
        <v>114</v>
      </c>
      <c r="K556" s="3" t="s">
        <v>1601</v>
      </c>
      <c r="L556" s="3" t="s">
        <v>1601</v>
      </c>
      <c r="M556" s="3" t="s">
        <v>3376</v>
      </c>
      <c r="N556" s="3" t="s">
        <v>2812</v>
      </c>
      <c r="O556" s="3">
        <v>2.0</v>
      </c>
    </row>
    <row r="557" ht="15.75" customHeight="1">
      <c r="A557" s="3" t="s">
        <v>3824</v>
      </c>
      <c r="B557" s="3" t="s">
        <v>3825</v>
      </c>
      <c r="C557" s="3" t="s">
        <v>3826</v>
      </c>
      <c r="D557" s="3" t="s">
        <v>3827</v>
      </c>
      <c r="E557" s="3" t="str">
        <f>IFERROR(__xludf.DUMMYFUNCTION("GOOGLETRANSLATE($D557,""EN"",""RU"")")," Германия")</f>
        <v> Германия</v>
      </c>
      <c r="F557" s="3" t="s">
        <v>559</v>
      </c>
      <c r="G557" s="3" t="s">
        <v>138</v>
      </c>
      <c r="H557" s="3" t="s">
        <v>28</v>
      </c>
      <c r="I557" s="3" t="s">
        <v>77</v>
      </c>
      <c r="J557" s="3" t="s">
        <v>41</v>
      </c>
      <c r="K557" s="3" t="s">
        <v>1772</v>
      </c>
      <c r="L557" s="3" t="s">
        <v>1675</v>
      </c>
      <c r="M557" s="3" t="s">
        <v>2333</v>
      </c>
      <c r="N557" s="3" t="s">
        <v>1773</v>
      </c>
      <c r="O557" s="3">
        <v>2.0</v>
      </c>
    </row>
    <row r="558" ht="15.75" customHeight="1">
      <c r="A558" s="3" t="s">
        <v>3828</v>
      </c>
      <c r="B558" s="3" t="s">
        <v>3829</v>
      </c>
      <c r="C558" s="3" t="s">
        <v>3830</v>
      </c>
      <c r="D558" s="3" t="s">
        <v>3831</v>
      </c>
      <c r="E558" s="3" t="str">
        <f>IFERROR(__xludf.DUMMYFUNCTION("GOOGLETRANSLATE($D558,""EN"",""RU"")")," Курица")</f>
        <v> Курица</v>
      </c>
      <c r="F558" s="3" t="s">
        <v>81</v>
      </c>
      <c r="G558" s="3" t="s">
        <v>138</v>
      </c>
      <c r="H558" s="3" t="s">
        <v>28</v>
      </c>
      <c r="I558" s="3" t="s">
        <v>28</v>
      </c>
      <c r="J558" s="3" t="s">
        <v>90</v>
      </c>
      <c r="K558" s="3" t="s">
        <v>1772</v>
      </c>
      <c r="L558" s="3" t="s">
        <v>1772</v>
      </c>
      <c r="M558" s="3" t="s">
        <v>2812</v>
      </c>
      <c r="N558" s="3" t="s">
        <v>3790</v>
      </c>
      <c r="O558" s="3">
        <v>2.0</v>
      </c>
    </row>
    <row r="559" ht="15.75" customHeight="1">
      <c r="A559" s="3" t="s">
        <v>3832</v>
      </c>
      <c r="B559" s="3" t="s">
        <v>3833</v>
      </c>
      <c r="C559" s="3" t="s">
        <v>3834</v>
      </c>
      <c r="D559" s="3" t="s">
        <v>3835</v>
      </c>
      <c r="E559" s="3" t="str">
        <f>IFERROR(__xludf.DUMMYFUNCTION("GOOGLETRANSLATE($D559,""EN"",""RU"")")," Символ атома")</f>
        <v> Символ атома</v>
      </c>
      <c r="F559" s="3" t="s">
        <v>637</v>
      </c>
      <c r="G559" s="3" t="s">
        <v>138</v>
      </c>
      <c r="H559" s="3" t="s">
        <v>28</v>
      </c>
      <c r="I559" s="3" t="s">
        <v>102</v>
      </c>
      <c r="J559" s="3" t="s">
        <v>15</v>
      </c>
      <c r="K559" s="3" t="s">
        <v>1772</v>
      </c>
      <c r="L559" s="3" t="s">
        <v>1771</v>
      </c>
      <c r="M559" s="3" t="s">
        <v>1601</v>
      </c>
      <c r="N559" s="3" t="s">
        <v>3836</v>
      </c>
      <c r="O559" s="3">
        <v>0.0</v>
      </c>
    </row>
    <row r="560" ht="15.75" customHeight="1">
      <c r="A560" s="3" t="s">
        <v>3837</v>
      </c>
      <c r="B560" s="3" t="s">
        <v>3838</v>
      </c>
      <c r="C560" s="3" t="s">
        <v>3839</v>
      </c>
      <c r="D560" s="3" t="s">
        <v>3840</v>
      </c>
      <c r="E560" s="3" t="str">
        <f>IFERROR(__xludf.DUMMYFUNCTION("GOOGLETRANSLATE($D560,""EN"",""RU"")")," Солнце за дождевым облаком")</f>
        <v> Солнце за дождевым облаком</v>
      </c>
      <c r="F560" s="3" t="s">
        <v>81</v>
      </c>
      <c r="G560" s="3" t="s">
        <v>138</v>
      </c>
      <c r="H560" s="3" t="s">
        <v>15</v>
      </c>
      <c r="I560" s="3" t="s">
        <v>15</v>
      </c>
      <c r="J560" s="3" t="s">
        <v>114</v>
      </c>
      <c r="K560" s="3" t="s">
        <v>1601</v>
      </c>
      <c r="L560" s="3" t="s">
        <v>1601</v>
      </c>
      <c r="M560" s="3" t="s">
        <v>3376</v>
      </c>
      <c r="N560" s="3" t="s">
        <v>2812</v>
      </c>
      <c r="O560" s="3">
        <v>2.0</v>
      </c>
    </row>
    <row r="561" ht="15.75" customHeight="1">
      <c r="A561" s="3" t="s">
        <v>167</v>
      </c>
      <c r="B561" s="3" t="s">
        <v>3841</v>
      </c>
      <c r="C561" s="3" t="s">
        <v>3842</v>
      </c>
      <c r="D561" s="3" t="s">
        <v>3843</v>
      </c>
      <c r="E561" s="3" t="str">
        <f>IFERROR(__xludf.DUMMYFUNCTION("GOOGLETRANSLATE($D561,""EN"",""RU"")")," Вулкан")</f>
        <v> Вулкан</v>
      </c>
      <c r="F561" s="3" t="s">
        <v>81</v>
      </c>
      <c r="G561" s="3" t="s">
        <v>138</v>
      </c>
      <c r="H561" s="3" t="s">
        <v>28</v>
      </c>
      <c r="I561" s="3" t="s">
        <v>28</v>
      </c>
      <c r="J561" s="3" t="s">
        <v>90</v>
      </c>
      <c r="K561" s="3" t="s">
        <v>1772</v>
      </c>
      <c r="L561" s="3" t="s">
        <v>1772</v>
      </c>
      <c r="M561" s="3" t="s">
        <v>2812</v>
      </c>
      <c r="N561" s="3" t="s">
        <v>3790</v>
      </c>
      <c r="O561" s="3">
        <v>2.0</v>
      </c>
    </row>
    <row r="562" ht="15.75" customHeight="1">
      <c r="A562" s="3" t="s">
        <v>335</v>
      </c>
      <c r="B562" s="3" t="s">
        <v>3844</v>
      </c>
      <c r="C562" s="3" t="s">
        <v>3845</v>
      </c>
      <c r="D562" s="3" t="s">
        <v>3846</v>
      </c>
      <c r="E562" s="3" t="str">
        <f>IFERROR(__xludf.DUMMYFUNCTION("GOOGLETRANSLATE($D562,""EN"",""RU"")")," Белый восклицательный знак")</f>
        <v> Белый восклицательный знак</v>
      </c>
      <c r="F562" s="3" t="s">
        <v>637</v>
      </c>
      <c r="G562" s="3" t="s">
        <v>138</v>
      </c>
      <c r="H562" s="3" t="s">
        <v>41</v>
      </c>
      <c r="I562" s="3" t="s">
        <v>28</v>
      </c>
      <c r="J562" s="3" t="s">
        <v>77</v>
      </c>
      <c r="K562" s="3" t="s">
        <v>2333</v>
      </c>
      <c r="L562" s="3" t="s">
        <v>1772</v>
      </c>
      <c r="M562" s="3" t="s">
        <v>1675</v>
      </c>
      <c r="N562" s="3" t="s">
        <v>2619</v>
      </c>
      <c r="O562" s="3">
        <v>2.0</v>
      </c>
    </row>
    <row r="563" ht="15.75" customHeight="1">
      <c r="A563" s="3" t="s">
        <v>421</v>
      </c>
      <c r="B563" s="3" t="s">
        <v>3847</v>
      </c>
      <c r="C563" s="3" t="s">
        <v>3848</v>
      </c>
      <c r="D563" s="3" t="s">
        <v>3849</v>
      </c>
      <c r="E563" s="3" t="str">
        <f>IFERROR(__xludf.DUMMYFUNCTION("GOOGLETRANSLATE($D563,""EN"",""RU"")")," Облако с молнией")</f>
        <v> Облако с молнией</v>
      </c>
      <c r="F563" s="3" t="s">
        <v>81</v>
      </c>
      <c r="G563" s="3" t="s">
        <v>138</v>
      </c>
      <c r="H563" s="3" t="s">
        <v>28</v>
      </c>
      <c r="I563" s="3" t="s">
        <v>41</v>
      </c>
      <c r="J563" s="3" t="s">
        <v>77</v>
      </c>
      <c r="K563" s="3" t="s">
        <v>1772</v>
      </c>
      <c r="L563" s="3" t="s">
        <v>2333</v>
      </c>
      <c r="M563" s="3" t="s">
        <v>1675</v>
      </c>
      <c r="N563" s="3" t="s">
        <v>2333</v>
      </c>
      <c r="O563" s="3">
        <v>2.0</v>
      </c>
    </row>
    <row r="564" ht="15.75" customHeight="1">
      <c r="A564" s="3" t="s">
        <v>3850</v>
      </c>
      <c r="B564" s="3" t="s">
        <v>3851</v>
      </c>
      <c r="C564" s="3" t="s">
        <v>3852</v>
      </c>
      <c r="D564" s="3" t="s">
        <v>3853</v>
      </c>
      <c r="E564" s="3" t="str">
        <f>IFERROR(__xludf.DUMMYFUNCTION("GOOGLETRANSLATE($D564,""EN"",""RU"")")," Правый кулак")</f>
        <v> Правый кулак</v>
      </c>
      <c r="F564" s="3" t="s">
        <v>178</v>
      </c>
      <c r="G564" s="3" t="s">
        <v>126</v>
      </c>
      <c r="H564" s="3" t="s">
        <v>65</v>
      </c>
      <c r="I564" s="3" t="s">
        <v>53</v>
      </c>
      <c r="J564" s="3" t="s">
        <v>15</v>
      </c>
      <c r="K564" s="3" t="s">
        <v>3126</v>
      </c>
      <c r="L564" s="3" t="s">
        <v>3854</v>
      </c>
      <c r="M564" s="3" t="s">
        <v>1578</v>
      </c>
      <c r="N564" s="3" t="s">
        <v>3855</v>
      </c>
      <c r="O564" s="3">
        <v>0.0</v>
      </c>
    </row>
    <row r="565" ht="15.75" customHeight="1">
      <c r="A565" s="3" t="s">
        <v>3856</v>
      </c>
      <c r="B565" s="3" t="s">
        <v>3857</v>
      </c>
      <c r="C565" s="3" t="s">
        <v>3858</v>
      </c>
      <c r="D565" s="3" t="s">
        <v>3859</v>
      </c>
      <c r="E565" s="3" t="str">
        <f>IFERROR(__xludf.DUMMYFUNCTION("GOOGLETRANSLATE($D565,""EN"",""RU"")")," Чужак")</f>
        <v> Чужак</v>
      </c>
      <c r="F565" s="3" t="s">
        <v>358</v>
      </c>
      <c r="G565" s="3" t="s">
        <v>126</v>
      </c>
      <c r="H565" s="3" t="s">
        <v>90</v>
      </c>
      <c r="I565" s="3" t="s">
        <v>28</v>
      </c>
      <c r="J565" s="3" t="s">
        <v>15</v>
      </c>
      <c r="K565" s="3" t="s">
        <v>3120</v>
      </c>
      <c r="L565" s="3" t="s">
        <v>2070</v>
      </c>
      <c r="M565" s="3" t="s">
        <v>1578</v>
      </c>
      <c r="N565" s="3" t="s">
        <v>3860</v>
      </c>
      <c r="O565" s="3">
        <v>0.0</v>
      </c>
    </row>
    <row r="566" ht="15.75" customHeight="1">
      <c r="A566" s="3" t="s">
        <v>3861</v>
      </c>
      <c r="B566" s="3" t="s">
        <v>3862</v>
      </c>
      <c r="C566" s="3" t="s">
        <v>3863</v>
      </c>
      <c r="D566" s="3" t="s">
        <v>3864</v>
      </c>
      <c r="E566" s="3" t="str">
        <f>IFERROR(__xludf.DUMMYFUNCTION("GOOGLETRANSLATE($D566,""EN"",""RU"")")," Туалет")</f>
        <v> Туалет</v>
      </c>
      <c r="F566" s="3" t="s">
        <v>637</v>
      </c>
      <c r="G566" s="3" t="s">
        <v>126</v>
      </c>
      <c r="H566" s="3" t="s">
        <v>28</v>
      </c>
      <c r="I566" s="3" t="s">
        <v>15</v>
      </c>
      <c r="J566" s="3" t="s">
        <v>90</v>
      </c>
      <c r="K566" s="3" t="s">
        <v>2070</v>
      </c>
      <c r="L566" s="3" t="s">
        <v>1578</v>
      </c>
      <c r="M566" s="3" t="s">
        <v>3120</v>
      </c>
      <c r="N566" s="3" t="s">
        <v>3854</v>
      </c>
      <c r="O566" s="3">
        <v>2.0</v>
      </c>
    </row>
    <row r="567" ht="15.75" customHeight="1">
      <c r="A567" s="3" t="s">
        <v>3865</v>
      </c>
      <c r="B567" s="3" t="s">
        <v>3866</v>
      </c>
      <c r="C567" s="3" t="s">
        <v>3867</v>
      </c>
      <c r="D567" s="3" t="s">
        <v>3868</v>
      </c>
      <c r="E567" s="3" t="str">
        <f>IFERROR(__xludf.DUMMYFUNCTION("GOOGLETRANSLATE($D567,""EN"",""RU"")")," Человек, переворачивающий телегу")</f>
        <v> Человек, переворачивающий телегу</v>
      </c>
      <c r="F567" s="3" t="s">
        <v>2649</v>
      </c>
      <c r="G567" s="3" t="s">
        <v>126</v>
      </c>
      <c r="H567" s="3" t="s">
        <v>41</v>
      </c>
      <c r="I567" s="3" t="s">
        <v>77</v>
      </c>
      <c r="J567" s="3" t="s">
        <v>15</v>
      </c>
      <c r="K567" s="3" t="s">
        <v>1744</v>
      </c>
      <c r="L567" s="3" t="s">
        <v>2408</v>
      </c>
      <c r="M567" s="3" t="s">
        <v>1578</v>
      </c>
      <c r="N567" s="3" t="s">
        <v>3869</v>
      </c>
      <c r="O567" s="3">
        <v>0.0</v>
      </c>
    </row>
    <row r="568" ht="15.75" customHeight="1">
      <c r="A568" s="3" t="s">
        <v>3870</v>
      </c>
      <c r="B568" s="3" t="s">
        <v>3871</v>
      </c>
      <c r="C568" s="3" t="s">
        <v>3872</v>
      </c>
      <c r="D568" s="3" t="s">
        <v>3873</v>
      </c>
      <c r="E568" s="3" t="str">
        <f>IFERROR(__xludf.DUMMYFUNCTION("GOOGLETRANSLATE($D568,""EN"",""RU"")")," Огурец")</f>
        <v> Огурец</v>
      </c>
      <c r="F568" s="3" t="s">
        <v>1510</v>
      </c>
      <c r="G568" s="3" t="s">
        <v>126</v>
      </c>
      <c r="H568" s="3" t="s">
        <v>53</v>
      </c>
      <c r="I568" s="3" t="s">
        <v>77</v>
      </c>
      <c r="J568" s="3" t="s">
        <v>2226</v>
      </c>
      <c r="K568" s="3" t="s">
        <v>3854</v>
      </c>
      <c r="L568" s="3" t="s">
        <v>2408</v>
      </c>
      <c r="M568" s="3" t="s">
        <v>3119</v>
      </c>
      <c r="N568" s="3" t="s">
        <v>3855</v>
      </c>
      <c r="O568" s="3">
        <v>0.0</v>
      </c>
    </row>
    <row r="569" ht="15.75" customHeight="1">
      <c r="A569" s="3" t="s">
        <v>627</v>
      </c>
      <c r="B569" s="3" t="s">
        <v>3874</v>
      </c>
      <c r="C569" s="3" t="s">
        <v>3875</v>
      </c>
      <c r="D569" s="3" t="s">
        <v>3876</v>
      </c>
      <c r="E569" s="3" t="str">
        <f>IFERROR(__xludf.DUMMYFUNCTION("GOOGLETRANSLATE($D569,""EN"",""RU"")")," Арбуз")</f>
        <v> Арбуз</v>
      </c>
      <c r="F569" s="3" t="s">
        <v>1510</v>
      </c>
      <c r="G569" s="3" t="s">
        <v>126</v>
      </c>
      <c r="H569" s="3" t="s">
        <v>77</v>
      </c>
      <c r="I569" s="3" t="s">
        <v>28</v>
      </c>
      <c r="J569" s="3" t="s">
        <v>28</v>
      </c>
      <c r="K569" s="3" t="s">
        <v>2408</v>
      </c>
      <c r="L569" s="3" t="s">
        <v>2070</v>
      </c>
      <c r="M569" s="3" t="s">
        <v>2070</v>
      </c>
      <c r="N569" s="3" t="s">
        <v>3877</v>
      </c>
      <c r="O569" s="3">
        <v>0.0</v>
      </c>
    </row>
    <row r="570" ht="15.75" customHeight="1">
      <c r="A570" s="3" t="s">
        <v>926</v>
      </c>
      <c r="B570" s="3" t="s">
        <v>3878</v>
      </c>
      <c r="C570" s="3" t="s">
        <v>3879</v>
      </c>
      <c r="D570" s="3" t="s">
        <v>3880</v>
      </c>
      <c r="E570" s="3" t="str">
        <f>IFERROR(__xludf.DUMMYFUNCTION("GOOGLETRANSLATE($D570,""EN"",""RU"")")," Помидор")</f>
        <v> Помидор</v>
      </c>
      <c r="F570" s="3" t="s">
        <v>1510</v>
      </c>
      <c r="G570" s="3" t="s">
        <v>126</v>
      </c>
      <c r="H570" s="3" t="s">
        <v>2226</v>
      </c>
      <c r="I570" s="3" t="s">
        <v>65</v>
      </c>
      <c r="J570" s="3" t="s">
        <v>65</v>
      </c>
      <c r="K570" s="3" t="s">
        <v>3119</v>
      </c>
      <c r="L570" s="3" t="s">
        <v>3126</v>
      </c>
      <c r="M570" s="3" t="s">
        <v>3126</v>
      </c>
      <c r="N570" s="3" t="s">
        <v>3854</v>
      </c>
      <c r="O570" s="3">
        <v>2.0</v>
      </c>
    </row>
    <row r="571" ht="15.75" customHeight="1">
      <c r="A571" s="3" t="s">
        <v>3881</v>
      </c>
      <c r="B571" s="3" t="s">
        <v>3882</v>
      </c>
      <c r="C571" s="3" t="s">
        <v>3883</v>
      </c>
      <c r="D571" s="3" t="s">
        <v>3884</v>
      </c>
      <c r="E571" s="3" t="str">
        <f>IFERROR(__xludf.DUMMYFUNCTION("GOOGLETRANSLATE($D571,""EN"",""RU"")")," Школа")</f>
        <v> Школа</v>
      </c>
      <c r="F571" s="3" t="s">
        <v>2127</v>
      </c>
      <c r="G571" s="3" t="s">
        <v>126</v>
      </c>
      <c r="H571" s="3" t="s">
        <v>15</v>
      </c>
      <c r="I571" s="3" t="s">
        <v>114</v>
      </c>
      <c r="J571" s="3" t="s">
        <v>2226</v>
      </c>
      <c r="K571" s="3" t="s">
        <v>1578</v>
      </c>
      <c r="L571" s="3" t="s">
        <v>3885</v>
      </c>
      <c r="M571" s="3" t="s">
        <v>3119</v>
      </c>
      <c r="N571" s="3" t="s">
        <v>3886</v>
      </c>
      <c r="O571" s="3">
        <v>0.0</v>
      </c>
    </row>
    <row r="572" ht="15.75" customHeight="1">
      <c r="A572" s="3" t="s">
        <v>3887</v>
      </c>
      <c r="B572" s="3" t="s">
        <v>3888</v>
      </c>
      <c r="C572" s="3" t="s">
        <v>3889</v>
      </c>
      <c r="D572" s="3" t="s">
        <v>3890</v>
      </c>
      <c r="E572" s="3" t="str">
        <f>IFERROR(__xludf.DUMMYFUNCTION("GOOGLETRANSLATE($D572,""EN"",""RU"")")," Солнце за большим облаком")</f>
        <v> Солнце за большим облаком</v>
      </c>
      <c r="F572" s="3" t="s">
        <v>81</v>
      </c>
      <c r="G572" s="3" t="s">
        <v>126</v>
      </c>
      <c r="H572" s="3" t="s">
        <v>2226</v>
      </c>
      <c r="I572" s="3" t="s">
        <v>15</v>
      </c>
      <c r="J572" s="3" t="s">
        <v>114</v>
      </c>
      <c r="K572" s="3" t="s">
        <v>3119</v>
      </c>
      <c r="L572" s="3" t="s">
        <v>1578</v>
      </c>
      <c r="M572" s="3" t="s">
        <v>3885</v>
      </c>
      <c r="N572" s="3" t="s">
        <v>3891</v>
      </c>
      <c r="O572" s="3">
        <v>2.0</v>
      </c>
    </row>
    <row r="573" ht="15.75" customHeight="1">
      <c r="A573" s="3" t="s">
        <v>3892</v>
      </c>
      <c r="B573" s="3" t="s">
        <v>3893</v>
      </c>
      <c r="C573" s="3" t="s">
        <v>3894</v>
      </c>
      <c r="D573" s="3" t="s">
        <v>3895</v>
      </c>
      <c r="E573" s="3" t="str">
        <f>IFERROR(__xludf.DUMMYFUNCTION("GOOGLETRANSLATE($D573,""EN"",""RU"")")," Гаечный ключ")</f>
        <v> Гаечный ключ</v>
      </c>
      <c r="F573" s="3" t="s">
        <v>358</v>
      </c>
      <c r="G573" s="3" t="s">
        <v>126</v>
      </c>
      <c r="H573" s="3" t="s">
        <v>2226</v>
      </c>
      <c r="I573" s="3" t="s">
        <v>126</v>
      </c>
      <c r="J573" s="3" t="s">
        <v>2226</v>
      </c>
      <c r="K573" s="3" t="s">
        <v>3119</v>
      </c>
      <c r="L573" s="3" t="s">
        <v>3141</v>
      </c>
      <c r="M573" s="3" t="s">
        <v>3119</v>
      </c>
      <c r="N573" s="3" t="s">
        <v>1425</v>
      </c>
      <c r="O573" s="3">
        <v>1.0</v>
      </c>
    </row>
    <row r="574" ht="15.75" customHeight="1">
      <c r="A574" s="3" t="s">
        <v>3896</v>
      </c>
      <c r="B574" s="3" t="s">
        <v>3897</v>
      </c>
      <c r="C574" s="3" t="s">
        <v>3898</v>
      </c>
      <c r="D574" s="3" t="s">
        <v>3899</v>
      </c>
      <c r="E574" s="3" t="str">
        <f>IFERROR(__xludf.DUMMYFUNCTION("GOOGLETRANSLATE($D574,""EN"",""RU"")")," Символ регионального индикатора, буква H")</f>
        <v> Символ регионального индикатора, буква H</v>
      </c>
      <c r="F574" s="3" t="s">
        <v>637</v>
      </c>
      <c r="G574" s="3" t="s">
        <v>126</v>
      </c>
      <c r="H574" s="3" t="s">
        <v>28</v>
      </c>
      <c r="I574" s="3" t="s">
        <v>15</v>
      </c>
      <c r="J574" s="3" t="s">
        <v>90</v>
      </c>
      <c r="K574" s="3" t="s">
        <v>2070</v>
      </c>
      <c r="L574" s="3" t="s">
        <v>1578</v>
      </c>
      <c r="M574" s="3" t="s">
        <v>3120</v>
      </c>
      <c r="N574" s="3" t="s">
        <v>3854</v>
      </c>
      <c r="O574" s="3">
        <v>2.0</v>
      </c>
    </row>
    <row r="575" ht="15.75" customHeight="1">
      <c r="A575" s="3" t="s">
        <v>916</v>
      </c>
      <c r="B575" s="3" t="s">
        <v>3900</v>
      </c>
      <c r="C575" s="3" t="s">
        <v>3901</v>
      </c>
      <c r="D575" s="3" t="s">
        <v>3902</v>
      </c>
      <c r="E575" s="3" t="str">
        <f>IFERROR(__xludf.DUMMYFUNCTION("GOOGLETRANSLATE($D575,""EN"",""RU"")")," Старый ключ")</f>
        <v> Старый ключ</v>
      </c>
      <c r="F575" s="3" t="s">
        <v>358</v>
      </c>
      <c r="G575" s="3" t="s">
        <v>126</v>
      </c>
      <c r="H575" s="3" t="s">
        <v>53</v>
      </c>
      <c r="I575" s="3" t="s">
        <v>2226</v>
      </c>
      <c r="J575" s="3" t="s">
        <v>77</v>
      </c>
      <c r="K575" s="3" t="s">
        <v>3854</v>
      </c>
      <c r="L575" s="3" t="s">
        <v>3119</v>
      </c>
      <c r="M575" s="3" t="s">
        <v>2408</v>
      </c>
      <c r="N575" s="3" t="s">
        <v>3903</v>
      </c>
      <c r="O575" s="3">
        <v>2.0</v>
      </c>
    </row>
    <row r="576" ht="15.75" customHeight="1">
      <c r="A576" s="3" t="s">
        <v>824</v>
      </c>
      <c r="B576" s="3" t="s">
        <v>3904</v>
      </c>
      <c r="C576" s="3" t="s">
        <v>3905</v>
      </c>
      <c r="D576" s="3" t="s">
        <v>3906</v>
      </c>
      <c r="E576" s="3" t="str">
        <f>IFERROR(__xludf.DUMMYFUNCTION("GOOGLETRANSLATE($D576,""EN"",""RU"")")," Шесть часов")</f>
        <v> Шесть часов</v>
      </c>
      <c r="F576" s="3" t="s">
        <v>358</v>
      </c>
      <c r="G576" s="3" t="s">
        <v>126</v>
      </c>
      <c r="H576" s="3" t="s">
        <v>15</v>
      </c>
      <c r="I576" s="3" t="s">
        <v>90</v>
      </c>
      <c r="J576" s="3" t="s">
        <v>28</v>
      </c>
      <c r="K576" s="3" t="s">
        <v>1578</v>
      </c>
      <c r="L576" s="3" t="s">
        <v>3120</v>
      </c>
      <c r="M576" s="3" t="s">
        <v>2070</v>
      </c>
      <c r="N576" s="3" t="s">
        <v>3119</v>
      </c>
      <c r="O576" s="3">
        <v>2.0</v>
      </c>
    </row>
    <row r="577" ht="15.75" customHeight="1">
      <c r="A577" s="3" t="s">
        <v>3907</v>
      </c>
      <c r="B577" s="3" t="s">
        <v>3908</v>
      </c>
      <c r="C577" s="3" t="s">
        <v>3909</v>
      </c>
      <c r="D577" s="3" t="s">
        <v>3910</v>
      </c>
      <c r="E577" s="3" t="str">
        <f>IFERROR(__xludf.DUMMYFUNCTION("GOOGLETRANSLATE($D577,""EN"",""RU"")")," Каминные часы")</f>
        <v> Каминные часы</v>
      </c>
      <c r="F577" s="3" t="s">
        <v>358</v>
      </c>
      <c r="G577" s="3" t="s">
        <v>126</v>
      </c>
      <c r="H577" s="3" t="s">
        <v>41</v>
      </c>
      <c r="I577" s="3" t="s">
        <v>28</v>
      </c>
      <c r="J577" s="3" t="s">
        <v>65</v>
      </c>
      <c r="K577" s="3" t="s">
        <v>1744</v>
      </c>
      <c r="L577" s="3" t="s">
        <v>2070</v>
      </c>
      <c r="M577" s="3" t="s">
        <v>3126</v>
      </c>
      <c r="N577" s="3" t="s">
        <v>1578</v>
      </c>
      <c r="O577" s="3">
        <v>2.0</v>
      </c>
    </row>
    <row r="578" ht="15.75" customHeight="1">
      <c r="A578" s="3" t="s">
        <v>180</v>
      </c>
      <c r="B578" s="3" t="s">
        <v>3911</v>
      </c>
      <c r="C578" s="3" t="s">
        <v>3912</v>
      </c>
      <c r="D578" s="3" t="s">
        <v>3913</v>
      </c>
      <c r="E578" s="3" t="str">
        <f>IFERROR(__xludf.DUMMYFUNCTION("GOOGLETRANSLATE($D578,""EN"",""RU"")")," Скрепка для бумаг")</f>
        <v> Скрепка для бумаг</v>
      </c>
      <c r="F578" s="3" t="s">
        <v>358</v>
      </c>
      <c r="G578" s="3" t="s">
        <v>126</v>
      </c>
      <c r="H578" s="3" t="s">
        <v>15</v>
      </c>
      <c r="I578" s="3" t="s">
        <v>77</v>
      </c>
      <c r="J578" s="3" t="s">
        <v>41</v>
      </c>
      <c r="K578" s="3" t="s">
        <v>1578</v>
      </c>
      <c r="L578" s="3" t="s">
        <v>2408</v>
      </c>
      <c r="M578" s="3" t="s">
        <v>1744</v>
      </c>
      <c r="N578" s="3" t="s">
        <v>1578</v>
      </c>
      <c r="O578" s="3">
        <v>2.0</v>
      </c>
    </row>
    <row r="579" ht="15.75" customHeight="1">
      <c r="A579" s="3" t="s">
        <v>3914</v>
      </c>
      <c r="B579" s="3" t="s">
        <v>3915</v>
      </c>
      <c r="C579" s="3" t="s">
        <v>3916</v>
      </c>
      <c r="D579" s="3" t="s">
        <v>3917</v>
      </c>
      <c r="E579" s="3" t="str">
        <f>IFERROR(__xludf.DUMMYFUNCTION("GOOGLETRANSLATE($D579,""EN"",""RU"")")," Молоток и гаечный ключ")</f>
        <v> Молоток и гаечный ключ</v>
      </c>
      <c r="F579" s="3" t="s">
        <v>358</v>
      </c>
      <c r="G579" s="3" t="s">
        <v>126</v>
      </c>
      <c r="H579" s="3" t="s">
        <v>77</v>
      </c>
      <c r="I579" s="3" t="s">
        <v>53</v>
      </c>
      <c r="J579" s="3" t="s">
        <v>2226</v>
      </c>
      <c r="K579" s="3" t="s">
        <v>2408</v>
      </c>
      <c r="L579" s="3" t="s">
        <v>3854</v>
      </c>
      <c r="M579" s="3" t="s">
        <v>3119</v>
      </c>
      <c r="N579" s="3" t="s">
        <v>3918</v>
      </c>
      <c r="O579" s="3">
        <v>0.0</v>
      </c>
    </row>
    <row r="580" ht="15.75" customHeight="1">
      <c r="A580" s="3" t="s">
        <v>550</v>
      </c>
      <c r="B580" s="3" t="s">
        <v>3919</v>
      </c>
      <c r="C580" s="3" t="s">
        <v>3920</v>
      </c>
      <c r="D580" s="3" t="s">
        <v>3921</v>
      </c>
      <c r="E580" s="3" t="str">
        <f>IFERROR(__xludf.DUMMYFUNCTION("GOOGLETRANSLATE($D580,""EN"",""RU"")")," Лицо ветра")</f>
        <v> Лицо ветра</v>
      </c>
      <c r="F580" s="3" t="s">
        <v>81</v>
      </c>
      <c r="G580" s="3" t="s">
        <v>126</v>
      </c>
      <c r="H580" s="3" t="s">
        <v>28</v>
      </c>
      <c r="I580" s="3" t="s">
        <v>41</v>
      </c>
      <c r="J580" s="3" t="s">
        <v>65</v>
      </c>
      <c r="K580" s="3" t="s">
        <v>2070</v>
      </c>
      <c r="L580" s="3" t="s">
        <v>1744</v>
      </c>
      <c r="M580" s="3" t="s">
        <v>3126</v>
      </c>
      <c r="N580" s="3" t="s">
        <v>2070</v>
      </c>
      <c r="O580" s="3">
        <v>2.0</v>
      </c>
    </row>
    <row r="581" ht="15.75" customHeight="1">
      <c r="A581" s="3" t="s">
        <v>3922</v>
      </c>
      <c r="B581" s="3" t="s">
        <v>3923</v>
      </c>
      <c r="C581" s="3" t="s">
        <v>3924</v>
      </c>
      <c r="D581" s="3" t="s">
        <v>3925</v>
      </c>
      <c r="E581" s="3" t="str">
        <f>IFERROR(__xludf.DUMMYFUNCTION("GOOGLETRANSLATE($D581,""EN"",""RU"")")," Стрелка влево, изгибающаяся вправо")</f>
        <v> Стрелка влево, изгибающаяся вправо</v>
      </c>
      <c r="F581" s="3" t="s">
        <v>637</v>
      </c>
      <c r="G581" s="3" t="s">
        <v>126</v>
      </c>
      <c r="H581" s="3" t="s">
        <v>28</v>
      </c>
      <c r="I581" s="3" t="s">
        <v>77</v>
      </c>
      <c r="J581" s="3" t="s">
        <v>28</v>
      </c>
      <c r="K581" s="3" t="s">
        <v>2070</v>
      </c>
      <c r="L581" s="3" t="s">
        <v>2408</v>
      </c>
      <c r="M581" s="3" t="s">
        <v>2070</v>
      </c>
      <c r="N581" s="3" t="s">
        <v>1425</v>
      </c>
      <c r="O581" s="3">
        <v>1.0</v>
      </c>
    </row>
    <row r="582" ht="15.75" customHeight="1">
      <c r="A582" s="3" t="s">
        <v>3926</v>
      </c>
      <c r="B582" s="3" t="s">
        <v>3927</v>
      </c>
      <c r="C582" s="3" t="s">
        <v>3928</v>
      </c>
      <c r="D582" s="3" t="s">
        <v>3929</v>
      </c>
      <c r="E582" s="3" t="str">
        <f>IFERROR(__xludf.DUMMYFUNCTION("GOOGLETRANSLATE($D582,""EN"",""RU"")")," Ухмыляющаяся кошачья морда с улыбающимися глазами")</f>
        <v> Ухмыляющаяся кошачья морда с улыбающимися глазами</v>
      </c>
      <c r="F582" s="3" t="s">
        <v>19</v>
      </c>
      <c r="G582" s="3" t="s">
        <v>114</v>
      </c>
      <c r="H582" s="3" t="s">
        <v>15</v>
      </c>
      <c r="I582" s="3" t="s">
        <v>28</v>
      </c>
      <c r="J582" s="3" t="s">
        <v>77</v>
      </c>
      <c r="K582" s="3" t="s">
        <v>1901</v>
      </c>
      <c r="L582" s="3" t="s">
        <v>1798</v>
      </c>
      <c r="M582" s="3" t="s">
        <v>1957</v>
      </c>
      <c r="N582" s="3" t="s">
        <v>3930</v>
      </c>
      <c r="O582" s="3">
        <v>2.0</v>
      </c>
    </row>
    <row r="583" ht="15.75" customHeight="1">
      <c r="A583" s="3" t="s">
        <v>3931</v>
      </c>
      <c r="B583" s="3" t="s">
        <v>3932</v>
      </c>
      <c r="C583" s="3" t="s">
        <v>3933</v>
      </c>
      <c r="D583" s="3" t="s">
        <v>3934</v>
      </c>
      <c r="E583" s="3" t="str">
        <f>IFERROR(__xludf.DUMMYFUNCTION("GOOGLETRANSLATE($D583,""EN"",""RU"")")," Саксофон")</f>
        <v> Саксофон</v>
      </c>
      <c r="F583" s="3" t="s">
        <v>358</v>
      </c>
      <c r="G583" s="3" t="s">
        <v>114</v>
      </c>
      <c r="H583" s="3" t="s">
        <v>28</v>
      </c>
      <c r="I583" s="3" t="s">
        <v>41</v>
      </c>
      <c r="J583" s="3" t="s">
        <v>53</v>
      </c>
      <c r="K583" s="3" t="s">
        <v>1798</v>
      </c>
      <c r="L583" s="3" t="s">
        <v>2378</v>
      </c>
      <c r="M583" s="3" t="s">
        <v>3930</v>
      </c>
      <c r="N583" s="3" t="s">
        <v>2632</v>
      </c>
      <c r="O583" s="3">
        <v>2.0</v>
      </c>
    </row>
    <row r="584" ht="15.75" customHeight="1">
      <c r="A584" s="3" t="s">
        <v>3935</v>
      </c>
      <c r="B584" s="3" t="s">
        <v>3936</v>
      </c>
      <c r="C584" s="3" t="s">
        <v>3937</v>
      </c>
      <c r="D584" s="3" t="s">
        <v>3938</v>
      </c>
      <c r="E584" s="3" t="str">
        <f>IFERROR(__xludf.DUMMYFUNCTION("GOOGLETRANSLATE($D584,""EN"",""RU"")")," Символ регионального индикатора, буква L")</f>
        <v> Символ регионального индикатора, буква L</v>
      </c>
      <c r="F584" s="3" t="s">
        <v>637</v>
      </c>
      <c r="G584" s="3" t="s">
        <v>114</v>
      </c>
      <c r="H584" s="3" t="s">
        <v>53</v>
      </c>
      <c r="I584" s="3" t="s">
        <v>15</v>
      </c>
      <c r="J584" s="3" t="s">
        <v>53</v>
      </c>
      <c r="K584" s="3" t="s">
        <v>3930</v>
      </c>
      <c r="L584" s="3" t="s">
        <v>1901</v>
      </c>
      <c r="M584" s="3" t="s">
        <v>3930</v>
      </c>
      <c r="N584" s="3" t="s">
        <v>1425</v>
      </c>
      <c r="O584" s="3">
        <v>1.0</v>
      </c>
    </row>
    <row r="585" ht="15.75" customHeight="1">
      <c r="A585" s="3" t="s">
        <v>3939</v>
      </c>
      <c r="B585" s="3" t="s">
        <v>3940</v>
      </c>
      <c r="C585" s="3" t="s">
        <v>3941</v>
      </c>
      <c r="D585" s="3" t="s">
        <v>3942</v>
      </c>
      <c r="E585" s="3" t="str">
        <f>IFERROR(__xludf.DUMMYFUNCTION("GOOGLETRANSLATE($D585,""EN"",""RU"")")," Черный средний квадрат")</f>
        <v> Черный средний квадрат</v>
      </c>
      <c r="F585" s="3" t="s">
        <v>637</v>
      </c>
      <c r="G585" s="3" t="s">
        <v>114</v>
      </c>
      <c r="H585" s="3" t="s">
        <v>2226</v>
      </c>
      <c r="I585" s="3" t="s">
        <v>114</v>
      </c>
      <c r="J585" s="3" t="s">
        <v>2226</v>
      </c>
      <c r="K585" s="3" t="s">
        <v>2454</v>
      </c>
      <c r="L585" s="3" t="s">
        <v>3943</v>
      </c>
      <c r="M585" s="3" t="s">
        <v>2454</v>
      </c>
      <c r="N585" s="3" t="s">
        <v>1425</v>
      </c>
      <c r="O585" s="3">
        <v>1.0</v>
      </c>
    </row>
    <row r="586" ht="15.75" customHeight="1">
      <c r="A586" s="3" t="s">
        <v>3944</v>
      </c>
      <c r="B586" s="3" t="s">
        <v>3945</v>
      </c>
      <c r="C586" s="3" t="s">
        <v>3946</v>
      </c>
      <c r="D586" s="3" t="s">
        <v>3947</v>
      </c>
      <c r="E586" s="3" t="str">
        <f>IFERROR(__xludf.DUMMYFUNCTION("GOOGLETRANSLATE($D586,""EN"",""RU"")")," Лицо Луны в первой четверти")</f>
        <v> Лицо Луны в первой четверти</v>
      </c>
      <c r="F586" s="3" t="s">
        <v>81</v>
      </c>
      <c r="G586" s="3" t="s">
        <v>114</v>
      </c>
      <c r="H586" s="3" t="s">
        <v>28</v>
      </c>
      <c r="I586" s="3" t="s">
        <v>15</v>
      </c>
      <c r="J586" s="3" t="s">
        <v>77</v>
      </c>
      <c r="K586" s="3" t="s">
        <v>1798</v>
      </c>
      <c r="L586" s="3" t="s">
        <v>1901</v>
      </c>
      <c r="M586" s="3" t="s">
        <v>1957</v>
      </c>
      <c r="N586" s="3" t="s">
        <v>2855</v>
      </c>
      <c r="O586" s="3">
        <v>2.0</v>
      </c>
    </row>
    <row r="587" ht="15.75" customHeight="1">
      <c r="A587" s="3" t="s">
        <v>3948</v>
      </c>
      <c r="B587" s="3" t="s">
        <v>3949</v>
      </c>
      <c r="C587" s="3" t="s">
        <v>3950</v>
      </c>
      <c r="D587" s="3" t="s">
        <v>3951</v>
      </c>
      <c r="E587" s="3" t="str">
        <f>IFERROR(__xludf.DUMMYFUNCTION("GOOGLETRANSLATE($D587,""EN"",""RU"")")," Лунное лицо последней четверти")</f>
        <v> Лунное лицо последней четверти</v>
      </c>
      <c r="F587" s="3" t="s">
        <v>81</v>
      </c>
      <c r="G587" s="3" t="s">
        <v>114</v>
      </c>
      <c r="H587" s="3" t="s">
        <v>28</v>
      </c>
      <c r="I587" s="3" t="s">
        <v>28</v>
      </c>
      <c r="J587" s="3" t="s">
        <v>65</v>
      </c>
      <c r="K587" s="3" t="s">
        <v>1798</v>
      </c>
      <c r="L587" s="3" t="s">
        <v>1798</v>
      </c>
      <c r="M587" s="3" t="s">
        <v>1675</v>
      </c>
      <c r="N587" s="3" t="s">
        <v>1798</v>
      </c>
      <c r="O587" s="3">
        <v>2.0</v>
      </c>
    </row>
    <row r="588" ht="15.75" customHeight="1">
      <c r="A588" s="3" t="s">
        <v>3952</v>
      </c>
      <c r="B588" s="3" t="s">
        <v>3953</v>
      </c>
      <c r="C588" s="3" t="s">
        <v>3954</v>
      </c>
      <c r="D588" s="3" t="s">
        <v>3955</v>
      </c>
      <c r="E588" s="3" t="str">
        <f>IFERROR(__xludf.DUMMYFUNCTION("GOOGLETRANSLATE($D588,""EN"",""RU"")")," Видео игра")</f>
        <v> Видео игра</v>
      </c>
      <c r="F588" s="3" t="s">
        <v>358</v>
      </c>
      <c r="G588" s="3" t="s">
        <v>114</v>
      </c>
      <c r="H588" s="3" t="s">
        <v>2226</v>
      </c>
      <c r="I588" s="3" t="s">
        <v>90</v>
      </c>
      <c r="J588" s="3" t="s">
        <v>28</v>
      </c>
      <c r="K588" s="3" t="s">
        <v>2454</v>
      </c>
      <c r="L588" s="3" t="s">
        <v>1450</v>
      </c>
      <c r="M588" s="3" t="s">
        <v>1798</v>
      </c>
      <c r="N588" s="3" t="s">
        <v>2632</v>
      </c>
      <c r="O588" s="3">
        <v>2.0</v>
      </c>
    </row>
    <row r="589" ht="15.75" customHeight="1">
      <c r="A589" s="3" t="s">
        <v>3956</v>
      </c>
      <c r="B589" s="3" t="s">
        <v>3957</v>
      </c>
      <c r="C589" s="3" t="s">
        <v>3958</v>
      </c>
      <c r="D589" s="3" t="s">
        <v>3959</v>
      </c>
      <c r="E589" s="3" t="str">
        <f>IFERROR(__xludf.DUMMYFUNCTION("GOOGLETRANSLATE($D589,""EN"",""RU"")")," Хрустальный шар")</f>
        <v> Хрустальный шар</v>
      </c>
      <c r="F589" s="3" t="s">
        <v>358</v>
      </c>
      <c r="G589" s="3" t="s">
        <v>114</v>
      </c>
      <c r="H589" s="3" t="s">
        <v>41</v>
      </c>
      <c r="I589" s="3" t="s">
        <v>28</v>
      </c>
      <c r="J589" s="3" t="s">
        <v>53</v>
      </c>
      <c r="K589" s="3" t="s">
        <v>2378</v>
      </c>
      <c r="L589" s="3" t="s">
        <v>1798</v>
      </c>
      <c r="M589" s="3" t="s">
        <v>3930</v>
      </c>
      <c r="N589" s="3" t="s">
        <v>3960</v>
      </c>
      <c r="O589" s="3">
        <v>2.0</v>
      </c>
    </row>
    <row r="590" ht="15.75" customHeight="1">
      <c r="A590" s="3" t="s">
        <v>3961</v>
      </c>
      <c r="B590" s="3" t="s">
        <v>3962</v>
      </c>
      <c r="C590" s="3" t="s">
        <v>3963</v>
      </c>
      <c r="D590" s="3" t="s">
        <v>3964</v>
      </c>
      <c r="E590" s="3" t="str">
        <f>IFERROR(__xludf.DUMMYFUNCTION("GOOGLETRANSLATE($D590,""EN"",""RU"")")," 1230")</f>
        <v> 1230</v>
      </c>
      <c r="F590" s="3" t="s">
        <v>358</v>
      </c>
      <c r="G590" s="3" t="s">
        <v>114</v>
      </c>
      <c r="H590" s="3" t="s">
        <v>2226</v>
      </c>
      <c r="I590" s="3" t="s">
        <v>114</v>
      </c>
      <c r="J590" s="3" t="s">
        <v>2226</v>
      </c>
      <c r="K590" s="3" t="s">
        <v>2454</v>
      </c>
      <c r="L590" s="3" t="s">
        <v>3943</v>
      </c>
      <c r="M590" s="3" t="s">
        <v>2454</v>
      </c>
      <c r="N590" s="3" t="s">
        <v>1425</v>
      </c>
      <c r="O590" s="3">
        <v>1.0</v>
      </c>
    </row>
    <row r="591" ht="15.75" customHeight="1">
      <c r="A591" s="3" t="s">
        <v>814</v>
      </c>
      <c r="B591" s="3" t="s">
        <v>3965</v>
      </c>
      <c r="C591" s="3" t="s">
        <v>3966</v>
      </c>
      <c r="D591" s="3" t="s">
        <v>3967</v>
      </c>
      <c r="E591" s="3" t="str">
        <f>IFERROR(__xludf.DUMMYFUNCTION("GOOGLETRANSLATE($D591,""EN"",""RU"")")," Девять часов")</f>
        <v> Девять часов</v>
      </c>
      <c r="F591" s="3" t="s">
        <v>358</v>
      </c>
      <c r="G591" s="3" t="s">
        <v>114</v>
      </c>
      <c r="H591" s="3" t="s">
        <v>2226</v>
      </c>
      <c r="I591" s="3" t="s">
        <v>102</v>
      </c>
      <c r="J591" s="3" t="s">
        <v>15</v>
      </c>
      <c r="K591" s="3" t="s">
        <v>2454</v>
      </c>
      <c r="L591" s="3" t="s">
        <v>1855</v>
      </c>
      <c r="M591" s="3" t="s">
        <v>1901</v>
      </c>
      <c r="N591" s="3" t="s">
        <v>2454</v>
      </c>
      <c r="O591" s="3">
        <v>2.0</v>
      </c>
    </row>
    <row r="592" ht="15.75" customHeight="1">
      <c r="A592" s="3" t="s">
        <v>241</v>
      </c>
      <c r="B592" s="3" t="s">
        <v>3968</v>
      </c>
      <c r="C592" s="3" t="s">
        <v>3969</v>
      </c>
      <c r="D592" s="3" t="s">
        <v>3970</v>
      </c>
      <c r="E592" s="3" t="str">
        <f>IFERROR(__xludf.DUMMYFUNCTION("GOOGLETRANSLATE($D592,""EN"",""RU"")")," Велосипед")</f>
        <v> Велосипед</v>
      </c>
      <c r="F592" s="3" t="s">
        <v>358</v>
      </c>
      <c r="G592" s="3" t="s">
        <v>114</v>
      </c>
      <c r="H592" s="3" t="s">
        <v>53</v>
      </c>
      <c r="I592" s="3" t="s">
        <v>2226</v>
      </c>
      <c r="J592" s="3" t="s">
        <v>65</v>
      </c>
      <c r="K592" s="3" t="s">
        <v>3930</v>
      </c>
      <c r="L592" s="3" t="s">
        <v>2454</v>
      </c>
      <c r="M592" s="3" t="s">
        <v>1675</v>
      </c>
      <c r="N592" s="3" t="s">
        <v>3971</v>
      </c>
      <c r="O592" s="3">
        <v>2.0</v>
      </c>
    </row>
    <row r="593" ht="15.75" customHeight="1">
      <c r="A593" s="3" t="s">
        <v>3972</v>
      </c>
      <c r="B593" s="3" t="s">
        <v>3973</v>
      </c>
      <c r="C593" s="3" t="s">
        <v>3974</v>
      </c>
      <c r="D593" s="3" t="s">
        <v>3975</v>
      </c>
      <c r="E593" s="3" t="str">
        <f>IFERROR(__xludf.DUMMYFUNCTION("GOOGLETRANSLATE($D593,""EN"",""RU"")")," Муравей")</f>
        <v> Муравей</v>
      </c>
      <c r="F593" s="3" t="s">
        <v>81</v>
      </c>
      <c r="G593" s="3" t="s">
        <v>114</v>
      </c>
      <c r="H593" s="3" t="s">
        <v>65</v>
      </c>
      <c r="I593" s="3" t="s">
        <v>2226</v>
      </c>
      <c r="J593" s="3" t="s">
        <v>53</v>
      </c>
      <c r="K593" s="3" t="s">
        <v>1675</v>
      </c>
      <c r="L593" s="3" t="s">
        <v>2454</v>
      </c>
      <c r="M593" s="3" t="s">
        <v>3930</v>
      </c>
      <c r="N593" s="3" t="s">
        <v>3976</v>
      </c>
      <c r="O593" s="3">
        <v>0.0</v>
      </c>
    </row>
    <row r="594" ht="15.75" customHeight="1">
      <c r="A594" s="3" t="s">
        <v>3977</v>
      </c>
      <c r="B594" s="3" t="s">
        <v>3978</v>
      </c>
      <c r="C594" s="3" t="s">
        <v>3979</v>
      </c>
      <c r="D594" s="3" t="s">
        <v>3980</v>
      </c>
      <c r="E594" s="3" t="str">
        <f>IFERROR(__xludf.DUMMYFUNCTION("GOOGLETRANSLATE($D594,""EN"",""RU"")")," Кошачье лицо")</f>
        <v> Кошачье лицо</v>
      </c>
      <c r="F594" s="3" t="s">
        <v>81</v>
      </c>
      <c r="G594" s="3" t="s">
        <v>114</v>
      </c>
      <c r="H594" s="3" t="s">
        <v>65</v>
      </c>
      <c r="I594" s="3" t="s">
        <v>2226</v>
      </c>
      <c r="J594" s="3" t="s">
        <v>53</v>
      </c>
      <c r="K594" s="3" t="s">
        <v>1675</v>
      </c>
      <c r="L594" s="3" t="s">
        <v>2454</v>
      </c>
      <c r="M594" s="3" t="s">
        <v>3930</v>
      </c>
      <c r="N594" s="3" t="s">
        <v>3976</v>
      </c>
      <c r="O594" s="3">
        <v>0.0</v>
      </c>
    </row>
    <row r="595" ht="15.75" customHeight="1">
      <c r="A595" s="3" t="s">
        <v>3981</v>
      </c>
      <c r="B595" s="3" t="s">
        <v>3982</v>
      </c>
      <c r="C595" s="3" t="s">
        <v>3983</v>
      </c>
      <c r="D595" s="3" t="s">
        <v>3984</v>
      </c>
      <c r="E595" s="3" t="str">
        <f>IFERROR(__xludf.DUMMYFUNCTION("GOOGLETRANSLATE($D595,""EN"",""RU"")")," Звон пивных кружек")</f>
        <v> Звон пивных кружек</v>
      </c>
      <c r="F595" s="3" t="s">
        <v>1510</v>
      </c>
      <c r="G595" s="3" t="s">
        <v>114</v>
      </c>
      <c r="H595" s="3" t="s">
        <v>41</v>
      </c>
      <c r="I595" s="3" t="s">
        <v>2226</v>
      </c>
      <c r="J595" s="3" t="s">
        <v>77</v>
      </c>
      <c r="K595" s="3" t="s">
        <v>2378</v>
      </c>
      <c r="L595" s="3" t="s">
        <v>2454</v>
      </c>
      <c r="M595" s="3" t="s">
        <v>1957</v>
      </c>
      <c r="N595" s="3" t="s">
        <v>3985</v>
      </c>
      <c r="O595" s="3">
        <v>2.0</v>
      </c>
    </row>
    <row r="596" ht="15.75" customHeight="1">
      <c r="A596" s="3" t="s">
        <v>3986</v>
      </c>
      <c r="B596" s="3" t="s">
        <v>3987</v>
      </c>
      <c r="C596" s="3" t="s">
        <v>3988</v>
      </c>
      <c r="D596" s="3" t="s">
        <v>3989</v>
      </c>
      <c r="E596" s="3" t="str">
        <f>IFERROR(__xludf.DUMMYFUNCTION("GOOGLETRANSLATE($D596,""EN"",""RU"")")," Кнопка быстрого спуска")</f>
        <v> Кнопка быстрого спуска</v>
      </c>
      <c r="F596" s="3" t="s">
        <v>637</v>
      </c>
      <c r="G596" s="3" t="s">
        <v>114</v>
      </c>
      <c r="H596" s="3" t="s">
        <v>28</v>
      </c>
      <c r="I596" s="3" t="s">
        <v>65</v>
      </c>
      <c r="J596" s="3" t="s">
        <v>28</v>
      </c>
      <c r="K596" s="3" t="s">
        <v>1798</v>
      </c>
      <c r="L596" s="3" t="s">
        <v>1675</v>
      </c>
      <c r="M596" s="3" t="s">
        <v>1798</v>
      </c>
      <c r="N596" s="3" t="s">
        <v>1425</v>
      </c>
      <c r="O596" s="3">
        <v>1.0</v>
      </c>
    </row>
    <row r="597" ht="15.75" customHeight="1">
      <c r="A597" s="3" t="s">
        <v>3990</v>
      </c>
      <c r="B597" s="3" t="s">
        <v>3991</v>
      </c>
      <c r="C597" s="3" t="s">
        <v>3992</v>
      </c>
      <c r="D597" s="3" t="s">
        <v>3993</v>
      </c>
      <c r="E597" s="3" t="str">
        <f>IFERROR(__xludf.DUMMYFUNCTION("GOOGLETRANSLATE($D597,""EN"",""RU"")")," Статуя Свободы")</f>
        <v> Статуя Свободы</v>
      </c>
      <c r="F597" s="3" t="s">
        <v>2127</v>
      </c>
      <c r="G597" s="3" t="s">
        <v>114</v>
      </c>
      <c r="H597" s="3" t="s">
        <v>2226</v>
      </c>
      <c r="I597" s="3" t="s">
        <v>114</v>
      </c>
      <c r="J597" s="3" t="s">
        <v>2226</v>
      </c>
      <c r="K597" s="3" t="s">
        <v>2454</v>
      </c>
      <c r="L597" s="3" t="s">
        <v>3943</v>
      </c>
      <c r="M597" s="3" t="s">
        <v>2454</v>
      </c>
      <c r="N597" s="3" t="s">
        <v>1425</v>
      </c>
      <c r="O597" s="3">
        <v>1.0</v>
      </c>
    </row>
    <row r="598" ht="15.75" customHeight="1">
      <c r="A598" s="3" t="s">
        <v>3994</v>
      </c>
      <c r="B598" s="3" t="s">
        <v>3995</v>
      </c>
      <c r="C598" s="3" t="s">
        <v>3996</v>
      </c>
      <c r="D598" s="3" t="s">
        <v>3997</v>
      </c>
      <c r="E598" s="3" t="str">
        <f>IFERROR(__xludf.DUMMYFUNCTION("GOOGLETRANSLATE($D598,""EN"",""RU"")")," Жареные креветки")</f>
        <v> Жареные креветки</v>
      </c>
      <c r="F598" s="3" t="s">
        <v>1510</v>
      </c>
      <c r="G598" s="3" t="s">
        <v>114</v>
      </c>
      <c r="H598" s="3" t="s">
        <v>41</v>
      </c>
      <c r="I598" s="3" t="s">
        <v>53</v>
      </c>
      <c r="J598" s="3" t="s">
        <v>28</v>
      </c>
      <c r="K598" s="3" t="s">
        <v>2378</v>
      </c>
      <c r="L598" s="3" t="s">
        <v>3930</v>
      </c>
      <c r="M598" s="3" t="s">
        <v>1798</v>
      </c>
      <c r="N598" s="3" t="s">
        <v>3976</v>
      </c>
      <c r="O598" s="3">
        <v>0.0</v>
      </c>
    </row>
    <row r="599" ht="15.75" customHeight="1">
      <c r="A599" s="3" t="s">
        <v>3998</v>
      </c>
      <c r="B599" s="3" t="s">
        <v>3999</v>
      </c>
      <c r="C599" s="3" t="s">
        <v>4000</v>
      </c>
      <c r="D599" s="3" t="s">
        <v>4001</v>
      </c>
      <c r="E599" s="3" t="str">
        <f>IFERROR(__xludf.DUMMYFUNCTION("GOOGLETRANSLATE($D599,""EN"",""RU"")")," Спагетти")</f>
        <v> Спагетти</v>
      </c>
      <c r="F599" s="3" t="s">
        <v>1510</v>
      </c>
      <c r="G599" s="3" t="s">
        <v>114</v>
      </c>
      <c r="H599" s="3" t="s">
        <v>2226</v>
      </c>
      <c r="I599" s="3" t="s">
        <v>77</v>
      </c>
      <c r="J599" s="3" t="s">
        <v>41</v>
      </c>
      <c r="K599" s="3" t="s">
        <v>2454</v>
      </c>
      <c r="L599" s="3" t="s">
        <v>1957</v>
      </c>
      <c r="M599" s="3" t="s">
        <v>2378</v>
      </c>
      <c r="N599" s="3" t="s">
        <v>1798</v>
      </c>
      <c r="O599" s="3">
        <v>2.0</v>
      </c>
    </row>
    <row r="600" ht="15.75" customHeight="1">
      <c r="A600" s="3" t="s">
        <v>4002</v>
      </c>
      <c r="B600" s="3" t="s">
        <v>4003</v>
      </c>
      <c r="C600" s="3" t="s">
        <v>4004</v>
      </c>
      <c r="D600" s="3" t="s">
        <v>4005</v>
      </c>
      <c r="E600" s="3" t="str">
        <f>IFERROR(__xludf.DUMMYFUNCTION("GOOGLETRANSLATE($D600,""EN"",""RU"")")," Синяя книга")</f>
        <v> Синяя книга</v>
      </c>
      <c r="F600" s="3" t="s">
        <v>358</v>
      </c>
      <c r="G600" s="3" t="s">
        <v>114</v>
      </c>
      <c r="H600" s="3" t="s">
        <v>15</v>
      </c>
      <c r="I600" s="3" t="s">
        <v>90</v>
      </c>
      <c r="J600" s="3" t="s">
        <v>15</v>
      </c>
      <c r="K600" s="3" t="s">
        <v>1901</v>
      </c>
      <c r="L600" s="3" t="s">
        <v>1450</v>
      </c>
      <c r="M600" s="3" t="s">
        <v>1901</v>
      </c>
      <c r="N600" s="3" t="s">
        <v>1425</v>
      </c>
      <c r="O600" s="3">
        <v>1.0</v>
      </c>
    </row>
    <row r="601" ht="15.75" customHeight="1">
      <c r="A601" s="3" t="s">
        <v>750</v>
      </c>
      <c r="B601" s="3" t="s">
        <v>4006</v>
      </c>
      <c r="C601" s="3" t="s">
        <v>4007</v>
      </c>
      <c r="D601" s="3" t="s">
        <v>4008</v>
      </c>
      <c r="E601" s="3" t="str">
        <f>IFERROR(__xludf.DUMMYFUNCTION("GOOGLETRANSLATE($D601,""EN"",""RU"")")," Униформа для боевых искусств")</f>
        <v> Униформа для боевых искусств</v>
      </c>
      <c r="F601" s="3" t="s">
        <v>358</v>
      </c>
      <c r="G601" s="3" t="s">
        <v>114</v>
      </c>
      <c r="H601" s="3" t="s">
        <v>2226</v>
      </c>
      <c r="I601" s="3" t="s">
        <v>102</v>
      </c>
      <c r="J601" s="3" t="s">
        <v>15</v>
      </c>
      <c r="K601" s="3" t="s">
        <v>2454</v>
      </c>
      <c r="L601" s="3" t="s">
        <v>1855</v>
      </c>
      <c r="M601" s="3" t="s">
        <v>1901</v>
      </c>
      <c r="N601" s="3" t="s">
        <v>2454</v>
      </c>
      <c r="O601" s="3">
        <v>2.0</v>
      </c>
    </row>
    <row r="602" ht="15.75" customHeight="1">
      <c r="A602" s="3" t="s">
        <v>897</v>
      </c>
      <c r="B602" s="3" t="s">
        <v>4009</v>
      </c>
      <c r="C602" s="3" t="s">
        <v>4010</v>
      </c>
      <c r="D602" s="3" t="s">
        <v>4011</v>
      </c>
      <c r="E602" s="3" t="str">
        <f>IFERROR(__xludf.DUMMYFUNCTION("GOOGLETRANSLATE($D602,""EN"",""RU"")")," Офисное здание")</f>
        <v> Офисное здание</v>
      </c>
      <c r="F602" s="3" t="s">
        <v>2127</v>
      </c>
      <c r="G602" s="3" t="s">
        <v>114</v>
      </c>
      <c r="H602" s="3" t="s">
        <v>2226</v>
      </c>
      <c r="I602" s="3" t="s">
        <v>102</v>
      </c>
      <c r="J602" s="3" t="s">
        <v>15</v>
      </c>
      <c r="K602" s="3" t="s">
        <v>2454</v>
      </c>
      <c r="L602" s="3" t="s">
        <v>1855</v>
      </c>
      <c r="M602" s="3" t="s">
        <v>1901</v>
      </c>
      <c r="N602" s="3" t="s">
        <v>2454</v>
      </c>
      <c r="O602" s="3">
        <v>2.0</v>
      </c>
    </row>
    <row r="603" ht="15.75" customHeight="1">
      <c r="A603" s="3" t="s">
        <v>4012</v>
      </c>
      <c r="B603" s="3" t="s">
        <v>4013</v>
      </c>
      <c r="C603" s="3" t="s">
        <v>4014</v>
      </c>
      <c r="D603" s="3" t="s">
        <v>4015</v>
      </c>
      <c r="E603" s="3" t="str">
        <f>IFERROR(__xludf.DUMMYFUNCTION("GOOGLETRANSLATE($D603,""EN"",""RU"")")," Швейцария")</f>
        <v> Швейцария</v>
      </c>
      <c r="F603" s="3" t="s">
        <v>559</v>
      </c>
      <c r="G603" s="3" t="s">
        <v>114</v>
      </c>
      <c r="H603" s="3" t="s">
        <v>2226</v>
      </c>
      <c r="I603" s="3" t="s">
        <v>114</v>
      </c>
      <c r="J603" s="3" t="s">
        <v>2226</v>
      </c>
      <c r="K603" s="3" t="s">
        <v>2454</v>
      </c>
      <c r="L603" s="3" t="s">
        <v>3943</v>
      </c>
      <c r="M603" s="3" t="s">
        <v>2454</v>
      </c>
      <c r="N603" s="3" t="s">
        <v>1425</v>
      </c>
      <c r="O603" s="3">
        <v>1.0</v>
      </c>
    </row>
    <row r="604" ht="15.75" customHeight="1">
      <c r="A604" s="3" t="s">
        <v>4016</v>
      </c>
      <c r="B604" s="3" t="s">
        <v>4017</v>
      </c>
      <c r="C604" s="3" t="s">
        <v>4018</v>
      </c>
      <c r="D604" s="3" t="s">
        <v>4019</v>
      </c>
      <c r="E604" s="3" t="str">
        <f>IFERROR(__xludf.DUMMYFUNCTION("GOOGLETRANSLATE($D604,""EN"",""RU"")")," Фаршированные лепешки")</f>
        <v> Фаршированные лепешки</v>
      </c>
      <c r="F604" s="3" t="s">
        <v>1510</v>
      </c>
      <c r="G604" s="3" t="s">
        <v>114</v>
      </c>
      <c r="H604" s="3" t="s">
        <v>41</v>
      </c>
      <c r="I604" s="3" t="s">
        <v>65</v>
      </c>
      <c r="J604" s="3" t="s">
        <v>15</v>
      </c>
      <c r="K604" s="3" t="s">
        <v>2378</v>
      </c>
      <c r="L604" s="3" t="s">
        <v>1675</v>
      </c>
      <c r="M604" s="3" t="s">
        <v>1901</v>
      </c>
      <c r="N604" s="3" t="s">
        <v>3475</v>
      </c>
      <c r="O604" s="3">
        <v>0.0</v>
      </c>
    </row>
    <row r="605" ht="15.75" customHeight="1">
      <c r="A605" s="3" t="s">
        <v>4020</v>
      </c>
      <c r="B605" s="3" t="s">
        <v>4021</v>
      </c>
      <c r="C605" s="3" t="s">
        <v>4022</v>
      </c>
      <c r="D605" s="3" t="s">
        <v>4023</v>
      </c>
      <c r="E605" s="3" t="str">
        <f>IFERROR(__xludf.DUMMYFUNCTION("GOOGLETRANSLATE($D605,""EN"",""RU"")")," Вулканский Салют")</f>
        <v> Вулканский Салют</v>
      </c>
      <c r="F605" s="3" t="s">
        <v>178</v>
      </c>
      <c r="G605" s="3" t="s">
        <v>102</v>
      </c>
      <c r="H605" s="3" t="s">
        <v>28</v>
      </c>
      <c r="I605" s="3" t="s">
        <v>2226</v>
      </c>
      <c r="J605" s="3" t="s">
        <v>77</v>
      </c>
      <c r="K605" s="3" t="s">
        <v>2575</v>
      </c>
      <c r="L605" s="3" t="s">
        <v>1659</v>
      </c>
      <c r="M605" s="3" t="s">
        <v>4024</v>
      </c>
      <c r="N605" s="3" t="s">
        <v>2221</v>
      </c>
      <c r="O605" s="3">
        <v>2.0</v>
      </c>
    </row>
    <row r="606" ht="15.75" customHeight="1">
      <c r="A606" s="3" t="s">
        <v>4025</v>
      </c>
      <c r="B606" s="3" t="s">
        <v>4026</v>
      </c>
      <c r="C606" s="3" t="s">
        <v>4027</v>
      </c>
      <c r="D606" s="3" t="s">
        <v>4028</v>
      </c>
      <c r="E606" s="3" t="str">
        <f>IFERROR(__xludf.DUMMYFUNCTION("GOOGLETRANSLATE($D606,""EN"",""RU"")")," Труба")</f>
        <v> Труба</v>
      </c>
      <c r="F606" s="3" t="s">
        <v>358</v>
      </c>
      <c r="G606" s="3" t="s">
        <v>102</v>
      </c>
      <c r="H606" s="3" t="s">
        <v>15</v>
      </c>
      <c r="I606" s="3" t="s">
        <v>15</v>
      </c>
      <c r="J606" s="3" t="s">
        <v>77</v>
      </c>
      <c r="K606" s="3" t="s">
        <v>2569</v>
      </c>
      <c r="L606" s="3" t="s">
        <v>2569</v>
      </c>
      <c r="M606" s="3" t="s">
        <v>4024</v>
      </c>
      <c r="N606" s="3" t="s">
        <v>2563</v>
      </c>
      <c r="O606" s="3">
        <v>2.0</v>
      </c>
    </row>
    <row r="607" ht="15.75" customHeight="1">
      <c r="A607" s="3" t="s">
        <v>4029</v>
      </c>
      <c r="B607" s="3" t="s">
        <v>4030</v>
      </c>
      <c r="C607" s="3" t="s">
        <v>4031</v>
      </c>
      <c r="D607" s="3" t="s">
        <v>4032</v>
      </c>
      <c r="E607" s="3" t="str">
        <f>IFERROR(__xludf.DUMMYFUNCTION("GOOGLETRANSLATE($D607,""EN"",""RU"")")," Банкнота евро")</f>
        <v> Банкнота евро</v>
      </c>
      <c r="F607" s="3" t="s">
        <v>358</v>
      </c>
      <c r="G607" s="3" t="s">
        <v>102</v>
      </c>
      <c r="H607" s="3" t="s">
        <v>28</v>
      </c>
      <c r="I607" s="3" t="s">
        <v>53</v>
      </c>
      <c r="J607" s="3" t="s">
        <v>28</v>
      </c>
      <c r="K607" s="3" t="s">
        <v>2575</v>
      </c>
      <c r="L607" s="3" t="s">
        <v>2563</v>
      </c>
      <c r="M607" s="3" t="s">
        <v>2575</v>
      </c>
      <c r="N607" s="3" t="s">
        <v>1425</v>
      </c>
      <c r="O607" s="3">
        <v>1.0</v>
      </c>
    </row>
    <row r="608" ht="15.75" customHeight="1">
      <c r="A608" s="3" t="s">
        <v>887</v>
      </c>
      <c r="B608" s="3" t="s">
        <v>4033</v>
      </c>
      <c r="C608" s="3" t="s">
        <v>4034</v>
      </c>
      <c r="D608" s="3" t="s">
        <v>4035</v>
      </c>
      <c r="E608" s="3" t="str">
        <f>IFERROR(__xludf.DUMMYFUNCTION("GOOGLETRANSLATE($D608,""EN"",""RU"")")," Губная помада")</f>
        <v> Губная помада</v>
      </c>
      <c r="F608" s="3" t="s">
        <v>358</v>
      </c>
      <c r="G608" s="3" t="s">
        <v>102</v>
      </c>
      <c r="H608" s="3" t="s">
        <v>28</v>
      </c>
      <c r="I608" s="3" t="s">
        <v>2226</v>
      </c>
      <c r="J608" s="3" t="s">
        <v>77</v>
      </c>
      <c r="K608" s="3" t="s">
        <v>2575</v>
      </c>
      <c r="L608" s="3" t="s">
        <v>1659</v>
      </c>
      <c r="M608" s="3" t="s">
        <v>4024</v>
      </c>
      <c r="N608" s="3" t="s">
        <v>2221</v>
      </c>
      <c r="O608" s="3">
        <v>2.0</v>
      </c>
    </row>
    <row r="609" ht="15.75" customHeight="1">
      <c r="A609" s="3" t="s">
        <v>4036</v>
      </c>
      <c r="B609" s="3" t="s">
        <v>4037</v>
      </c>
      <c r="C609" s="3" t="s">
        <v>4038</v>
      </c>
      <c r="D609" s="3" t="s">
        <v>4039</v>
      </c>
      <c r="E609" s="3" t="str">
        <f>IFERROR(__xludf.DUMMYFUNCTION("GOOGLETRANSLATE($D609,""EN"",""RU"")")," Этикетка")</f>
        <v> Этикетка</v>
      </c>
      <c r="F609" s="3" t="s">
        <v>358</v>
      </c>
      <c r="G609" s="3" t="s">
        <v>102</v>
      </c>
      <c r="H609" s="3" t="s">
        <v>2226</v>
      </c>
      <c r="I609" s="3" t="s">
        <v>65</v>
      </c>
      <c r="J609" s="3" t="s">
        <v>41</v>
      </c>
      <c r="K609" s="3" t="s">
        <v>1659</v>
      </c>
      <c r="L609" s="3" t="s">
        <v>2079</v>
      </c>
      <c r="M609" s="3" t="s">
        <v>2221</v>
      </c>
      <c r="N609" s="3" t="s">
        <v>2575</v>
      </c>
      <c r="O609" s="3">
        <v>2.0</v>
      </c>
    </row>
    <row r="610" ht="15.75" customHeight="1">
      <c r="A610" s="3" t="s">
        <v>671</v>
      </c>
      <c r="B610" s="3" t="s">
        <v>4040</v>
      </c>
      <c r="C610" s="3" t="s">
        <v>4041</v>
      </c>
      <c r="D610" s="3" t="s">
        <v>4042</v>
      </c>
      <c r="E610" s="3" t="str">
        <f>IFERROR(__xludf.DUMMYFUNCTION("GOOGLETRANSLATE($D610,""EN"",""RU"")")," Гондурас")</f>
        <v> Гондурас</v>
      </c>
      <c r="F610" s="3" t="s">
        <v>559</v>
      </c>
      <c r="G610" s="3" t="s">
        <v>102</v>
      </c>
      <c r="H610" s="3" t="s">
        <v>2226</v>
      </c>
      <c r="I610" s="3" t="s">
        <v>102</v>
      </c>
      <c r="J610" s="3" t="s">
        <v>2226</v>
      </c>
      <c r="K610" s="3" t="s">
        <v>1659</v>
      </c>
      <c r="L610" s="3" t="s">
        <v>2360</v>
      </c>
      <c r="M610" s="3" t="s">
        <v>1659</v>
      </c>
      <c r="N610" s="3" t="s">
        <v>1425</v>
      </c>
      <c r="O610" s="3">
        <v>1.0</v>
      </c>
    </row>
    <row r="611" ht="15.75" customHeight="1">
      <c r="A611" s="3" t="s">
        <v>652</v>
      </c>
      <c r="B611" s="3" t="s">
        <v>4043</v>
      </c>
      <c r="C611" s="3" t="s">
        <v>4044</v>
      </c>
      <c r="D611" s="3" t="s">
        <v>4045</v>
      </c>
      <c r="E611" s="3" t="str">
        <f>IFERROR(__xludf.DUMMYFUNCTION("GOOGLETRANSLATE($D611,""EN"",""RU"")")," Музыкальная клавиатура")</f>
        <v> Музыкальная клавиатура</v>
      </c>
      <c r="F611" s="3" t="s">
        <v>358</v>
      </c>
      <c r="G611" s="3" t="s">
        <v>102</v>
      </c>
      <c r="H611" s="3" t="s">
        <v>15</v>
      </c>
      <c r="I611" s="3" t="s">
        <v>28</v>
      </c>
      <c r="J611" s="3" t="s">
        <v>65</v>
      </c>
      <c r="K611" s="3" t="s">
        <v>2569</v>
      </c>
      <c r="L611" s="3" t="s">
        <v>2575</v>
      </c>
      <c r="M611" s="3" t="s">
        <v>2079</v>
      </c>
      <c r="N611" s="3" t="s">
        <v>4046</v>
      </c>
      <c r="O611" s="3">
        <v>2.0</v>
      </c>
    </row>
    <row r="612" ht="15.75" customHeight="1">
      <c r="A612" s="3" t="s">
        <v>4047</v>
      </c>
      <c r="B612" s="3" t="s">
        <v>4048</v>
      </c>
      <c r="C612" s="3" t="s">
        <v>4049</v>
      </c>
      <c r="D612" s="3" t="s">
        <v>4050</v>
      </c>
      <c r="E612" s="3" t="str">
        <f>IFERROR(__xludf.DUMMYFUNCTION("GOOGLETRANSLATE($D612,""EN"",""RU"")")," Футболка")</f>
        <v> Футболка</v>
      </c>
      <c r="F612" s="3" t="s">
        <v>358</v>
      </c>
      <c r="G612" s="3" t="s">
        <v>102</v>
      </c>
      <c r="H612" s="3" t="s">
        <v>2226</v>
      </c>
      <c r="I612" s="3" t="s">
        <v>53</v>
      </c>
      <c r="J612" s="3" t="s">
        <v>53</v>
      </c>
      <c r="K612" s="3" t="s">
        <v>1659</v>
      </c>
      <c r="L612" s="3" t="s">
        <v>2563</v>
      </c>
      <c r="M612" s="3" t="s">
        <v>2563</v>
      </c>
      <c r="N612" s="3" t="s">
        <v>2221</v>
      </c>
      <c r="O612" s="3">
        <v>2.0</v>
      </c>
    </row>
    <row r="613" ht="15.75" customHeight="1">
      <c r="A613" s="3" t="s">
        <v>4051</v>
      </c>
      <c r="B613" s="3" t="s">
        <v>4052</v>
      </c>
      <c r="C613" s="3" t="s">
        <v>4053</v>
      </c>
      <c r="D613" s="3" t="s">
        <v>4054</v>
      </c>
      <c r="E613" s="3" t="str">
        <f>IFERROR(__xludf.DUMMYFUNCTION("GOOGLETRANSLATE($D613,""EN"",""RU"")")," Пол шестого")</f>
        <v> Пол шестого</v>
      </c>
      <c r="F613" s="3" t="s">
        <v>358</v>
      </c>
      <c r="G613" s="3" t="s">
        <v>102</v>
      </c>
      <c r="H613" s="3" t="s">
        <v>2226</v>
      </c>
      <c r="I613" s="3" t="s">
        <v>102</v>
      </c>
      <c r="J613" s="3" t="s">
        <v>2226</v>
      </c>
      <c r="K613" s="3" t="s">
        <v>1659</v>
      </c>
      <c r="L613" s="3" t="s">
        <v>2360</v>
      </c>
      <c r="M613" s="3" t="s">
        <v>1659</v>
      </c>
      <c r="N613" s="3" t="s">
        <v>1425</v>
      </c>
      <c r="O613" s="3">
        <v>1.0</v>
      </c>
    </row>
    <row r="614" ht="15.75" customHeight="1">
      <c r="A614" s="3" t="s">
        <v>804</v>
      </c>
      <c r="B614" s="3" t="s">
        <v>4055</v>
      </c>
      <c r="C614" s="3" t="s">
        <v>4056</v>
      </c>
      <c r="D614" s="3" t="s">
        <v>4057</v>
      </c>
      <c r="E614" s="3" t="str">
        <f>IFERROR(__xludf.DUMMYFUNCTION("GOOGLETRANSLATE($D614,""EN"",""RU"")")," Левый кулак")</f>
        <v> Левый кулак</v>
      </c>
      <c r="F614" s="3" t="s">
        <v>178</v>
      </c>
      <c r="G614" s="3" t="s">
        <v>102</v>
      </c>
      <c r="H614" s="3" t="s">
        <v>53</v>
      </c>
      <c r="I614" s="3" t="s">
        <v>53</v>
      </c>
      <c r="J614" s="3" t="s">
        <v>2226</v>
      </c>
      <c r="K614" s="3" t="s">
        <v>2563</v>
      </c>
      <c r="L614" s="3" t="s">
        <v>2563</v>
      </c>
      <c r="M614" s="3" t="s">
        <v>1659</v>
      </c>
      <c r="N614" s="3" t="s">
        <v>4058</v>
      </c>
      <c r="O614" s="3">
        <v>0.0</v>
      </c>
    </row>
    <row r="615" ht="15.75" customHeight="1">
      <c r="A615" s="3" t="s">
        <v>4059</v>
      </c>
      <c r="B615" s="3" t="s">
        <v>4060</v>
      </c>
      <c r="C615" s="3" t="s">
        <v>4061</v>
      </c>
      <c r="D615" s="3" t="s">
        <v>4062</v>
      </c>
      <c r="E615" s="3" t="str">
        <f>IFERROR(__xludf.DUMMYFUNCTION("GOOGLETRANSLATE($D615,""EN"",""RU"")")," Человек, которому делают стрижку")</f>
        <v> Человек, которому делают стрижку</v>
      </c>
      <c r="F615" s="3" t="s">
        <v>2649</v>
      </c>
      <c r="G615" s="3" t="s">
        <v>102</v>
      </c>
      <c r="H615" s="3" t="s">
        <v>28</v>
      </c>
      <c r="I615" s="3" t="s">
        <v>28</v>
      </c>
      <c r="J615" s="3" t="s">
        <v>53</v>
      </c>
      <c r="K615" s="3" t="s">
        <v>2575</v>
      </c>
      <c r="L615" s="3" t="s">
        <v>2575</v>
      </c>
      <c r="M615" s="3" t="s">
        <v>2563</v>
      </c>
      <c r="N615" s="3" t="s">
        <v>2569</v>
      </c>
      <c r="O615" s="3">
        <v>2.0</v>
      </c>
    </row>
    <row r="616" ht="15.75" customHeight="1">
      <c r="A616" s="3" t="s">
        <v>4063</v>
      </c>
      <c r="B616" s="3" t="s">
        <v>4064</v>
      </c>
      <c r="C616" s="3" t="s">
        <v>4065</v>
      </c>
      <c r="D616" s="3" t="s">
        <v>4066</v>
      </c>
      <c r="E616" s="3" t="str">
        <f>IFERROR(__xludf.DUMMYFUNCTION("GOOGLETRANSLATE($D616,""EN"",""RU"")")," Крыса")</f>
        <v> Крыса</v>
      </c>
      <c r="F616" s="3" t="s">
        <v>81</v>
      </c>
      <c r="G616" s="3" t="s">
        <v>102</v>
      </c>
      <c r="H616" s="3" t="s">
        <v>102</v>
      </c>
      <c r="I616" s="3" t="s">
        <v>2226</v>
      </c>
      <c r="J616" s="3" t="s">
        <v>2226</v>
      </c>
      <c r="K616" s="3" t="s">
        <v>2360</v>
      </c>
      <c r="L616" s="3" t="s">
        <v>1659</v>
      </c>
      <c r="M616" s="3" t="s">
        <v>1659</v>
      </c>
      <c r="N616" s="3" t="s">
        <v>4067</v>
      </c>
      <c r="O616" s="3">
        <v>0.0</v>
      </c>
    </row>
    <row r="617" ht="15.75" customHeight="1">
      <c r="A617" s="3" t="s">
        <v>4068</v>
      </c>
      <c r="B617" s="3" t="s">
        <v>4069</v>
      </c>
      <c r="C617" s="3" t="s">
        <v>4070</v>
      </c>
      <c r="D617" s="3" t="s">
        <v>4071</v>
      </c>
      <c r="E617" s="3" t="str">
        <f>IFERROR(__xludf.DUMMYFUNCTION("GOOGLETRANSLATE($D617,""EN"",""RU"")")," Пустынный остров")</f>
        <v> Пустынный остров</v>
      </c>
      <c r="F617" s="3" t="s">
        <v>81</v>
      </c>
      <c r="G617" s="3" t="s">
        <v>102</v>
      </c>
      <c r="H617" s="3" t="s">
        <v>15</v>
      </c>
      <c r="I617" s="3" t="s">
        <v>2226</v>
      </c>
      <c r="J617" s="3" t="s">
        <v>90</v>
      </c>
      <c r="K617" s="3" t="s">
        <v>2569</v>
      </c>
      <c r="L617" s="3" t="s">
        <v>1659</v>
      </c>
      <c r="M617" s="3" t="s">
        <v>3299</v>
      </c>
      <c r="N617" s="3" t="s">
        <v>2079</v>
      </c>
      <c r="O617" s="3">
        <v>2.0</v>
      </c>
    </row>
    <row r="618" ht="15.75" customHeight="1">
      <c r="A618" s="3" t="s">
        <v>4072</v>
      </c>
      <c r="B618" s="3" t="s">
        <v>4073</v>
      </c>
      <c r="C618" s="3" t="s">
        <v>4074</v>
      </c>
      <c r="D618" s="3" t="s">
        <v>4075</v>
      </c>
      <c r="E618" s="3" t="str">
        <f>IFERROR(__xludf.DUMMYFUNCTION("GOOGLETRANSLATE($D618,""EN"",""RU"")")," Парусная лодка")</f>
        <v> Парусная лодка</v>
      </c>
      <c r="F618" s="3" t="s">
        <v>358</v>
      </c>
      <c r="G618" s="3" t="s">
        <v>102</v>
      </c>
      <c r="H618" s="3" t="s">
        <v>65</v>
      </c>
      <c r="I618" s="3" t="s">
        <v>2226</v>
      </c>
      <c r="J618" s="3" t="s">
        <v>41</v>
      </c>
      <c r="K618" s="3" t="s">
        <v>2079</v>
      </c>
      <c r="L618" s="3" t="s">
        <v>1659</v>
      </c>
      <c r="M618" s="3" t="s">
        <v>2221</v>
      </c>
      <c r="N618" s="3" t="s">
        <v>4076</v>
      </c>
      <c r="O618" s="3">
        <v>0.0</v>
      </c>
    </row>
    <row r="619" ht="15.75" customHeight="1">
      <c r="A619" s="3" t="s">
        <v>4077</v>
      </c>
      <c r="B619" s="3" t="s">
        <v>4078</v>
      </c>
      <c r="C619" s="3" t="s">
        <v>4079</v>
      </c>
      <c r="D619" s="3" t="s">
        <v>4080</v>
      </c>
      <c r="E619" s="3" t="str">
        <f>IFERROR(__xludf.DUMMYFUNCTION("GOOGLETRANSLATE($D619,""EN"",""RU"")")," Лежащее лицо")</f>
        <v> Лежащее лицо</v>
      </c>
      <c r="F619" s="3" t="s">
        <v>19</v>
      </c>
      <c r="G619" s="3" t="s">
        <v>102</v>
      </c>
      <c r="H619" s="3" t="s">
        <v>102</v>
      </c>
      <c r="I619" s="3" t="s">
        <v>2226</v>
      </c>
      <c r="J619" s="3" t="s">
        <v>2226</v>
      </c>
      <c r="K619" s="3" t="s">
        <v>2360</v>
      </c>
      <c r="L619" s="3" t="s">
        <v>1659</v>
      </c>
      <c r="M619" s="3" t="s">
        <v>1659</v>
      </c>
      <c r="N619" s="3" t="s">
        <v>4067</v>
      </c>
      <c r="O619" s="3">
        <v>0.0</v>
      </c>
    </row>
    <row r="620" ht="15.75" customHeight="1">
      <c r="A620" s="3" t="s">
        <v>4081</v>
      </c>
      <c r="B620" s="3" t="s">
        <v>4082</v>
      </c>
      <c r="C620" s="3" t="s">
        <v>4083</v>
      </c>
      <c r="D620" s="3" t="s">
        <v>4084</v>
      </c>
      <c r="E620" s="3" t="str">
        <f>IFERROR(__xludf.DUMMYFUNCTION("GOOGLETRANSLATE($D620,""EN"",""RU"")")," Выбирать")</f>
        <v> Выбирать</v>
      </c>
      <c r="F620" s="3" t="s">
        <v>358</v>
      </c>
      <c r="G620" s="3" t="s">
        <v>102</v>
      </c>
      <c r="H620" s="3" t="s">
        <v>77</v>
      </c>
      <c r="I620" s="3" t="s">
        <v>28</v>
      </c>
      <c r="J620" s="3" t="s">
        <v>2226</v>
      </c>
      <c r="K620" s="3" t="s">
        <v>4024</v>
      </c>
      <c r="L620" s="3" t="s">
        <v>2575</v>
      </c>
      <c r="M620" s="3" t="s">
        <v>1659</v>
      </c>
      <c r="N620" s="3" t="s">
        <v>4085</v>
      </c>
      <c r="O620" s="3">
        <v>0.0</v>
      </c>
    </row>
    <row r="621" ht="15.75" customHeight="1">
      <c r="A621" s="3" t="s">
        <v>4086</v>
      </c>
      <c r="B621" s="3" t="s">
        <v>4087</v>
      </c>
      <c r="C621" s="3" t="s">
        <v>4088</v>
      </c>
      <c r="D621" s="3" t="s">
        <v>4089</v>
      </c>
      <c r="E621" s="3" t="str">
        <f>IFERROR(__xludf.DUMMYFUNCTION("GOOGLETRANSLATE($D621,""EN"",""RU"")")," Данго")</f>
        <v> Данго</v>
      </c>
      <c r="F621" s="3" t="s">
        <v>1510</v>
      </c>
      <c r="G621" s="3" t="s">
        <v>102</v>
      </c>
      <c r="H621" s="3" t="s">
        <v>2226</v>
      </c>
      <c r="I621" s="3" t="s">
        <v>28</v>
      </c>
      <c r="J621" s="3" t="s">
        <v>77</v>
      </c>
      <c r="K621" s="3" t="s">
        <v>1659</v>
      </c>
      <c r="L621" s="3" t="s">
        <v>2575</v>
      </c>
      <c r="M621" s="3" t="s">
        <v>4024</v>
      </c>
      <c r="N621" s="3" t="s">
        <v>2079</v>
      </c>
      <c r="O621" s="3">
        <v>2.0</v>
      </c>
    </row>
    <row r="622" ht="15.75" customHeight="1">
      <c r="A622" s="3" t="s">
        <v>4090</v>
      </c>
      <c r="B622" s="3" t="s">
        <v>4091</v>
      </c>
      <c r="C622" s="3" t="s">
        <v>4092</v>
      </c>
      <c r="D622" s="3" t="s">
        <v>4093</v>
      </c>
      <c r="E622" s="3" t="str">
        <f>IFERROR(__xludf.DUMMYFUNCTION("GOOGLETRANSLATE($D622,""EN"",""RU"")")," телефон")</f>
        <v> телефон</v>
      </c>
      <c r="F622" s="3" t="s">
        <v>637</v>
      </c>
      <c r="G622" s="3" t="s">
        <v>102</v>
      </c>
      <c r="H622" s="3" t="s">
        <v>28</v>
      </c>
      <c r="I622" s="3" t="s">
        <v>77</v>
      </c>
      <c r="J622" s="3" t="s">
        <v>2226</v>
      </c>
      <c r="K622" s="3" t="s">
        <v>2575</v>
      </c>
      <c r="L622" s="3" t="s">
        <v>4024</v>
      </c>
      <c r="M622" s="3" t="s">
        <v>1659</v>
      </c>
      <c r="N622" s="3" t="s">
        <v>4094</v>
      </c>
      <c r="O622" s="3">
        <v>0.0</v>
      </c>
    </row>
    <row r="623" ht="15.75" customHeight="1">
      <c r="A623" s="3" t="s">
        <v>4095</v>
      </c>
      <c r="B623" s="3" t="s">
        <v>4096</v>
      </c>
      <c r="C623" s="3" t="s">
        <v>4097</v>
      </c>
      <c r="D623" s="3" t="s">
        <v>4098</v>
      </c>
      <c r="E623" s="3" t="str">
        <f>IFERROR(__xludf.DUMMYFUNCTION("GOOGLETRANSLATE($D623,""EN"",""RU"")")," Кнопка быстрого реверса")</f>
        <v> Кнопка быстрого реверса</v>
      </c>
      <c r="F623" s="3" t="s">
        <v>637</v>
      </c>
      <c r="G623" s="3" t="s">
        <v>102</v>
      </c>
      <c r="H623" s="3" t="s">
        <v>28</v>
      </c>
      <c r="I623" s="3" t="s">
        <v>65</v>
      </c>
      <c r="J623" s="3" t="s">
        <v>15</v>
      </c>
      <c r="K623" s="3" t="s">
        <v>2575</v>
      </c>
      <c r="L623" s="3" t="s">
        <v>2079</v>
      </c>
      <c r="M623" s="3" t="s">
        <v>2569</v>
      </c>
      <c r="N623" s="3" t="s">
        <v>2356</v>
      </c>
      <c r="O623" s="3">
        <v>0.0</v>
      </c>
    </row>
    <row r="624" ht="15.75" customHeight="1">
      <c r="A624" s="3" t="s">
        <v>155</v>
      </c>
      <c r="B624" s="3" t="s">
        <v>4099</v>
      </c>
      <c r="C624" s="3" t="s">
        <v>4100</v>
      </c>
      <c r="D624" s="3" t="s">
        <v>4101</v>
      </c>
      <c r="E624" s="3" t="str">
        <f>IFERROR(__xludf.DUMMYFUNCTION("GOOGLETRANSLATE($D624,""EN"",""RU"")")," Кнопка SOS")</f>
        <v> Кнопка SOS</v>
      </c>
      <c r="F624" s="3" t="s">
        <v>637</v>
      </c>
      <c r="G624" s="3" t="s">
        <v>102</v>
      </c>
      <c r="H624" s="3" t="s">
        <v>53</v>
      </c>
      <c r="I624" s="3" t="s">
        <v>53</v>
      </c>
      <c r="J624" s="3" t="s">
        <v>2226</v>
      </c>
      <c r="K624" s="3" t="s">
        <v>2563</v>
      </c>
      <c r="L624" s="3" t="s">
        <v>2563</v>
      </c>
      <c r="M624" s="3" t="s">
        <v>1659</v>
      </c>
      <c r="N624" s="3" t="s">
        <v>4058</v>
      </c>
      <c r="O624" s="3">
        <v>0.0</v>
      </c>
    </row>
    <row r="625" ht="15.75" customHeight="1">
      <c r="A625" s="3" t="s">
        <v>4102</v>
      </c>
      <c r="B625" s="3" t="s">
        <v>4103</v>
      </c>
      <c r="C625" s="3" t="s">
        <v>4104</v>
      </c>
      <c r="D625" s="3" t="s">
        <v>4105</v>
      </c>
      <c r="E625" s="3" t="str">
        <f>IFERROR(__xludf.DUMMYFUNCTION("GOOGLETRANSLATE($D625,""EN"",""RU"")")," Кнопка воспроизведения")</f>
        <v> Кнопка воспроизведения</v>
      </c>
      <c r="F625" s="3" t="s">
        <v>637</v>
      </c>
      <c r="G625" s="3" t="s">
        <v>102</v>
      </c>
      <c r="H625" s="3" t="s">
        <v>41</v>
      </c>
      <c r="I625" s="3" t="s">
        <v>28</v>
      </c>
      <c r="J625" s="3" t="s">
        <v>41</v>
      </c>
      <c r="K625" s="3" t="s">
        <v>2221</v>
      </c>
      <c r="L625" s="3" t="s">
        <v>2575</v>
      </c>
      <c r="M625" s="3" t="s">
        <v>2221</v>
      </c>
      <c r="N625" s="3" t="s">
        <v>1425</v>
      </c>
      <c r="O625" s="3">
        <v>1.0</v>
      </c>
    </row>
    <row r="626" ht="15.75" customHeight="1">
      <c r="A626" s="3" t="s">
        <v>4106</v>
      </c>
      <c r="B626" s="3" t="s">
        <v>4107</v>
      </c>
      <c r="C626" s="3" t="s">
        <v>4108</v>
      </c>
      <c r="D626" s="3" t="s">
        <v>4109</v>
      </c>
      <c r="E626" s="3" t="str">
        <f>IFERROR(__xludf.DUMMYFUNCTION("GOOGLETRANSLATE($D626,""EN"",""RU"")")," Пиковый костюм")</f>
        <v> Пиковый костюм</v>
      </c>
      <c r="F626" s="3" t="s">
        <v>637</v>
      </c>
      <c r="G626" s="3" t="s">
        <v>102</v>
      </c>
      <c r="H626" s="3" t="s">
        <v>28</v>
      </c>
      <c r="I626" s="3" t="s">
        <v>15</v>
      </c>
      <c r="J626" s="3" t="s">
        <v>65</v>
      </c>
      <c r="K626" s="3" t="s">
        <v>2575</v>
      </c>
      <c r="L626" s="3" t="s">
        <v>2569</v>
      </c>
      <c r="M626" s="3" t="s">
        <v>2079</v>
      </c>
      <c r="N626" s="3" t="s">
        <v>2575</v>
      </c>
      <c r="O626" s="3">
        <v>2.0</v>
      </c>
    </row>
    <row r="627" ht="15.75" customHeight="1">
      <c r="A627" s="3" t="s">
        <v>4110</v>
      </c>
      <c r="B627" s="3" t="s">
        <v>4111</v>
      </c>
      <c r="C627" s="3" t="s">
        <v>4112</v>
      </c>
      <c r="D627" s="3" t="s">
        <v>4113</v>
      </c>
      <c r="E627" s="3" t="str">
        <f>IFERROR(__xludf.DUMMYFUNCTION("GOOGLETRANSLATE($D627,""EN"",""RU"")")," Медицинский символ")</f>
        <v> Медицинский символ</v>
      </c>
      <c r="F627" s="3" t="s">
        <v>637</v>
      </c>
      <c r="G627" s="3" t="s">
        <v>102</v>
      </c>
      <c r="H627" s="3" t="s">
        <v>28</v>
      </c>
      <c r="I627" s="3" t="s">
        <v>28</v>
      </c>
      <c r="J627" s="3" t="s">
        <v>53</v>
      </c>
      <c r="K627" s="3" t="s">
        <v>2575</v>
      </c>
      <c r="L627" s="3" t="s">
        <v>2575</v>
      </c>
      <c r="M627" s="3" t="s">
        <v>2563</v>
      </c>
      <c r="N627" s="3" t="s">
        <v>2569</v>
      </c>
      <c r="O627" s="3">
        <v>2.0</v>
      </c>
    </row>
    <row r="628" ht="15.75" customHeight="1">
      <c r="A628" s="3" t="s">
        <v>4114</v>
      </c>
      <c r="B628" s="3" t="s">
        <v>4115</v>
      </c>
      <c r="C628" s="3" t="s">
        <v>4116</v>
      </c>
      <c r="D628" s="3" t="s">
        <v>4117</v>
      </c>
      <c r="E628" s="3" t="str">
        <f>IFERROR(__xludf.DUMMYFUNCTION("GOOGLETRANSLATE($D628,""EN"",""RU"")")," Циклон")</f>
        <v> Циклон</v>
      </c>
      <c r="F628" s="3" t="s">
        <v>81</v>
      </c>
      <c r="G628" s="3" t="s">
        <v>102</v>
      </c>
      <c r="H628" s="3" t="s">
        <v>53</v>
      </c>
      <c r="I628" s="3" t="s">
        <v>28</v>
      </c>
      <c r="J628" s="3" t="s">
        <v>28</v>
      </c>
      <c r="K628" s="3" t="s">
        <v>2563</v>
      </c>
      <c r="L628" s="3" t="s">
        <v>2575</v>
      </c>
      <c r="M628" s="3" t="s">
        <v>2575</v>
      </c>
      <c r="N628" s="3" t="s">
        <v>3322</v>
      </c>
      <c r="O628" s="3">
        <v>0.0</v>
      </c>
    </row>
    <row r="629" ht="15.75" customHeight="1">
      <c r="A629" s="3" t="s">
        <v>4118</v>
      </c>
      <c r="B629" s="3" t="s">
        <v>4119</v>
      </c>
      <c r="C629" s="3" t="s">
        <v>4120</v>
      </c>
      <c r="D629" s="3" t="s">
        <v>4121</v>
      </c>
      <c r="E629" s="3" t="str">
        <f>IFERROR(__xludf.DUMMYFUNCTION("GOOGLETRANSLATE($D629,""EN"",""RU"")")," Якорь")</f>
        <v> Якорь</v>
      </c>
      <c r="F629" s="3" t="s">
        <v>637</v>
      </c>
      <c r="G629" s="3" t="s">
        <v>102</v>
      </c>
      <c r="H629" s="3" t="s">
        <v>28</v>
      </c>
      <c r="I629" s="3" t="s">
        <v>2226</v>
      </c>
      <c r="J629" s="3" t="s">
        <v>77</v>
      </c>
      <c r="K629" s="3" t="s">
        <v>2575</v>
      </c>
      <c r="L629" s="3" t="s">
        <v>1659</v>
      </c>
      <c r="M629" s="3" t="s">
        <v>4024</v>
      </c>
      <c r="N629" s="3" t="s">
        <v>2221</v>
      </c>
      <c r="O629" s="3">
        <v>2.0</v>
      </c>
    </row>
    <row r="630" ht="15.75" customHeight="1">
      <c r="A630" s="3" t="s">
        <v>705</v>
      </c>
      <c r="B630" s="3" t="s">
        <v>4122</v>
      </c>
      <c r="C630" s="3" t="s">
        <v>4123</v>
      </c>
      <c r="D630" s="3" t="s">
        <v>4124</v>
      </c>
      <c r="E630" s="3" t="str">
        <f>IFERROR(__xludf.DUMMYFUNCTION("GOOGLETRANSLATE($D630,""EN"",""RU"")")," Ночь со звездами")</f>
        <v> Ночь со звездами</v>
      </c>
      <c r="F630" s="3" t="s">
        <v>81</v>
      </c>
      <c r="G630" s="3" t="s">
        <v>102</v>
      </c>
      <c r="H630" s="3" t="s">
        <v>41</v>
      </c>
      <c r="I630" s="3" t="s">
        <v>15</v>
      </c>
      <c r="J630" s="3" t="s">
        <v>53</v>
      </c>
      <c r="K630" s="3" t="s">
        <v>2221</v>
      </c>
      <c r="L630" s="3" t="s">
        <v>2569</v>
      </c>
      <c r="M630" s="3" t="s">
        <v>2563</v>
      </c>
      <c r="N630" s="3" t="s">
        <v>3290</v>
      </c>
      <c r="O630" s="3">
        <v>2.0</v>
      </c>
    </row>
    <row r="631" ht="15.75" customHeight="1">
      <c r="A631" s="3" t="s">
        <v>4125</v>
      </c>
      <c r="B631" s="3" t="s">
        <v>4126</v>
      </c>
      <c r="C631" s="3" t="s">
        <v>4127</v>
      </c>
      <c r="D631" s="3" t="s">
        <v>4128</v>
      </c>
      <c r="E631" s="3" t="str">
        <f>IFERROR(__xludf.DUMMYFUNCTION("GOOGLETRANSLATE($D631,""EN"",""RU"")")," Двое мужчин держатся за руки")</f>
        <v> Двое мужчин держатся за руки</v>
      </c>
      <c r="F631" s="3" t="s">
        <v>2649</v>
      </c>
      <c r="G631" s="3" t="s">
        <v>102</v>
      </c>
      <c r="H631" s="3" t="s">
        <v>15</v>
      </c>
      <c r="I631" s="3" t="s">
        <v>41</v>
      </c>
      <c r="J631" s="3" t="s">
        <v>53</v>
      </c>
      <c r="K631" s="3" t="s">
        <v>2569</v>
      </c>
      <c r="L631" s="3" t="s">
        <v>2221</v>
      </c>
      <c r="M631" s="3" t="s">
        <v>2563</v>
      </c>
      <c r="N631" s="3" t="s">
        <v>2575</v>
      </c>
      <c r="O631" s="3">
        <v>2.0</v>
      </c>
    </row>
    <row r="632" ht="15.75" customHeight="1">
      <c r="A632" s="3" t="s">
        <v>4129</v>
      </c>
      <c r="B632" s="3" t="s">
        <v>4130</v>
      </c>
      <c r="C632" s="3" t="s">
        <v>4131</v>
      </c>
      <c r="D632" s="3" t="s">
        <v>4132</v>
      </c>
      <c r="E632" s="3" t="str">
        <f>IFERROR(__xludf.DUMMYFUNCTION("GOOGLETRANSLATE($D632,""EN"",""RU"")")," Автобус")</f>
        <v> Автобус</v>
      </c>
      <c r="F632" s="3" t="s">
        <v>358</v>
      </c>
      <c r="G632" s="3" t="s">
        <v>102</v>
      </c>
      <c r="H632" s="3" t="s">
        <v>53</v>
      </c>
      <c r="I632" s="3" t="s">
        <v>15</v>
      </c>
      <c r="J632" s="3" t="s">
        <v>41</v>
      </c>
      <c r="K632" s="3" t="s">
        <v>2563</v>
      </c>
      <c r="L632" s="3" t="s">
        <v>2569</v>
      </c>
      <c r="M632" s="3" t="s">
        <v>2221</v>
      </c>
      <c r="N632" s="3" t="s">
        <v>2356</v>
      </c>
      <c r="O632" s="3">
        <v>0.0</v>
      </c>
    </row>
    <row r="633" ht="15.75" customHeight="1">
      <c r="A633" s="3" t="s">
        <v>4133</v>
      </c>
      <c r="B633" s="3" t="s">
        <v>4134</v>
      </c>
      <c r="C633" s="3" t="s">
        <v>4135</v>
      </c>
      <c r="D633" s="3" t="s">
        <v>4136</v>
      </c>
      <c r="E633" s="3" t="str">
        <f>IFERROR(__xludf.DUMMYFUNCTION("GOOGLETRANSLATE($D633,""EN"",""RU"")")," Сумки для покупок")</f>
        <v> Сумки для покупок</v>
      </c>
      <c r="F633" s="3" t="s">
        <v>358</v>
      </c>
      <c r="G633" s="3" t="s">
        <v>102</v>
      </c>
      <c r="H633" s="3" t="s">
        <v>2226</v>
      </c>
      <c r="I633" s="3" t="s">
        <v>41</v>
      </c>
      <c r="J633" s="3" t="s">
        <v>65</v>
      </c>
      <c r="K633" s="3" t="s">
        <v>1659</v>
      </c>
      <c r="L633" s="3" t="s">
        <v>2221</v>
      </c>
      <c r="M633" s="3" t="s">
        <v>2079</v>
      </c>
      <c r="N633" s="3" t="s">
        <v>2563</v>
      </c>
      <c r="O633" s="3">
        <v>2.0</v>
      </c>
    </row>
    <row r="634" ht="15.75" customHeight="1">
      <c r="A634" s="3" t="s">
        <v>4137</v>
      </c>
      <c r="B634" s="3" t="s">
        <v>4138</v>
      </c>
      <c r="C634" s="3" t="s">
        <v>4139</v>
      </c>
      <c r="D634" s="3" t="s">
        <v>4140</v>
      </c>
      <c r="E634" s="3" t="str">
        <f>IFERROR(__xludf.DUMMYFUNCTION("GOOGLETRANSLATE($D634,""EN"",""RU"")")," Блинчики")</f>
        <v> Блинчики</v>
      </c>
      <c r="F634" s="3" t="s">
        <v>1510</v>
      </c>
      <c r="G634" s="3" t="s">
        <v>102</v>
      </c>
      <c r="H634" s="3" t="s">
        <v>15</v>
      </c>
      <c r="I634" s="3" t="s">
        <v>41</v>
      </c>
      <c r="J634" s="3" t="s">
        <v>53</v>
      </c>
      <c r="K634" s="3" t="s">
        <v>2569</v>
      </c>
      <c r="L634" s="3" t="s">
        <v>2221</v>
      </c>
      <c r="M634" s="3" t="s">
        <v>2563</v>
      </c>
      <c r="N634" s="3" t="s">
        <v>2575</v>
      </c>
      <c r="O634" s="3">
        <v>2.0</v>
      </c>
    </row>
    <row r="635" ht="15.75" customHeight="1">
      <c r="A635" s="3" t="s">
        <v>4141</v>
      </c>
      <c r="B635" s="3" t="s">
        <v>4142</v>
      </c>
      <c r="C635" s="3" t="s">
        <v>4143</v>
      </c>
      <c r="D635" s="3" t="s">
        <v>4144</v>
      </c>
      <c r="E635" s="3" t="str">
        <f>IFERROR(__xludf.DUMMYFUNCTION("GOOGLETRANSLATE($D635,""EN"",""RU"")")," Джек-О-Фонарь")</f>
        <v> Джек-О-Фонарь</v>
      </c>
      <c r="F635" s="3" t="s">
        <v>1510</v>
      </c>
      <c r="G635" s="3" t="s">
        <v>102</v>
      </c>
      <c r="H635" s="3" t="s">
        <v>41</v>
      </c>
      <c r="I635" s="3" t="s">
        <v>15</v>
      </c>
      <c r="J635" s="3" t="s">
        <v>53</v>
      </c>
      <c r="K635" s="3" t="s">
        <v>2221</v>
      </c>
      <c r="L635" s="3" t="s">
        <v>2569</v>
      </c>
      <c r="M635" s="3" t="s">
        <v>2563</v>
      </c>
      <c r="N635" s="3" t="s">
        <v>3290</v>
      </c>
      <c r="O635" s="3">
        <v>2.0</v>
      </c>
    </row>
    <row r="636" ht="15.75" customHeight="1">
      <c r="A636" s="3" t="s">
        <v>4145</v>
      </c>
      <c r="B636" s="3" t="s">
        <v>4146</v>
      </c>
      <c r="C636" s="3" t="s">
        <v>4147</v>
      </c>
      <c r="D636" s="3" t="s">
        <v>4148</v>
      </c>
      <c r="E636" s="3" t="str">
        <f>IFERROR(__xludf.DUMMYFUNCTION("GOOGLETRANSLATE($D636,""EN"",""RU"")")," Человек, поднимающий тяжести")</f>
        <v> Человек, поднимающий тяжести</v>
      </c>
      <c r="F636" s="3" t="s">
        <v>2649</v>
      </c>
      <c r="G636" s="3" t="s">
        <v>90</v>
      </c>
      <c r="H636" s="3" t="s">
        <v>28</v>
      </c>
      <c r="I636" s="3" t="s">
        <v>41</v>
      </c>
      <c r="J636" s="3" t="s">
        <v>28</v>
      </c>
      <c r="K636" s="3" t="s">
        <v>2980</v>
      </c>
      <c r="L636" s="3" t="s">
        <v>2176</v>
      </c>
      <c r="M636" s="3" t="s">
        <v>2980</v>
      </c>
      <c r="N636" s="3" t="s">
        <v>1425</v>
      </c>
      <c r="O636" s="3">
        <v>1.0</v>
      </c>
    </row>
    <row r="637" ht="15.75" customHeight="1">
      <c r="A637" s="3" t="s">
        <v>4149</v>
      </c>
      <c r="B637" s="3" t="s">
        <v>4150</v>
      </c>
      <c r="C637" s="3" t="s">
        <v>4151</v>
      </c>
      <c r="D637" s="3" t="s">
        <v>4152</v>
      </c>
      <c r="E637" s="3" t="str">
        <f>IFERROR(__xludf.DUMMYFUNCTION("GOOGLETRANSLATE($D637,""EN"",""RU"")")," Строитель")</f>
        <v> Строитель</v>
      </c>
      <c r="F637" s="3" t="s">
        <v>2649</v>
      </c>
      <c r="G637" s="3" t="s">
        <v>90</v>
      </c>
      <c r="H637" s="3" t="s">
        <v>41</v>
      </c>
      <c r="I637" s="3" t="s">
        <v>15</v>
      </c>
      <c r="J637" s="3" t="s">
        <v>41</v>
      </c>
      <c r="K637" s="3" t="s">
        <v>2176</v>
      </c>
      <c r="L637" s="3" t="s">
        <v>940</v>
      </c>
      <c r="M637" s="3" t="s">
        <v>2176</v>
      </c>
      <c r="N637" s="3" t="s">
        <v>1425</v>
      </c>
      <c r="O637" s="3">
        <v>1.0</v>
      </c>
    </row>
    <row r="638" ht="15.75" customHeight="1">
      <c r="A638" s="3" t="s">
        <v>4153</v>
      </c>
      <c r="B638" s="3" t="s">
        <v>4154</v>
      </c>
      <c r="C638" s="3" t="s">
        <v>4155</v>
      </c>
      <c r="D638" s="3" t="s">
        <v>4156</v>
      </c>
      <c r="E638" s="3" t="str">
        <f>IFERROR(__xludf.DUMMYFUNCTION("GOOGLETRANSLATE($D638,""EN"",""RU"")")," Гол Чистая")</f>
        <v> Гол Чистая</v>
      </c>
      <c r="F638" s="3" t="s">
        <v>358</v>
      </c>
      <c r="G638" s="3" t="s">
        <v>90</v>
      </c>
      <c r="H638" s="3" t="s">
        <v>2226</v>
      </c>
      <c r="I638" s="3" t="s">
        <v>77</v>
      </c>
      <c r="J638" s="3" t="s">
        <v>15</v>
      </c>
      <c r="K638" s="3" t="s">
        <v>1990</v>
      </c>
      <c r="L638" s="3" t="s">
        <v>2684</v>
      </c>
      <c r="M638" s="3" t="s">
        <v>940</v>
      </c>
      <c r="N638" s="3" t="s">
        <v>1990</v>
      </c>
      <c r="O638" s="3">
        <v>2.0</v>
      </c>
    </row>
    <row r="639" ht="15.75" customHeight="1">
      <c r="A639" s="3" t="s">
        <v>4157</v>
      </c>
      <c r="B639" s="3" t="s">
        <v>4158</v>
      </c>
      <c r="C639" s="3" t="s">
        <v>4159</v>
      </c>
      <c r="D639" s="3" t="s">
        <v>4160</v>
      </c>
      <c r="E639" s="3" t="str">
        <f>IFERROR(__xludf.DUMMYFUNCTION("GOOGLETRANSLATE($D639,""EN"",""RU"")")," Баскетбол")</f>
        <v> Баскетбол</v>
      </c>
      <c r="F639" s="3" t="s">
        <v>358</v>
      </c>
      <c r="G639" s="3" t="s">
        <v>90</v>
      </c>
      <c r="H639" s="3" t="s">
        <v>28</v>
      </c>
      <c r="I639" s="3" t="s">
        <v>41</v>
      </c>
      <c r="J639" s="3" t="s">
        <v>28</v>
      </c>
      <c r="K639" s="3" t="s">
        <v>2980</v>
      </c>
      <c r="L639" s="3" t="s">
        <v>2176</v>
      </c>
      <c r="M639" s="3" t="s">
        <v>2980</v>
      </c>
      <c r="N639" s="3" t="s">
        <v>1425</v>
      </c>
      <c r="O639" s="3">
        <v>1.0</v>
      </c>
    </row>
    <row r="640" ht="15.75" customHeight="1">
      <c r="A640" s="3" t="s">
        <v>4161</v>
      </c>
      <c r="B640" s="3" t="s">
        <v>4162</v>
      </c>
      <c r="C640" s="3" t="s">
        <v>4163</v>
      </c>
      <c r="D640" s="3" t="s">
        <v>4164</v>
      </c>
      <c r="E640" s="3" t="str">
        <f>IFERROR(__xludf.DUMMYFUNCTION("GOOGLETRANSLATE($D640,""EN"",""RU"")")," Санта Клаус")</f>
        <v> Санта Клаус</v>
      </c>
      <c r="F640" s="3" t="s">
        <v>2649</v>
      </c>
      <c r="G640" s="3" t="s">
        <v>90</v>
      </c>
      <c r="H640" s="3" t="s">
        <v>28</v>
      </c>
      <c r="I640" s="3" t="s">
        <v>41</v>
      </c>
      <c r="J640" s="3" t="s">
        <v>28</v>
      </c>
      <c r="K640" s="3" t="s">
        <v>2980</v>
      </c>
      <c r="L640" s="3" t="s">
        <v>2176</v>
      </c>
      <c r="M640" s="3" t="s">
        <v>2980</v>
      </c>
      <c r="N640" s="3" t="s">
        <v>1425</v>
      </c>
      <c r="O640" s="3">
        <v>1.0</v>
      </c>
    </row>
    <row r="641" ht="15.75" customHeight="1">
      <c r="A641" s="3" t="s">
        <v>4165</v>
      </c>
      <c r="B641" s="3" t="s">
        <v>4166</v>
      </c>
      <c r="C641" s="3" t="s">
        <v>4167</v>
      </c>
      <c r="D641" s="3" t="s">
        <v>4168</v>
      </c>
      <c r="E641" s="3" t="str">
        <f>IFERROR(__xludf.DUMMYFUNCTION("GOOGLETRANSLATE($D641,""EN"",""RU"")")," Целовать")</f>
        <v> Целовать</v>
      </c>
      <c r="F641" s="3" t="s">
        <v>2649</v>
      </c>
      <c r="G641" s="3" t="s">
        <v>90</v>
      </c>
      <c r="H641" s="3" t="s">
        <v>41</v>
      </c>
      <c r="I641" s="3" t="s">
        <v>15</v>
      </c>
      <c r="J641" s="3" t="s">
        <v>41</v>
      </c>
      <c r="K641" s="3" t="s">
        <v>2176</v>
      </c>
      <c r="L641" s="3" t="s">
        <v>940</v>
      </c>
      <c r="M641" s="3" t="s">
        <v>2176</v>
      </c>
      <c r="N641" s="3" t="s">
        <v>1425</v>
      </c>
      <c r="O641" s="3">
        <v>1.0</v>
      </c>
    </row>
    <row r="642" ht="15.75" customHeight="1">
      <c r="A642" s="3" t="s">
        <v>4169</v>
      </c>
      <c r="B642" s="3" t="s">
        <v>4170</v>
      </c>
      <c r="C642" s="3" t="s">
        <v>4171</v>
      </c>
      <c r="D642" s="3" t="s">
        <v>4172</v>
      </c>
      <c r="E642" s="3" t="str">
        <f>IFERROR(__xludf.DUMMYFUNCTION("GOOGLETRANSLATE($D642,""EN"",""RU"")")," Мелок")</f>
        <v> Мелок</v>
      </c>
      <c r="F642" s="3" t="s">
        <v>358</v>
      </c>
      <c r="G642" s="3" t="s">
        <v>90</v>
      </c>
      <c r="H642" s="3" t="s">
        <v>15</v>
      </c>
      <c r="I642" s="3" t="s">
        <v>65</v>
      </c>
      <c r="J642" s="3" t="s">
        <v>15</v>
      </c>
      <c r="K642" s="3" t="s">
        <v>940</v>
      </c>
      <c r="L642" s="3" t="s">
        <v>786</v>
      </c>
      <c r="M642" s="3" t="s">
        <v>940</v>
      </c>
      <c r="N642" s="3" t="s">
        <v>1425</v>
      </c>
      <c r="O642" s="3">
        <v>1.0</v>
      </c>
    </row>
    <row r="643" ht="15.75" customHeight="1">
      <c r="A643" s="3" t="s">
        <v>4173</v>
      </c>
      <c r="B643" s="3" t="s">
        <v>4174</v>
      </c>
      <c r="C643" s="3" t="s">
        <v>4175</v>
      </c>
      <c r="D643" s="3" t="s">
        <v>4176</v>
      </c>
      <c r="E643" s="3" t="str">
        <f>IFERROR(__xludf.DUMMYFUNCTION("GOOGLETRANSLATE($D643,""EN"",""RU"")")," Вилка и нож с тарелкой")</f>
        <v> Вилка и нож с тарелкой</v>
      </c>
      <c r="F643" s="3" t="s">
        <v>358</v>
      </c>
      <c r="G643" s="3" t="s">
        <v>90</v>
      </c>
      <c r="H643" s="3" t="s">
        <v>28</v>
      </c>
      <c r="I643" s="3" t="s">
        <v>53</v>
      </c>
      <c r="J643" s="3" t="s">
        <v>15</v>
      </c>
      <c r="K643" s="3" t="s">
        <v>2980</v>
      </c>
      <c r="L643" s="3" t="s">
        <v>1675</v>
      </c>
      <c r="M643" s="3" t="s">
        <v>940</v>
      </c>
      <c r="N643" s="3" t="s">
        <v>4177</v>
      </c>
      <c r="O643" s="3">
        <v>0.0</v>
      </c>
    </row>
    <row r="644" ht="15.75" customHeight="1">
      <c r="A644" s="3" t="s">
        <v>4178</v>
      </c>
      <c r="B644" s="3" t="s">
        <v>4179</v>
      </c>
      <c r="C644" s="3" t="s">
        <v>4180</v>
      </c>
      <c r="D644" s="3" t="s">
        <v>4181</v>
      </c>
      <c r="E644" s="3" t="str">
        <f>IFERROR(__xludf.DUMMYFUNCTION("GOOGLETRANSLATE($D644,""EN"",""RU"")")," Зонтик")</f>
        <v> Зонтик</v>
      </c>
      <c r="F644" s="3" t="s">
        <v>358</v>
      </c>
      <c r="G644" s="3" t="s">
        <v>90</v>
      </c>
      <c r="H644" s="3" t="s">
        <v>53</v>
      </c>
      <c r="I644" s="3" t="s">
        <v>15</v>
      </c>
      <c r="J644" s="3" t="s">
        <v>28</v>
      </c>
      <c r="K644" s="3" t="s">
        <v>1675</v>
      </c>
      <c r="L644" s="3" t="s">
        <v>940</v>
      </c>
      <c r="M644" s="3" t="s">
        <v>2980</v>
      </c>
      <c r="N644" s="3" t="s">
        <v>4182</v>
      </c>
      <c r="O644" s="3">
        <v>0.0</v>
      </c>
    </row>
    <row r="645" ht="15.75" customHeight="1">
      <c r="A645" s="3" t="s">
        <v>4183</v>
      </c>
      <c r="B645" s="3" t="s">
        <v>4184</v>
      </c>
      <c r="C645" s="3" t="s">
        <v>4185</v>
      </c>
      <c r="D645" s="3" t="s">
        <v>4186</v>
      </c>
      <c r="E645" s="3" t="str">
        <f>IFERROR(__xludf.DUMMYFUNCTION("GOOGLETRANSLATE($D645,""EN"",""RU"")")," Цепи")</f>
        <v> Цепи</v>
      </c>
      <c r="F645" s="3" t="s">
        <v>358</v>
      </c>
      <c r="G645" s="3" t="s">
        <v>90</v>
      </c>
      <c r="H645" s="3" t="s">
        <v>41</v>
      </c>
      <c r="I645" s="3" t="s">
        <v>53</v>
      </c>
      <c r="J645" s="3" t="s">
        <v>2226</v>
      </c>
      <c r="K645" s="3" t="s">
        <v>2176</v>
      </c>
      <c r="L645" s="3" t="s">
        <v>1675</v>
      </c>
      <c r="M645" s="3" t="s">
        <v>1990</v>
      </c>
      <c r="N645" s="3" t="s">
        <v>4187</v>
      </c>
      <c r="O645" s="3">
        <v>0.0</v>
      </c>
    </row>
    <row r="646" ht="15.75" customHeight="1">
      <c r="A646" s="3" t="s">
        <v>4188</v>
      </c>
      <c r="B646" s="3" t="s">
        <v>4189</v>
      </c>
      <c r="C646" s="3" t="s">
        <v>4190</v>
      </c>
      <c r="D646" s="3" t="s">
        <v>4191</v>
      </c>
      <c r="E646" s="3" t="str">
        <f>IFERROR(__xludf.DUMMYFUNCTION("GOOGLETRANSLATE($D646,""EN"",""RU"")")," Портфель")</f>
        <v> Портфель</v>
      </c>
      <c r="F646" s="3" t="s">
        <v>358</v>
      </c>
      <c r="G646" s="3" t="s">
        <v>90</v>
      </c>
      <c r="H646" s="3" t="s">
        <v>53</v>
      </c>
      <c r="I646" s="3" t="s">
        <v>41</v>
      </c>
      <c r="J646" s="3" t="s">
        <v>2226</v>
      </c>
      <c r="K646" s="3" t="s">
        <v>1675</v>
      </c>
      <c r="L646" s="3" t="s">
        <v>2176</v>
      </c>
      <c r="M646" s="3" t="s">
        <v>1990</v>
      </c>
      <c r="N646" s="3" t="s">
        <v>3429</v>
      </c>
      <c r="O646" s="3">
        <v>0.0</v>
      </c>
    </row>
    <row r="647" ht="15.75" customHeight="1">
      <c r="A647" s="3" t="s">
        <v>4192</v>
      </c>
      <c r="B647" s="3" t="s">
        <v>4193</v>
      </c>
      <c r="C647" s="3" t="s">
        <v>4194</v>
      </c>
      <c r="D647" s="3" t="s">
        <v>4195</v>
      </c>
      <c r="E647" s="3" t="str">
        <f>IFERROR(__xludf.DUMMYFUNCTION("GOOGLETRANSLATE($D647,""EN"",""RU"")")," Стрелка вверх-влево")</f>
        <v> Стрелка вверх-влево</v>
      </c>
      <c r="F647" s="3" t="s">
        <v>637</v>
      </c>
      <c r="G647" s="3" t="s">
        <v>90</v>
      </c>
      <c r="H647" s="3" t="s">
        <v>2226</v>
      </c>
      <c r="I647" s="3" t="s">
        <v>15</v>
      </c>
      <c r="J647" s="3" t="s">
        <v>77</v>
      </c>
      <c r="K647" s="3" t="s">
        <v>1990</v>
      </c>
      <c r="L647" s="3" t="s">
        <v>940</v>
      </c>
      <c r="M647" s="3" t="s">
        <v>2684</v>
      </c>
      <c r="N647" s="3" t="s">
        <v>786</v>
      </c>
      <c r="O647" s="3">
        <v>2.0</v>
      </c>
    </row>
    <row r="648" ht="15.75" customHeight="1">
      <c r="A648" s="3" t="s">
        <v>4196</v>
      </c>
      <c r="B648" s="3" t="s">
        <v>4197</v>
      </c>
      <c r="C648" s="3" t="s">
        <v>4198</v>
      </c>
      <c r="D648" s="3" t="s">
        <v>4199</v>
      </c>
      <c r="E648" s="3" t="str">
        <f>IFERROR(__xludf.DUMMYFUNCTION("GOOGLETRANSLATE($D648,""EN"",""RU"")")," Глобус с меридианами")</f>
        <v> Глобус с меридианами</v>
      </c>
      <c r="F648" s="3" t="s">
        <v>81</v>
      </c>
      <c r="G648" s="3" t="s">
        <v>90</v>
      </c>
      <c r="H648" s="3" t="s">
        <v>28</v>
      </c>
      <c r="I648" s="3" t="s">
        <v>15</v>
      </c>
      <c r="J648" s="3" t="s">
        <v>53</v>
      </c>
      <c r="K648" s="3" t="s">
        <v>2980</v>
      </c>
      <c r="L648" s="3" t="s">
        <v>940</v>
      </c>
      <c r="M648" s="3" t="s">
        <v>1675</v>
      </c>
      <c r="N648" s="3" t="s">
        <v>940</v>
      </c>
      <c r="O648" s="3">
        <v>2.0</v>
      </c>
    </row>
    <row r="649" ht="15.75" customHeight="1">
      <c r="A649" s="3" t="s">
        <v>4200</v>
      </c>
      <c r="B649" s="3" t="s">
        <v>4201</v>
      </c>
      <c r="C649" s="3" t="s">
        <v>4202</v>
      </c>
      <c r="D649" s="3" t="s">
        <v>4203</v>
      </c>
      <c r="E649" s="3" t="str">
        <f>IFERROR(__xludf.DUMMYFUNCTION("GOOGLETRANSLATE($D649,""EN"",""RU"")")," Спиральная оболочка")</f>
        <v> Спиральная оболочка</v>
      </c>
      <c r="F649" s="3" t="s">
        <v>81</v>
      </c>
      <c r="G649" s="3" t="s">
        <v>90</v>
      </c>
      <c r="H649" s="3" t="s">
        <v>2226</v>
      </c>
      <c r="I649" s="3" t="s">
        <v>53</v>
      </c>
      <c r="J649" s="3" t="s">
        <v>41</v>
      </c>
      <c r="K649" s="3" t="s">
        <v>1990</v>
      </c>
      <c r="L649" s="3" t="s">
        <v>1675</v>
      </c>
      <c r="M649" s="3" t="s">
        <v>2176</v>
      </c>
      <c r="N649" s="3" t="s">
        <v>4204</v>
      </c>
      <c r="O649" s="3">
        <v>2.0</v>
      </c>
    </row>
    <row r="650" ht="15.75" customHeight="1">
      <c r="A650" s="3" t="s">
        <v>695</v>
      </c>
      <c r="B650" s="3" t="s">
        <v>4205</v>
      </c>
      <c r="C650" s="3" t="s">
        <v>4206</v>
      </c>
      <c r="D650" s="3" t="s">
        <v>4207</v>
      </c>
      <c r="E650" s="3" t="str">
        <f>IFERROR(__xludf.DUMMYFUNCTION("GOOGLETRANSLATE($D650,""EN"",""RU"")")," Турция")</f>
        <v> Турция</v>
      </c>
      <c r="F650" s="3" t="s">
        <v>559</v>
      </c>
      <c r="G650" s="3" t="s">
        <v>90</v>
      </c>
      <c r="H650" s="3" t="s">
        <v>41</v>
      </c>
      <c r="I650" s="3" t="s">
        <v>41</v>
      </c>
      <c r="J650" s="3" t="s">
        <v>15</v>
      </c>
      <c r="K650" s="3" t="s">
        <v>2176</v>
      </c>
      <c r="L650" s="3" t="s">
        <v>2176</v>
      </c>
      <c r="M650" s="3" t="s">
        <v>940</v>
      </c>
      <c r="N650" s="3" t="s">
        <v>4182</v>
      </c>
      <c r="O650" s="3">
        <v>0.0</v>
      </c>
    </row>
    <row r="651" ht="15.75" customHeight="1">
      <c r="A651" s="3" t="s">
        <v>4208</v>
      </c>
      <c r="B651" s="3" t="s">
        <v>4209</v>
      </c>
      <c r="C651" s="3" t="s">
        <v>4210</v>
      </c>
      <c r="D651" s="3" t="s">
        <v>4211</v>
      </c>
      <c r="E651" s="3" t="str">
        <f>IFERROR(__xludf.DUMMYFUNCTION("GOOGLETRANSLATE($D651,""EN"",""RU"")")," Израиль")</f>
        <v> Израиль</v>
      </c>
      <c r="F651" s="3" t="s">
        <v>559</v>
      </c>
      <c r="G651" s="3" t="s">
        <v>90</v>
      </c>
      <c r="H651" s="3" t="s">
        <v>65</v>
      </c>
      <c r="I651" s="3" t="s">
        <v>2226</v>
      </c>
      <c r="J651" s="3" t="s">
        <v>28</v>
      </c>
      <c r="K651" s="3" t="s">
        <v>786</v>
      </c>
      <c r="L651" s="3" t="s">
        <v>1990</v>
      </c>
      <c r="M651" s="3" t="s">
        <v>2980</v>
      </c>
      <c r="N651" s="3" t="s">
        <v>4212</v>
      </c>
      <c r="O651" s="3">
        <v>0.0</v>
      </c>
    </row>
    <row r="652" ht="15.75" customHeight="1">
      <c r="A652" s="3" t="s">
        <v>876</v>
      </c>
      <c r="B652" s="3" t="s">
        <v>4213</v>
      </c>
      <c r="C652" s="3" t="s">
        <v>4214</v>
      </c>
      <c r="D652" s="3" t="s">
        <v>4215</v>
      </c>
      <c r="E652" s="3" t="str">
        <f>IFERROR(__xludf.DUMMYFUNCTION("GOOGLETRANSLATE($D652,""EN"",""RU"")")," Великобритания")</f>
        <v> Великобритания</v>
      </c>
      <c r="F652" s="3" t="s">
        <v>559</v>
      </c>
      <c r="G652" s="3" t="s">
        <v>90</v>
      </c>
      <c r="H652" s="3" t="s">
        <v>15</v>
      </c>
      <c r="I652" s="3" t="s">
        <v>65</v>
      </c>
      <c r="J652" s="3" t="s">
        <v>15</v>
      </c>
      <c r="K652" s="3" t="s">
        <v>940</v>
      </c>
      <c r="L652" s="3" t="s">
        <v>786</v>
      </c>
      <c r="M652" s="3" t="s">
        <v>940</v>
      </c>
      <c r="N652" s="3" t="s">
        <v>1425</v>
      </c>
      <c r="O652" s="3">
        <v>1.0</v>
      </c>
    </row>
    <row r="653" ht="15.75" customHeight="1">
      <c r="A653" s="3" t="s">
        <v>4216</v>
      </c>
      <c r="B653" s="3" t="s">
        <v>4217</v>
      </c>
      <c r="C653" s="3" t="s">
        <v>4218</v>
      </c>
      <c r="D653" s="3" t="s">
        <v>4219</v>
      </c>
      <c r="E653" s="3" t="str">
        <f>IFERROR(__xludf.DUMMYFUNCTION("GOOGLETRANSLATE($D653,""EN"",""RU"")")," Испания")</f>
        <v> Испания</v>
      </c>
      <c r="F653" s="3" t="s">
        <v>559</v>
      </c>
      <c r="G653" s="3" t="s">
        <v>90</v>
      </c>
      <c r="H653" s="3" t="s">
        <v>2226</v>
      </c>
      <c r="I653" s="3" t="s">
        <v>41</v>
      </c>
      <c r="J653" s="3" t="s">
        <v>53</v>
      </c>
      <c r="K653" s="3" t="s">
        <v>1990</v>
      </c>
      <c r="L653" s="3" t="s">
        <v>2176</v>
      </c>
      <c r="M653" s="3" t="s">
        <v>1675</v>
      </c>
      <c r="N653" s="3" t="s">
        <v>2176</v>
      </c>
      <c r="O653" s="3">
        <v>2.0</v>
      </c>
    </row>
    <row r="654" ht="15.75" customHeight="1">
      <c r="A654" s="3" t="s">
        <v>4220</v>
      </c>
      <c r="B654" s="3" t="s">
        <v>4221</v>
      </c>
      <c r="C654" s="3" t="s">
        <v>4222</v>
      </c>
      <c r="D654" s="3" t="s">
        <v>4223</v>
      </c>
      <c r="E654" s="3" t="str">
        <f>IFERROR(__xludf.DUMMYFUNCTION("GOOGLETRANSLATE($D654,""EN"",""RU"")")," Перу")</f>
        <v> Перу</v>
      </c>
      <c r="F654" s="3" t="s">
        <v>559</v>
      </c>
      <c r="G654" s="3" t="s">
        <v>90</v>
      </c>
      <c r="H654" s="3" t="s">
        <v>2226</v>
      </c>
      <c r="I654" s="3" t="s">
        <v>65</v>
      </c>
      <c r="J654" s="3" t="s">
        <v>28</v>
      </c>
      <c r="K654" s="3" t="s">
        <v>1990</v>
      </c>
      <c r="L654" s="3" t="s">
        <v>786</v>
      </c>
      <c r="M654" s="3" t="s">
        <v>2980</v>
      </c>
      <c r="N654" s="3" t="s">
        <v>940</v>
      </c>
      <c r="O654" s="3">
        <v>2.0</v>
      </c>
    </row>
    <row r="655" ht="15.75" customHeight="1">
      <c r="A655" s="3" t="s">
        <v>4224</v>
      </c>
      <c r="B655" s="3" t="s">
        <v>4225</v>
      </c>
      <c r="C655" s="3" t="s">
        <v>4226</v>
      </c>
      <c r="D655" s="3" t="s">
        <v>4227</v>
      </c>
      <c r="E655" s="3" t="str">
        <f>IFERROR(__xludf.DUMMYFUNCTION("GOOGLETRANSLATE($D655,""EN"",""RU"")")," Увеличительное стекло наклонено вправо")</f>
        <v> Увеличительное стекло наклонено вправо</v>
      </c>
      <c r="F655" s="3" t="s">
        <v>358</v>
      </c>
      <c r="G655" s="3" t="s">
        <v>90</v>
      </c>
      <c r="H655" s="3" t="s">
        <v>2226</v>
      </c>
      <c r="I655" s="3" t="s">
        <v>65</v>
      </c>
      <c r="J655" s="3" t="s">
        <v>28</v>
      </c>
      <c r="K655" s="3" t="s">
        <v>1990</v>
      </c>
      <c r="L655" s="3" t="s">
        <v>786</v>
      </c>
      <c r="M655" s="3" t="s">
        <v>2980</v>
      </c>
      <c r="N655" s="3" t="s">
        <v>940</v>
      </c>
      <c r="O655" s="3">
        <v>2.0</v>
      </c>
    </row>
    <row r="656" ht="15.75" customHeight="1">
      <c r="A656" s="3" t="s">
        <v>864</v>
      </c>
      <c r="B656" s="3" t="s">
        <v>4228</v>
      </c>
      <c r="C656" s="3" t="s">
        <v>4229</v>
      </c>
      <c r="D656" s="3" t="s">
        <v>4230</v>
      </c>
      <c r="E656" s="3" t="str">
        <f>IFERROR(__xludf.DUMMYFUNCTION("GOOGLETRANSLATE($D656,""EN"",""RU"")")," Уругвай")</f>
        <v> Уругвай</v>
      </c>
      <c r="F656" s="3" t="s">
        <v>559</v>
      </c>
      <c r="G656" s="3" t="s">
        <v>90</v>
      </c>
      <c r="H656" s="3" t="s">
        <v>2226</v>
      </c>
      <c r="I656" s="3" t="s">
        <v>77</v>
      </c>
      <c r="J656" s="3" t="s">
        <v>15</v>
      </c>
      <c r="K656" s="3" t="s">
        <v>1990</v>
      </c>
      <c r="L656" s="3" t="s">
        <v>2684</v>
      </c>
      <c r="M656" s="3" t="s">
        <v>940</v>
      </c>
      <c r="N656" s="3" t="s">
        <v>1990</v>
      </c>
      <c r="O656" s="3">
        <v>2.0</v>
      </c>
    </row>
    <row r="657" ht="15.75" customHeight="1">
      <c r="A657" s="3" t="s">
        <v>4231</v>
      </c>
      <c r="B657" s="3" t="s">
        <v>4232</v>
      </c>
      <c r="C657" s="3" t="s">
        <v>4233</v>
      </c>
      <c r="D657" s="3" t="s">
        <v>4234</v>
      </c>
      <c r="E657" s="3" t="str">
        <f>IFERROR(__xludf.DUMMYFUNCTION("GOOGLETRANSLATE($D657,""EN"",""RU"")")," Человек, дующийся")</f>
        <v> Человек, дующийся</v>
      </c>
      <c r="F657" s="3" t="s">
        <v>178</v>
      </c>
      <c r="G657" s="3" t="s">
        <v>90</v>
      </c>
      <c r="H657" s="3" t="s">
        <v>77</v>
      </c>
      <c r="I657" s="3" t="s">
        <v>15</v>
      </c>
      <c r="J657" s="3" t="s">
        <v>2226</v>
      </c>
      <c r="K657" s="3" t="s">
        <v>2684</v>
      </c>
      <c r="L657" s="3" t="s">
        <v>940</v>
      </c>
      <c r="M657" s="3" t="s">
        <v>1990</v>
      </c>
      <c r="N657" s="3" t="s">
        <v>4235</v>
      </c>
      <c r="O657" s="3">
        <v>0.0</v>
      </c>
    </row>
    <row r="658" ht="15.75" customHeight="1">
      <c r="A658" s="3" t="s">
        <v>4236</v>
      </c>
      <c r="B658" s="3" t="s">
        <v>4237</v>
      </c>
      <c r="C658" s="3" t="s">
        <v>4238</v>
      </c>
      <c r="D658" s="3" t="s">
        <v>4239</v>
      </c>
      <c r="E658" s="3" t="str">
        <f>IFERROR(__xludf.DUMMYFUNCTION("GOOGLETRANSLATE($D658,""EN"",""RU"")")," Горшок с едой")</f>
        <v> Горшок с едой</v>
      </c>
      <c r="F658" s="3" t="s">
        <v>1510</v>
      </c>
      <c r="G658" s="3" t="s">
        <v>90</v>
      </c>
      <c r="H658" s="3" t="s">
        <v>2226</v>
      </c>
      <c r="I658" s="3" t="s">
        <v>53</v>
      </c>
      <c r="J658" s="3" t="s">
        <v>41</v>
      </c>
      <c r="K658" s="3" t="s">
        <v>1990</v>
      </c>
      <c r="L658" s="3" t="s">
        <v>1675</v>
      </c>
      <c r="M658" s="3" t="s">
        <v>2176</v>
      </c>
      <c r="N658" s="3" t="s">
        <v>4204</v>
      </c>
      <c r="O658" s="3">
        <v>2.0</v>
      </c>
    </row>
    <row r="659" ht="15.75" customHeight="1">
      <c r="A659" s="3" t="s">
        <v>4240</v>
      </c>
      <c r="B659" s="3" t="s">
        <v>4241</v>
      </c>
      <c r="C659" s="3" t="s">
        <v>4242</v>
      </c>
      <c r="D659" s="3" t="s">
        <v>4243</v>
      </c>
      <c r="E659" s="3" t="str">
        <f>IFERROR(__xludf.DUMMYFUNCTION("GOOGLETRANSLATE($D659,""EN"",""RU"")")," Буррито")</f>
        <v> Буррито</v>
      </c>
      <c r="F659" s="3" t="s">
        <v>1510</v>
      </c>
      <c r="G659" s="3" t="s">
        <v>90</v>
      </c>
      <c r="H659" s="3" t="s">
        <v>28</v>
      </c>
      <c r="I659" s="3" t="s">
        <v>53</v>
      </c>
      <c r="J659" s="3" t="s">
        <v>15</v>
      </c>
      <c r="K659" s="3" t="s">
        <v>2980</v>
      </c>
      <c r="L659" s="3" t="s">
        <v>1675</v>
      </c>
      <c r="M659" s="3" t="s">
        <v>940</v>
      </c>
      <c r="N659" s="3" t="s">
        <v>4177</v>
      </c>
      <c r="O659" s="3">
        <v>0.0</v>
      </c>
    </row>
    <row r="660" ht="15.75" customHeight="1">
      <c r="A660" s="3" t="s">
        <v>854</v>
      </c>
      <c r="B660" s="3" t="s">
        <v>4244</v>
      </c>
      <c r="C660" s="3" t="s">
        <v>4245</v>
      </c>
      <c r="D660" s="3" t="s">
        <v>4246</v>
      </c>
      <c r="E660" s="3" t="str">
        <f>IFERROR(__xludf.DUMMYFUNCTION("GOOGLETRANSLATE($D660,""EN"",""RU"")")," мандарин")</f>
        <v> мандарин</v>
      </c>
      <c r="F660" s="3" t="s">
        <v>1510</v>
      </c>
      <c r="G660" s="3" t="s">
        <v>90</v>
      </c>
      <c r="H660" s="3" t="s">
        <v>15</v>
      </c>
      <c r="I660" s="3" t="s">
        <v>41</v>
      </c>
      <c r="J660" s="3" t="s">
        <v>41</v>
      </c>
      <c r="K660" s="3" t="s">
        <v>940</v>
      </c>
      <c r="L660" s="3" t="s">
        <v>2176</v>
      </c>
      <c r="M660" s="3" t="s">
        <v>2176</v>
      </c>
      <c r="N660" s="3" t="s">
        <v>940</v>
      </c>
      <c r="O660" s="3">
        <v>2.0</v>
      </c>
    </row>
    <row r="661" ht="15.75" customHeight="1">
      <c r="A661" s="3" t="s">
        <v>843</v>
      </c>
      <c r="B661" s="3" t="s">
        <v>4247</v>
      </c>
      <c r="C661" s="3" t="s">
        <v>4248</v>
      </c>
      <c r="D661" s="3" t="s">
        <v>4249</v>
      </c>
      <c r="E661" s="3" t="str">
        <f>IFERROR(__xludf.DUMMYFUNCTION("GOOGLETRANSLATE($D661,""EN"",""RU"")")," Кнопка проходного балла по японскому языку")</f>
        <v> Кнопка проходного балла по японскому языку</v>
      </c>
      <c r="F661" s="3" t="s">
        <v>637</v>
      </c>
      <c r="G661" s="3" t="s">
        <v>90</v>
      </c>
      <c r="H661" s="3" t="s">
        <v>2226</v>
      </c>
      <c r="I661" s="3" t="s">
        <v>90</v>
      </c>
      <c r="J661" s="3" t="s">
        <v>2226</v>
      </c>
      <c r="K661" s="3" t="s">
        <v>1990</v>
      </c>
      <c r="L661" s="3" t="s">
        <v>2056</v>
      </c>
      <c r="M661" s="3" t="s">
        <v>1990</v>
      </c>
      <c r="N661" s="3" t="s">
        <v>1425</v>
      </c>
      <c r="O661" s="3">
        <v>1.0</v>
      </c>
    </row>
    <row r="662" ht="15.75" customHeight="1">
      <c r="A662" s="3" t="s">
        <v>4250</v>
      </c>
      <c r="B662" s="3" t="s">
        <v>4251</v>
      </c>
      <c r="C662" s="3" t="s">
        <v>4252</v>
      </c>
      <c r="D662" s="3" t="s">
        <v>4253</v>
      </c>
      <c r="E662" s="3" t="str">
        <f>IFERROR(__xludf.DUMMYFUNCTION("GOOGLETRANSLATE($D662,""EN"",""RU"")")," Кнопка «Вверх»")</f>
        <v> Кнопка «Вверх»</v>
      </c>
      <c r="F662" s="3" t="s">
        <v>637</v>
      </c>
      <c r="G662" s="3" t="s">
        <v>90</v>
      </c>
      <c r="H662" s="3" t="s">
        <v>2226</v>
      </c>
      <c r="I662" s="3" t="s">
        <v>90</v>
      </c>
      <c r="J662" s="3" t="s">
        <v>2226</v>
      </c>
      <c r="K662" s="3" t="s">
        <v>1990</v>
      </c>
      <c r="L662" s="3" t="s">
        <v>2056</v>
      </c>
      <c r="M662" s="3" t="s">
        <v>1990</v>
      </c>
      <c r="N662" s="3" t="s">
        <v>1425</v>
      </c>
      <c r="O662" s="3">
        <v>1.0</v>
      </c>
    </row>
    <row r="663" ht="15.75" customHeight="1">
      <c r="A663" s="3" t="s">
        <v>84</v>
      </c>
      <c r="B663" s="3" t="s">
        <v>4254</v>
      </c>
      <c r="C663" s="3" t="s">
        <v>4255</v>
      </c>
      <c r="D663" s="3" t="s">
        <v>4256</v>
      </c>
      <c r="E663" s="3" t="str">
        <f>IFERROR(__xludf.DUMMYFUNCTION("GOOGLETRANSLATE($D663,""EN"",""RU"")")," Автопоезд")</f>
        <v> Автопоезд</v>
      </c>
      <c r="F663" s="3" t="s">
        <v>358</v>
      </c>
      <c r="G663" s="3" t="s">
        <v>90</v>
      </c>
      <c r="H663" s="3" t="s">
        <v>15</v>
      </c>
      <c r="I663" s="3" t="s">
        <v>53</v>
      </c>
      <c r="J663" s="3" t="s">
        <v>28</v>
      </c>
      <c r="K663" s="3" t="s">
        <v>940</v>
      </c>
      <c r="L663" s="3" t="s">
        <v>1675</v>
      </c>
      <c r="M663" s="3" t="s">
        <v>2980</v>
      </c>
      <c r="N663" s="3" t="s">
        <v>2953</v>
      </c>
      <c r="O663" s="3">
        <v>2.0</v>
      </c>
    </row>
    <row r="664" ht="15.75" customHeight="1">
      <c r="A664" s="3" t="s">
        <v>4257</v>
      </c>
      <c r="B664" s="3" t="s">
        <v>4258</v>
      </c>
      <c r="C664" s="3" t="s">
        <v>4259</v>
      </c>
      <c r="D664" s="3" t="s">
        <v>4260</v>
      </c>
      <c r="E664" s="3" t="str">
        <f>IFERROR(__xludf.DUMMYFUNCTION("GOOGLETRANSLATE($D664,""EN"",""RU"")")," Крокодил")</f>
        <v> Крокодил</v>
      </c>
      <c r="F664" s="3" t="s">
        <v>81</v>
      </c>
      <c r="G664" s="3" t="s">
        <v>90</v>
      </c>
      <c r="H664" s="3" t="s">
        <v>15</v>
      </c>
      <c r="I664" s="3" t="s">
        <v>65</v>
      </c>
      <c r="J664" s="3" t="s">
        <v>15</v>
      </c>
      <c r="K664" s="3" t="s">
        <v>940</v>
      </c>
      <c r="L664" s="3" t="s">
        <v>786</v>
      </c>
      <c r="M664" s="3" t="s">
        <v>940</v>
      </c>
      <c r="N664" s="3" t="s">
        <v>1425</v>
      </c>
      <c r="O664" s="3">
        <v>1.0</v>
      </c>
    </row>
    <row r="665" ht="15.75" customHeight="1">
      <c r="A665" s="3" t="s">
        <v>4261</v>
      </c>
      <c r="B665" s="3" t="s">
        <v>4262</v>
      </c>
      <c r="C665" s="3" t="s">
        <v>4263</v>
      </c>
      <c r="D665" s="3" t="s">
        <v>4264</v>
      </c>
      <c r="E665" s="3" t="str">
        <f>IFERROR(__xludf.DUMMYFUNCTION("GOOGLETRANSLATE($D665,""EN"",""RU"")")," Baby Chick")</f>
        <v> Baby Chick</v>
      </c>
      <c r="F665" s="3" t="s">
        <v>81</v>
      </c>
      <c r="G665" s="3" t="s">
        <v>90</v>
      </c>
      <c r="H665" s="3" t="s">
        <v>28</v>
      </c>
      <c r="I665" s="3" t="s">
        <v>28</v>
      </c>
      <c r="J665" s="3" t="s">
        <v>41</v>
      </c>
      <c r="K665" s="3" t="s">
        <v>2980</v>
      </c>
      <c r="L665" s="3" t="s">
        <v>2980</v>
      </c>
      <c r="M665" s="3" t="s">
        <v>2176</v>
      </c>
      <c r="N665" s="3" t="s">
        <v>4265</v>
      </c>
      <c r="O665" s="3">
        <v>2.0</v>
      </c>
    </row>
    <row r="666" ht="15.75" customHeight="1">
      <c r="A666" s="3" t="s">
        <v>419</v>
      </c>
      <c r="B666" s="3" t="s">
        <v>4266</v>
      </c>
      <c r="C666" s="3" t="s">
        <v>4267</v>
      </c>
      <c r="D666" s="3" t="s">
        <v>4268</v>
      </c>
      <c r="E666" s="3" t="str">
        <f>IFERROR(__xludf.DUMMYFUNCTION("GOOGLETRANSLATE($D666,""EN"",""RU"")")," Туман")</f>
        <v> Туман</v>
      </c>
      <c r="F666" s="3" t="s">
        <v>81</v>
      </c>
      <c r="G666" s="3" t="s">
        <v>90</v>
      </c>
      <c r="H666" s="3" t="s">
        <v>28</v>
      </c>
      <c r="I666" s="3" t="s">
        <v>41</v>
      </c>
      <c r="J666" s="3" t="s">
        <v>28</v>
      </c>
      <c r="K666" s="3" t="s">
        <v>2980</v>
      </c>
      <c r="L666" s="3" t="s">
        <v>2176</v>
      </c>
      <c r="M666" s="3" t="s">
        <v>2980</v>
      </c>
      <c r="N666" s="3" t="s">
        <v>1425</v>
      </c>
      <c r="O666" s="3">
        <v>1.0</v>
      </c>
    </row>
    <row r="667" ht="15.75" customHeight="1">
      <c r="A667" s="3" t="s">
        <v>4269</v>
      </c>
      <c r="B667" s="3" t="s">
        <v>4270</v>
      </c>
      <c r="C667" s="3" t="s">
        <v>4271</v>
      </c>
      <c r="D667" s="3" t="s">
        <v>4272</v>
      </c>
      <c r="E667" s="3" t="str">
        <f>IFERROR(__xludf.DUMMYFUNCTION("GOOGLETRANSLATE($D667,""EN"",""RU"")")," Детектив")</f>
        <v> Детектив</v>
      </c>
      <c r="F667" s="3" t="s">
        <v>2649</v>
      </c>
      <c r="G667" s="3" t="s">
        <v>77</v>
      </c>
      <c r="H667" s="3" t="s">
        <v>28</v>
      </c>
      <c r="I667" s="3" t="s">
        <v>41</v>
      </c>
      <c r="J667" s="3" t="s">
        <v>15</v>
      </c>
      <c r="K667" s="3" t="s">
        <v>2378</v>
      </c>
      <c r="L667" s="3" t="s">
        <v>3094</v>
      </c>
      <c r="M667" s="3" t="s">
        <v>2372</v>
      </c>
      <c r="N667" s="3" t="s">
        <v>3106</v>
      </c>
      <c r="O667" s="3">
        <v>0.0</v>
      </c>
    </row>
    <row r="668" ht="15.75" customHeight="1">
      <c r="A668" s="3" t="s">
        <v>4273</v>
      </c>
      <c r="B668" s="3" t="s">
        <v>4274</v>
      </c>
      <c r="C668" s="3" t="s">
        <v>4275</v>
      </c>
      <c r="D668" s="3" t="s">
        <v>4276</v>
      </c>
      <c r="E668" s="3" t="str">
        <f>IFERROR(__xludf.DUMMYFUNCTION("GOOGLETRANSLATE($D668,""EN"",""RU"")")," Нос")</f>
        <v> Нос</v>
      </c>
      <c r="F668" s="3" t="s">
        <v>178</v>
      </c>
      <c r="G668" s="3" t="s">
        <v>77</v>
      </c>
      <c r="H668" s="3" t="s">
        <v>28</v>
      </c>
      <c r="I668" s="3" t="s">
        <v>2226</v>
      </c>
      <c r="J668" s="3" t="s">
        <v>53</v>
      </c>
      <c r="K668" s="3" t="s">
        <v>2378</v>
      </c>
      <c r="L668" s="3" t="s">
        <v>2247</v>
      </c>
      <c r="M668" s="3" t="s">
        <v>2553</v>
      </c>
      <c r="N668" s="3" t="s">
        <v>4277</v>
      </c>
      <c r="O668" s="3">
        <v>2.0</v>
      </c>
    </row>
    <row r="669" ht="15.75" customHeight="1">
      <c r="A669" s="3" t="s">
        <v>4278</v>
      </c>
      <c r="B669" s="3" t="s">
        <v>4279</v>
      </c>
      <c r="C669" s="3" t="s">
        <v>4280</v>
      </c>
      <c r="D669" s="3" t="s">
        <v>4281</v>
      </c>
      <c r="E669" s="3" t="str">
        <f>IFERROR(__xludf.DUMMYFUNCTION("GOOGLETRANSLATE($D669,""EN"",""RU"")")," Обезьяна")</f>
        <v> Обезьяна</v>
      </c>
      <c r="F669" s="3" t="s">
        <v>81</v>
      </c>
      <c r="G669" s="3" t="s">
        <v>77</v>
      </c>
      <c r="H669" s="3" t="s">
        <v>28</v>
      </c>
      <c r="I669" s="3" t="s">
        <v>15</v>
      </c>
      <c r="J669" s="3" t="s">
        <v>41</v>
      </c>
      <c r="K669" s="3" t="s">
        <v>2378</v>
      </c>
      <c r="L669" s="3" t="s">
        <v>2372</v>
      </c>
      <c r="M669" s="3" t="s">
        <v>3094</v>
      </c>
      <c r="N669" s="3" t="s">
        <v>2247</v>
      </c>
      <c r="O669" s="3">
        <v>2.0</v>
      </c>
    </row>
    <row r="670" ht="15.75" customHeight="1">
      <c r="A670" s="3" t="s">
        <v>4282</v>
      </c>
      <c r="B670" s="3" t="s">
        <v>4283</v>
      </c>
      <c r="C670" s="3" t="s">
        <v>4284</v>
      </c>
      <c r="D670" s="3" t="s">
        <v>4285</v>
      </c>
      <c r="E670" s="3" t="str">
        <f>IFERROR(__xludf.DUMMYFUNCTION("GOOGLETRANSLATE($D670,""EN"",""RU"")")," Национальный парк")</f>
        <v> Национальный парк</v>
      </c>
      <c r="F670" s="3" t="s">
        <v>81</v>
      </c>
      <c r="G670" s="3" t="s">
        <v>77</v>
      </c>
      <c r="H670" s="3" t="s">
        <v>28</v>
      </c>
      <c r="I670" s="3" t="s">
        <v>15</v>
      </c>
      <c r="J670" s="3" t="s">
        <v>41</v>
      </c>
      <c r="K670" s="3" t="s">
        <v>2378</v>
      </c>
      <c r="L670" s="3" t="s">
        <v>2372</v>
      </c>
      <c r="M670" s="3" t="s">
        <v>3094</v>
      </c>
      <c r="N670" s="3" t="s">
        <v>2247</v>
      </c>
      <c r="O670" s="3">
        <v>2.0</v>
      </c>
    </row>
    <row r="671" ht="15.75" customHeight="1">
      <c r="A671" s="3" t="s">
        <v>4286</v>
      </c>
      <c r="B671" s="3" t="s">
        <v>4287</v>
      </c>
      <c r="C671" s="3" t="s">
        <v>4288</v>
      </c>
      <c r="D671" s="3" t="s">
        <v>4289</v>
      </c>
      <c r="E671" s="3" t="str">
        <f>IFERROR(__xludf.DUMMYFUNCTION("GOOGLETRANSLATE($D671,""EN"",""RU"")")," Тропическая рыба")</f>
        <v> Тропическая рыба</v>
      </c>
      <c r="F671" s="3" t="s">
        <v>81</v>
      </c>
      <c r="G671" s="3" t="s">
        <v>77</v>
      </c>
      <c r="H671" s="3" t="s">
        <v>41</v>
      </c>
      <c r="I671" s="3" t="s">
        <v>15</v>
      </c>
      <c r="J671" s="3" t="s">
        <v>28</v>
      </c>
      <c r="K671" s="3" t="s">
        <v>3094</v>
      </c>
      <c r="L671" s="3" t="s">
        <v>2372</v>
      </c>
      <c r="M671" s="3" t="s">
        <v>2378</v>
      </c>
      <c r="N671" s="3" t="s">
        <v>3106</v>
      </c>
      <c r="O671" s="3">
        <v>0.0</v>
      </c>
    </row>
    <row r="672" ht="15.75" customHeight="1">
      <c r="A672" s="3" t="s">
        <v>4290</v>
      </c>
      <c r="B672" s="3" t="s">
        <v>4291</v>
      </c>
      <c r="C672" s="3" t="s">
        <v>4292</v>
      </c>
      <c r="D672" s="3" t="s">
        <v>4293</v>
      </c>
      <c r="E672" s="3" t="str">
        <f>IFERROR(__xludf.DUMMYFUNCTION("GOOGLETRANSLATE($D672,""EN"",""RU"")")," Пингвин")</f>
        <v> Пингвин</v>
      </c>
      <c r="F672" s="3" t="s">
        <v>81</v>
      </c>
      <c r="G672" s="3" t="s">
        <v>77</v>
      </c>
      <c r="H672" s="3" t="s">
        <v>15</v>
      </c>
      <c r="I672" s="3" t="s">
        <v>28</v>
      </c>
      <c r="J672" s="3" t="s">
        <v>41</v>
      </c>
      <c r="K672" s="3" t="s">
        <v>2372</v>
      </c>
      <c r="L672" s="3" t="s">
        <v>2378</v>
      </c>
      <c r="M672" s="3" t="s">
        <v>3094</v>
      </c>
      <c r="N672" s="3" t="s">
        <v>2372</v>
      </c>
      <c r="O672" s="3">
        <v>2.0</v>
      </c>
    </row>
    <row r="673" ht="15.75" customHeight="1">
      <c r="A673" s="3" t="s">
        <v>4294</v>
      </c>
      <c r="B673" s="3" t="s">
        <v>4295</v>
      </c>
      <c r="C673" s="3" t="s">
        <v>4296</v>
      </c>
      <c r="D673" s="3" t="s">
        <v>4297</v>
      </c>
      <c r="E673" s="3" t="str">
        <f>IFERROR(__xludf.DUMMYFUNCTION("GOOGLETRANSLATE($D673,""EN"",""RU"")")," Козел")</f>
        <v> Козел</v>
      </c>
      <c r="F673" s="3" t="s">
        <v>81</v>
      </c>
      <c r="G673" s="3" t="s">
        <v>77</v>
      </c>
      <c r="H673" s="3" t="s">
        <v>41</v>
      </c>
      <c r="I673" s="3" t="s">
        <v>28</v>
      </c>
      <c r="J673" s="3" t="s">
        <v>15</v>
      </c>
      <c r="K673" s="3" t="s">
        <v>3094</v>
      </c>
      <c r="L673" s="3" t="s">
        <v>2378</v>
      </c>
      <c r="M673" s="3" t="s">
        <v>2372</v>
      </c>
      <c r="N673" s="3" t="s">
        <v>3522</v>
      </c>
      <c r="O673" s="3">
        <v>0.0</v>
      </c>
    </row>
    <row r="674" ht="15.75" customHeight="1">
      <c r="A674" s="3" t="s">
        <v>4298</v>
      </c>
      <c r="B674" s="3" t="s">
        <v>4299</v>
      </c>
      <c r="C674" s="3" t="s">
        <v>4300</v>
      </c>
      <c r="D674" s="3" t="s">
        <v>4301</v>
      </c>
      <c r="E674" s="3" t="str">
        <f>IFERROR(__xludf.DUMMYFUNCTION("GOOGLETRANSLATE($D674,""EN"",""RU"")")," Селфи")</f>
        <v> Селфи</v>
      </c>
      <c r="F674" s="3" t="s">
        <v>178</v>
      </c>
      <c r="G674" s="3" t="s">
        <v>77</v>
      </c>
      <c r="H674" s="3" t="s">
        <v>15</v>
      </c>
      <c r="I674" s="3" t="s">
        <v>28</v>
      </c>
      <c r="J674" s="3" t="s">
        <v>41</v>
      </c>
      <c r="K674" s="3" t="s">
        <v>2372</v>
      </c>
      <c r="L674" s="3" t="s">
        <v>2378</v>
      </c>
      <c r="M674" s="3" t="s">
        <v>3094</v>
      </c>
      <c r="N674" s="3" t="s">
        <v>2372</v>
      </c>
      <c r="O674" s="3">
        <v>2.0</v>
      </c>
    </row>
    <row r="675" ht="15.75" customHeight="1">
      <c r="A675" s="3" t="s">
        <v>823</v>
      </c>
      <c r="B675" s="3" t="s">
        <v>4302</v>
      </c>
      <c r="C675" s="3" t="s">
        <v>4303</v>
      </c>
      <c r="D675" s="3" t="s">
        <v>4304</v>
      </c>
      <c r="E675" s="3" t="str">
        <f>IFERROR(__xludf.DUMMYFUNCTION("GOOGLETRANSLATE($D675,""EN"",""RU"")")," Человек, прыгающий по мячу")</f>
        <v> Человек, прыгающий по мячу</v>
      </c>
      <c r="F675" s="3" t="s">
        <v>2649</v>
      </c>
      <c r="G675" s="3" t="s">
        <v>77</v>
      </c>
      <c r="H675" s="3" t="s">
        <v>28</v>
      </c>
      <c r="I675" s="3" t="s">
        <v>15</v>
      </c>
      <c r="J675" s="3" t="s">
        <v>41</v>
      </c>
      <c r="K675" s="3" t="s">
        <v>2378</v>
      </c>
      <c r="L675" s="3" t="s">
        <v>2372</v>
      </c>
      <c r="M675" s="3" t="s">
        <v>3094</v>
      </c>
      <c r="N675" s="3" t="s">
        <v>2247</v>
      </c>
      <c r="O675" s="3">
        <v>2.0</v>
      </c>
    </row>
    <row r="676" ht="15.75" customHeight="1">
      <c r="A676" s="3" t="s">
        <v>4305</v>
      </c>
      <c r="B676" s="3" t="s">
        <v>4306</v>
      </c>
      <c r="C676" s="3" t="s">
        <v>4307</v>
      </c>
      <c r="D676" s="3" t="s">
        <v>4308</v>
      </c>
      <c r="E676" s="3" t="str">
        <f>IFERROR(__xludf.DUMMYFUNCTION("GOOGLETRANSLATE($D676,""EN"",""RU"")")," Рыба")</f>
        <v> Рыба</v>
      </c>
      <c r="F676" s="3" t="s">
        <v>81</v>
      </c>
      <c r="G676" s="3" t="s">
        <v>77</v>
      </c>
      <c r="H676" s="3" t="s">
        <v>65</v>
      </c>
      <c r="I676" s="3" t="s">
        <v>2226</v>
      </c>
      <c r="J676" s="3" t="s">
        <v>15</v>
      </c>
      <c r="K676" s="3" t="s">
        <v>1450</v>
      </c>
      <c r="L676" s="3" t="s">
        <v>2247</v>
      </c>
      <c r="M676" s="3" t="s">
        <v>2372</v>
      </c>
      <c r="N676" s="3" t="s">
        <v>4309</v>
      </c>
      <c r="O676" s="3">
        <v>0.0</v>
      </c>
    </row>
    <row r="677" ht="15.75" customHeight="1">
      <c r="A677" s="3" t="s">
        <v>4310</v>
      </c>
      <c r="B677" s="3" t="s">
        <v>4311</v>
      </c>
      <c r="C677" s="3" t="s">
        <v>4312</v>
      </c>
      <c r="D677" s="3" t="s">
        <v>4313</v>
      </c>
      <c r="E677" s="3" t="str">
        <f>IFERROR(__xludf.DUMMYFUNCTION("GOOGLETRANSLATE($D677,""EN"",""RU"")")," Слон")</f>
        <v> Слон</v>
      </c>
      <c r="F677" s="3" t="s">
        <v>81</v>
      </c>
      <c r="G677" s="3" t="s">
        <v>77</v>
      </c>
      <c r="H677" s="3" t="s">
        <v>2226</v>
      </c>
      <c r="I677" s="3" t="s">
        <v>2226</v>
      </c>
      <c r="J677" s="3" t="s">
        <v>77</v>
      </c>
      <c r="K677" s="3" t="s">
        <v>2247</v>
      </c>
      <c r="L677" s="3" t="s">
        <v>2247</v>
      </c>
      <c r="M677" s="3" t="s">
        <v>3489</v>
      </c>
      <c r="N677" s="3" t="s">
        <v>4314</v>
      </c>
      <c r="O677" s="3">
        <v>2.0</v>
      </c>
    </row>
    <row r="678" ht="15.75" customHeight="1">
      <c r="A678" s="3" t="s">
        <v>4315</v>
      </c>
      <c r="B678" s="3" t="s">
        <v>4316</v>
      </c>
      <c r="C678" s="3" t="s">
        <v>4317</v>
      </c>
      <c r="D678" s="3" t="s">
        <v>4318</v>
      </c>
      <c r="E678" s="3" t="str">
        <f>IFERROR(__xludf.DUMMYFUNCTION("GOOGLETRANSLATE($D678,""EN"",""RU"")")," Восход солнца над горами")</f>
        <v> Восход солнца над горами</v>
      </c>
      <c r="F678" s="3" t="s">
        <v>81</v>
      </c>
      <c r="G678" s="3" t="s">
        <v>77</v>
      </c>
      <c r="H678" s="3" t="s">
        <v>28</v>
      </c>
      <c r="I678" s="3" t="s">
        <v>28</v>
      </c>
      <c r="J678" s="3" t="s">
        <v>28</v>
      </c>
      <c r="K678" s="3" t="s">
        <v>2378</v>
      </c>
      <c r="L678" s="3" t="s">
        <v>2378</v>
      </c>
      <c r="M678" s="3" t="s">
        <v>2378</v>
      </c>
      <c r="N678" s="3" t="s">
        <v>1425</v>
      </c>
      <c r="O678" s="3">
        <v>1.0</v>
      </c>
    </row>
    <row r="679" ht="15.75" customHeight="1">
      <c r="A679" s="3" t="s">
        <v>4319</v>
      </c>
      <c r="B679" s="3" t="s">
        <v>4320</v>
      </c>
      <c r="C679" s="3" t="s">
        <v>4321</v>
      </c>
      <c r="D679" s="3" t="s">
        <v>4322</v>
      </c>
      <c r="E679" s="3" t="str">
        <f>IFERROR(__xludf.DUMMYFUNCTION("GOOGLETRANSLATE($D679,""EN"",""RU"")")," Волчье лицо")</f>
        <v> Волчье лицо</v>
      </c>
      <c r="F679" s="3" t="s">
        <v>81</v>
      </c>
      <c r="G679" s="3" t="s">
        <v>77</v>
      </c>
      <c r="H679" s="3" t="s">
        <v>15</v>
      </c>
      <c r="I679" s="3" t="s">
        <v>2226</v>
      </c>
      <c r="J679" s="3" t="s">
        <v>65</v>
      </c>
      <c r="K679" s="3" t="s">
        <v>2372</v>
      </c>
      <c r="L679" s="3" t="s">
        <v>2247</v>
      </c>
      <c r="M679" s="3" t="s">
        <v>1450</v>
      </c>
      <c r="N679" s="3" t="s">
        <v>3094</v>
      </c>
      <c r="O679" s="3">
        <v>2.0</v>
      </c>
    </row>
    <row r="680" ht="15.75" customHeight="1">
      <c r="A680" s="3" t="s">
        <v>4323</v>
      </c>
      <c r="B680" s="3" t="s">
        <v>4324</v>
      </c>
      <c r="C680" s="3" t="s">
        <v>4325</v>
      </c>
      <c r="D680" s="3" t="s">
        <v>4326</v>
      </c>
      <c r="E680" s="3" t="str">
        <f>IFERROR(__xludf.DUMMYFUNCTION("GOOGLETRANSLATE($D680,""EN"",""RU"")")," Обведен М")</f>
        <v> Обведен М</v>
      </c>
      <c r="F680" s="3" t="s">
        <v>637</v>
      </c>
      <c r="G680" s="3" t="s">
        <v>77</v>
      </c>
      <c r="H680" s="3" t="s">
        <v>2226</v>
      </c>
      <c r="I680" s="3" t="s">
        <v>28</v>
      </c>
      <c r="J680" s="3" t="s">
        <v>53</v>
      </c>
      <c r="K680" s="3" t="s">
        <v>2247</v>
      </c>
      <c r="L680" s="3" t="s">
        <v>2378</v>
      </c>
      <c r="M680" s="3" t="s">
        <v>2553</v>
      </c>
      <c r="N680" s="3" t="s">
        <v>3506</v>
      </c>
      <c r="O680" s="3">
        <v>2.0</v>
      </c>
    </row>
    <row r="681" ht="15.75" customHeight="1">
      <c r="A681" s="3" t="s">
        <v>4327</v>
      </c>
      <c r="B681" s="3" t="s">
        <v>4328</v>
      </c>
      <c r="C681" s="3" t="s">
        <v>4329</v>
      </c>
      <c r="D681" s="3" t="s">
        <v>4330</v>
      </c>
      <c r="E681" s="3" t="str">
        <f>IFERROR(__xludf.DUMMYFUNCTION("GOOGLETRANSLATE($D681,""EN"",""RU"")")," Бейдж")</f>
        <v> Бейдж</v>
      </c>
      <c r="F681" s="3" t="s">
        <v>637</v>
      </c>
      <c r="G681" s="3" t="s">
        <v>77</v>
      </c>
      <c r="H681" s="3" t="s">
        <v>2226</v>
      </c>
      <c r="I681" s="3" t="s">
        <v>77</v>
      </c>
      <c r="J681" s="3" t="s">
        <v>2226</v>
      </c>
      <c r="K681" s="3" t="s">
        <v>2247</v>
      </c>
      <c r="L681" s="3" t="s">
        <v>3489</v>
      </c>
      <c r="M681" s="3" t="s">
        <v>2247</v>
      </c>
      <c r="N681" s="3" t="s">
        <v>1425</v>
      </c>
      <c r="O681" s="3">
        <v>1.0</v>
      </c>
    </row>
    <row r="682" ht="15.75" customHeight="1">
      <c r="A682" s="3" t="s">
        <v>4331</v>
      </c>
      <c r="B682" s="3" t="s">
        <v>4332</v>
      </c>
      <c r="C682" s="3" t="s">
        <v>4333</v>
      </c>
      <c r="D682" s="3" t="s">
        <v>4334</v>
      </c>
      <c r="E682" s="3" t="str">
        <f>IFERROR(__xludf.DUMMYFUNCTION("GOOGLETRANSLATE($D682,""EN"",""RU"")")," Антенные планки")</f>
        <v> Антенные планки</v>
      </c>
      <c r="F682" s="3" t="s">
        <v>637</v>
      </c>
      <c r="G682" s="3" t="s">
        <v>77</v>
      </c>
      <c r="H682" s="3" t="s">
        <v>2226</v>
      </c>
      <c r="I682" s="3" t="s">
        <v>77</v>
      </c>
      <c r="J682" s="3" t="s">
        <v>2226</v>
      </c>
      <c r="K682" s="3" t="s">
        <v>2247</v>
      </c>
      <c r="L682" s="3" t="s">
        <v>3489</v>
      </c>
      <c r="M682" s="3" t="s">
        <v>2247</v>
      </c>
      <c r="N682" s="3" t="s">
        <v>1425</v>
      </c>
      <c r="O682" s="3">
        <v>1.0</v>
      </c>
    </row>
    <row r="683" ht="15.75" customHeight="1">
      <c r="A683" s="3" t="s">
        <v>4335</v>
      </c>
      <c r="B683" s="3" t="s">
        <v>4336</v>
      </c>
      <c r="C683" s="3" t="s">
        <v>4337</v>
      </c>
      <c r="D683" s="3" t="s">
        <v>4338</v>
      </c>
      <c r="E683" s="3" t="str">
        <f>IFERROR(__xludf.DUMMYFUNCTION("GOOGLETRANSLATE($D683,""EN"",""RU"")")," Фигурная петля")</f>
        <v> Фигурная петля</v>
      </c>
      <c r="F683" s="3" t="s">
        <v>637</v>
      </c>
      <c r="G683" s="3" t="s">
        <v>77</v>
      </c>
      <c r="H683" s="3" t="s">
        <v>2226</v>
      </c>
      <c r="I683" s="3" t="s">
        <v>41</v>
      </c>
      <c r="J683" s="3" t="s">
        <v>41</v>
      </c>
      <c r="K683" s="3" t="s">
        <v>2247</v>
      </c>
      <c r="L683" s="3" t="s">
        <v>3094</v>
      </c>
      <c r="M683" s="3" t="s">
        <v>3094</v>
      </c>
      <c r="N683" s="3" t="s">
        <v>2378</v>
      </c>
      <c r="O683" s="3">
        <v>2.0</v>
      </c>
    </row>
    <row r="684" ht="15.75" customHeight="1">
      <c r="A684" s="3" t="s">
        <v>4339</v>
      </c>
      <c r="B684" s="3" t="s">
        <v>4340</v>
      </c>
      <c r="C684" s="3" t="s">
        <v>4341</v>
      </c>
      <c r="D684" s="3" t="s">
        <v>4342</v>
      </c>
      <c r="E684" s="3" t="str">
        <f>IFERROR(__xludf.DUMMYFUNCTION("GOOGLETRANSLATE($D684,""EN"",""RU"")")," Конечная стрелка")</f>
        <v> Конечная стрелка</v>
      </c>
      <c r="F684" s="3" t="s">
        <v>637</v>
      </c>
      <c r="G684" s="3" t="s">
        <v>77</v>
      </c>
      <c r="H684" s="3" t="s">
        <v>28</v>
      </c>
      <c r="I684" s="3" t="s">
        <v>15</v>
      </c>
      <c r="J684" s="3" t="s">
        <v>41</v>
      </c>
      <c r="K684" s="3" t="s">
        <v>2378</v>
      </c>
      <c r="L684" s="3" t="s">
        <v>2372</v>
      </c>
      <c r="M684" s="3" t="s">
        <v>3094</v>
      </c>
      <c r="N684" s="3" t="s">
        <v>2247</v>
      </c>
      <c r="O684" s="3">
        <v>2.0</v>
      </c>
    </row>
    <row r="685" ht="15.75" customHeight="1">
      <c r="A685" s="3" t="s">
        <v>4343</v>
      </c>
      <c r="B685" s="3" t="s">
        <v>4344</v>
      </c>
      <c r="C685" s="3" t="s">
        <v>4345</v>
      </c>
      <c r="D685" s="3" t="s">
        <v>4346</v>
      </c>
      <c r="E685" s="3" t="str">
        <f>IFERROR(__xludf.DUMMYFUNCTION("GOOGLETRANSLATE($D685,""EN"",""RU"")")," Гвинея")</f>
        <v> Гвинея</v>
      </c>
      <c r="F685" s="3" t="s">
        <v>559</v>
      </c>
      <c r="G685" s="3" t="s">
        <v>77</v>
      </c>
      <c r="H685" s="3" t="s">
        <v>15</v>
      </c>
      <c r="I685" s="3" t="s">
        <v>65</v>
      </c>
      <c r="J685" s="3" t="s">
        <v>2226</v>
      </c>
      <c r="K685" s="3" t="s">
        <v>2372</v>
      </c>
      <c r="L685" s="3" t="s">
        <v>1450</v>
      </c>
      <c r="M685" s="3" t="s">
        <v>2247</v>
      </c>
      <c r="N685" s="3" t="s">
        <v>3106</v>
      </c>
      <c r="O685" s="3">
        <v>0.0</v>
      </c>
    </row>
    <row r="686" ht="15.75" customHeight="1">
      <c r="A686" s="3" t="s">
        <v>4347</v>
      </c>
      <c r="B686" s="3" t="s">
        <v>4348</v>
      </c>
      <c r="C686" s="3" t="s">
        <v>4349</v>
      </c>
      <c r="D686" s="3" t="s">
        <v>4350</v>
      </c>
      <c r="E686" s="3" t="str">
        <f>IFERROR(__xludf.DUMMYFUNCTION("GOOGLETRANSLATE($D686,""EN"",""RU"")")," территории Палестины")</f>
        <v> территории Палестины</v>
      </c>
      <c r="F686" s="3" t="s">
        <v>559</v>
      </c>
      <c r="G686" s="3" t="s">
        <v>77</v>
      </c>
      <c r="H686" s="3" t="s">
        <v>15</v>
      </c>
      <c r="I686" s="3" t="s">
        <v>28</v>
      </c>
      <c r="J686" s="3" t="s">
        <v>41</v>
      </c>
      <c r="K686" s="3" t="s">
        <v>2372</v>
      </c>
      <c r="L686" s="3" t="s">
        <v>2378</v>
      </c>
      <c r="M686" s="3" t="s">
        <v>3094</v>
      </c>
      <c r="N686" s="3" t="s">
        <v>2372</v>
      </c>
      <c r="O686" s="3">
        <v>2.0</v>
      </c>
    </row>
    <row r="687" ht="15.75" customHeight="1">
      <c r="A687" s="3" t="s">
        <v>4351</v>
      </c>
      <c r="B687" s="3" t="s">
        <v>4352</v>
      </c>
      <c r="C687" s="3" t="s">
        <v>4353</v>
      </c>
      <c r="D687" s="3" t="s">
        <v>4354</v>
      </c>
      <c r="E687" s="3" t="str">
        <f>IFERROR(__xludf.DUMMYFUNCTION("GOOGLETRANSLATE($D687,""EN"",""RU"")")," Электронная почта")</f>
        <v> Электронная почта</v>
      </c>
      <c r="F687" s="3" t="s">
        <v>358</v>
      </c>
      <c r="G687" s="3" t="s">
        <v>77</v>
      </c>
      <c r="H687" s="3" t="s">
        <v>15</v>
      </c>
      <c r="I687" s="3" t="s">
        <v>65</v>
      </c>
      <c r="J687" s="3" t="s">
        <v>2226</v>
      </c>
      <c r="K687" s="3" t="s">
        <v>2372</v>
      </c>
      <c r="L687" s="3" t="s">
        <v>1450</v>
      </c>
      <c r="M687" s="3" t="s">
        <v>2247</v>
      </c>
      <c r="N687" s="3" t="s">
        <v>3106</v>
      </c>
      <c r="O687" s="3">
        <v>0.0</v>
      </c>
    </row>
    <row r="688" ht="15.75" customHeight="1">
      <c r="A688" s="3" t="s">
        <v>4355</v>
      </c>
      <c r="B688" s="3" t="s">
        <v>4356</v>
      </c>
      <c r="C688" s="3" t="s">
        <v>4357</v>
      </c>
      <c r="D688" s="3" t="s">
        <v>4358</v>
      </c>
      <c r="E688" s="3" t="str">
        <f>IFERROR(__xludf.DUMMYFUNCTION("GOOGLETRANSLATE($D688,""EN"",""RU"")")," Ананас")</f>
        <v> Ананас</v>
      </c>
      <c r="F688" s="3" t="s">
        <v>1510</v>
      </c>
      <c r="G688" s="3" t="s">
        <v>77</v>
      </c>
      <c r="H688" s="3" t="s">
        <v>2226</v>
      </c>
      <c r="I688" s="3" t="s">
        <v>28</v>
      </c>
      <c r="J688" s="3" t="s">
        <v>53</v>
      </c>
      <c r="K688" s="3" t="s">
        <v>2247</v>
      </c>
      <c r="L688" s="3" t="s">
        <v>2378</v>
      </c>
      <c r="M688" s="3" t="s">
        <v>2553</v>
      </c>
      <c r="N688" s="3" t="s">
        <v>3506</v>
      </c>
      <c r="O688" s="3">
        <v>2.0</v>
      </c>
    </row>
    <row r="689" ht="15.75" customHeight="1">
      <c r="A689" s="3" t="s">
        <v>4359</v>
      </c>
      <c r="B689" s="3" t="s">
        <v>4360</v>
      </c>
      <c r="C689" s="3" t="s">
        <v>4361</v>
      </c>
      <c r="D689" s="3" t="s">
        <v>4362</v>
      </c>
      <c r="E689" s="3" t="str">
        <f>IFERROR(__xludf.DUMMYFUNCTION("GOOGLETRANSLATE($D689,""EN"",""RU"")")," Звон стаканов")</f>
        <v> Звон стаканов</v>
      </c>
      <c r="F689" s="3" t="s">
        <v>1510</v>
      </c>
      <c r="G689" s="3" t="s">
        <v>77</v>
      </c>
      <c r="H689" s="3" t="s">
        <v>2226</v>
      </c>
      <c r="I689" s="3" t="s">
        <v>15</v>
      </c>
      <c r="J689" s="3" t="s">
        <v>65</v>
      </c>
      <c r="K689" s="3" t="s">
        <v>2247</v>
      </c>
      <c r="L689" s="3" t="s">
        <v>2372</v>
      </c>
      <c r="M689" s="3" t="s">
        <v>1450</v>
      </c>
      <c r="N689" s="3" t="s">
        <v>2553</v>
      </c>
      <c r="O689" s="3">
        <v>2.0</v>
      </c>
    </row>
    <row r="690" ht="15.75" customHeight="1">
      <c r="A690" s="3" t="s">
        <v>4363</v>
      </c>
      <c r="B690" s="3" t="s">
        <v>4364</v>
      </c>
      <c r="C690" s="3" t="s">
        <v>4365</v>
      </c>
      <c r="D690" s="3" t="s">
        <v>4366</v>
      </c>
      <c r="E690" s="3" t="str">
        <f>IFERROR(__xludf.DUMMYFUNCTION("GOOGLETRANSLATE($D690,""EN"",""RU"")")," Бельгия")</f>
        <v> Бельгия</v>
      </c>
      <c r="F690" s="3" t="s">
        <v>559</v>
      </c>
      <c r="G690" s="3" t="s">
        <v>77</v>
      </c>
      <c r="H690" s="3" t="s">
        <v>2226</v>
      </c>
      <c r="I690" s="3" t="s">
        <v>77</v>
      </c>
      <c r="J690" s="3" t="s">
        <v>2226</v>
      </c>
      <c r="K690" s="3" t="s">
        <v>2247</v>
      </c>
      <c r="L690" s="3" t="s">
        <v>3489</v>
      </c>
      <c r="M690" s="3" t="s">
        <v>2247</v>
      </c>
      <c r="N690" s="3" t="s">
        <v>1425</v>
      </c>
      <c r="O690" s="3">
        <v>1.0</v>
      </c>
    </row>
    <row r="691" ht="15.75" customHeight="1">
      <c r="A691" s="3" t="s">
        <v>4367</v>
      </c>
      <c r="B691" s="3" t="s">
        <v>4368</v>
      </c>
      <c r="C691" s="3" t="s">
        <v>4369</v>
      </c>
      <c r="D691" s="3" t="s">
        <v>4370</v>
      </c>
      <c r="E691" s="3" t="str">
        <f>IFERROR(__xludf.DUMMYFUNCTION("GOOGLETRANSLATE($D691,""EN"",""RU"")")," Неглубокая кастрюля с едой")</f>
        <v> Неглубокая кастрюля с едой</v>
      </c>
      <c r="F691" s="3" t="s">
        <v>1510</v>
      </c>
      <c r="G691" s="3" t="s">
        <v>77</v>
      </c>
      <c r="H691" s="3" t="s">
        <v>2226</v>
      </c>
      <c r="I691" s="3" t="s">
        <v>53</v>
      </c>
      <c r="J691" s="3" t="s">
        <v>28</v>
      </c>
      <c r="K691" s="3" t="s">
        <v>2247</v>
      </c>
      <c r="L691" s="3" t="s">
        <v>2553</v>
      </c>
      <c r="M691" s="3" t="s">
        <v>2378</v>
      </c>
      <c r="N691" s="3" t="s">
        <v>2372</v>
      </c>
      <c r="O691" s="3">
        <v>2.0</v>
      </c>
    </row>
    <row r="692" ht="15.75" customHeight="1">
      <c r="A692" s="3" t="s">
        <v>4371</v>
      </c>
      <c r="B692" s="3" t="s">
        <v>4372</v>
      </c>
      <c r="C692" s="3" t="s">
        <v>4373</v>
      </c>
      <c r="D692" s="3" t="s">
        <v>4374</v>
      </c>
      <c r="E692" s="3" t="str">
        <f>IFERROR(__xludf.DUMMYFUNCTION("GOOGLETRANSLATE($D692,""EN"",""RU"")")," Вилка и нож")</f>
        <v> Вилка и нож</v>
      </c>
      <c r="F692" s="3" t="s">
        <v>358</v>
      </c>
      <c r="G692" s="3" t="s">
        <v>77</v>
      </c>
      <c r="H692" s="3" t="s">
        <v>15</v>
      </c>
      <c r="I692" s="3" t="s">
        <v>28</v>
      </c>
      <c r="J692" s="3" t="s">
        <v>41</v>
      </c>
      <c r="K692" s="3" t="s">
        <v>2372</v>
      </c>
      <c r="L692" s="3" t="s">
        <v>2378</v>
      </c>
      <c r="M692" s="3" t="s">
        <v>3094</v>
      </c>
      <c r="N692" s="3" t="s">
        <v>2372</v>
      </c>
      <c r="O692" s="3">
        <v>2.0</v>
      </c>
    </row>
    <row r="693" ht="15.75" customHeight="1">
      <c r="A693" s="3" t="s">
        <v>4375</v>
      </c>
      <c r="B693" s="3" t="s">
        <v>4376</v>
      </c>
      <c r="C693" s="3" t="s">
        <v>4377</v>
      </c>
      <c r="D693" s="3" t="s">
        <v>4378</v>
      </c>
      <c r="E693" s="3" t="str">
        <f>IFERROR(__xludf.DUMMYFUNCTION("GOOGLETRANSLATE($D693,""EN"",""RU"")")," Австрия")</f>
        <v> Австрия</v>
      </c>
      <c r="F693" s="3" t="s">
        <v>559</v>
      </c>
      <c r="G693" s="3" t="s">
        <v>77</v>
      </c>
      <c r="H693" s="3" t="s">
        <v>41</v>
      </c>
      <c r="I693" s="3" t="s">
        <v>28</v>
      </c>
      <c r="J693" s="3" t="s">
        <v>15</v>
      </c>
      <c r="K693" s="3" t="s">
        <v>3094</v>
      </c>
      <c r="L693" s="3" t="s">
        <v>2378</v>
      </c>
      <c r="M693" s="3" t="s">
        <v>2372</v>
      </c>
      <c r="N693" s="3" t="s">
        <v>3522</v>
      </c>
      <c r="O693" s="3">
        <v>0.0</v>
      </c>
    </row>
    <row r="694" ht="15.75" customHeight="1">
      <c r="A694" s="3" t="s">
        <v>4379</v>
      </c>
      <c r="B694" s="3" t="s">
        <v>4380</v>
      </c>
      <c r="C694" s="3" t="s">
        <v>4381</v>
      </c>
      <c r="D694" s="3" t="s">
        <v>4382</v>
      </c>
      <c r="E694" s="3" t="str">
        <f>IFERROR(__xludf.DUMMYFUNCTION("GOOGLETRANSLATE($D694,""EN"",""RU"")")," Женская шляпа")</f>
        <v> Женская шляпа</v>
      </c>
      <c r="F694" s="3" t="s">
        <v>358</v>
      </c>
      <c r="G694" s="3" t="s">
        <v>77</v>
      </c>
      <c r="H694" s="3" t="s">
        <v>15</v>
      </c>
      <c r="I694" s="3" t="s">
        <v>41</v>
      </c>
      <c r="J694" s="3" t="s">
        <v>28</v>
      </c>
      <c r="K694" s="3" t="s">
        <v>2372</v>
      </c>
      <c r="L694" s="3" t="s">
        <v>3094</v>
      </c>
      <c r="M694" s="3" t="s">
        <v>2378</v>
      </c>
      <c r="N694" s="3" t="s">
        <v>2247</v>
      </c>
      <c r="O694" s="3">
        <v>2.0</v>
      </c>
    </row>
    <row r="695" ht="15.75" customHeight="1">
      <c r="A695" s="3" t="s">
        <v>4383</v>
      </c>
      <c r="B695" s="3" t="s">
        <v>4384</v>
      </c>
      <c r="C695" s="3" t="s">
        <v>4385</v>
      </c>
      <c r="D695" s="3" t="s">
        <v>4386</v>
      </c>
      <c r="E695" s="3" t="str">
        <f>IFERROR(__xludf.DUMMYFUNCTION("GOOGLETRANSLATE($D695,""EN"",""RU"")")," Локомотив")</f>
        <v> Локомотив</v>
      </c>
      <c r="F695" s="3" t="s">
        <v>358</v>
      </c>
      <c r="G695" s="3" t="s">
        <v>77</v>
      </c>
      <c r="H695" s="3" t="s">
        <v>65</v>
      </c>
      <c r="I695" s="3" t="s">
        <v>2226</v>
      </c>
      <c r="J695" s="3" t="s">
        <v>15</v>
      </c>
      <c r="K695" s="3" t="s">
        <v>1450</v>
      </c>
      <c r="L695" s="3" t="s">
        <v>2247</v>
      </c>
      <c r="M695" s="3" t="s">
        <v>2372</v>
      </c>
      <c r="N695" s="3" t="s">
        <v>4309</v>
      </c>
      <c r="O695" s="3">
        <v>0.0</v>
      </c>
    </row>
    <row r="696" ht="15.75" customHeight="1">
      <c r="A696" s="3" t="s">
        <v>4387</v>
      </c>
      <c r="B696" s="3" t="s">
        <v>4388</v>
      </c>
      <c r="C696" s="3" t="s">
        <v>4389</v>
      </c>
      <c r="D696" s="3" t="s">
        <v>4390</v>
      </c>
      <c r="E696" s="3" t="str">
        <f>IFERROR(__xludf.DUMMYFUNCTION("GOOGLETRANSLATE($D696,""EN"",""RU"")")," Семь часов")</f>
        <v> Семь часов</v>
      </c>
      <c r="F696" s="3" t="s">
        <v>358</v>
      </c>
      <c r="G696" s="3" t="s">
        <v>77</v>
      </c>
      <c r="H696" s="3" t="s">
        <v>15</v>
      </c>
      <c r="I696" s="3" t="s">
        <v>41</v>
      </c>
      <c r="J696" s="3" t="s">
        <v>28</v>
      </c>
      <c r="K696" s="3" t="s">
        <v>2372</v>
      </c>
      <c r="L696" s="3" t="s">
        <v>3094</v>
      </c>
      <c r="M696" s="3" t="s">
        <v>2378</v>
      </c>
      <c r="N696" s="3" t="s">
        <v>2247</v>
      </c>
      <c r="O696" s="3">
        <v>2.0</v>
      </c>
    </row>
    <row r="697" ht="15.75" customHeight="1">
      <c r="A697" s="3" t="s">
        <v>4391</v>
      </c>
      <c r="B697" s="3" t="s">
        <v>4392</v>
      </c>
      <c r="C697" s="3" t="s">
        <v>4393</v>
      </c>
      <c r="D697" s="3" t="s">
        <v>4394</v>
      </c>
      <c r="E697" s="3" t="str">
        <f>IFERROR(__xludf.DUMMYFUNCTION("GOOGLETRANSLATE($D697,""EN"",""RU"")")," Кинопроектор")</f>
        <v> Кинопроектор</v>
      </c>
      <c r="F697" s="3" t="s">
        <v>358</v>
      </c>
      <c r="G697" s="3" t="s">
        <v>77</v>
      </c>
      <c r="H697" s="3" t="s">
        <v>15</v>
      </c>
      <c r="I697" s="3" t="s">
        <v>28</v>
      </c>
      <c r="J697" s="3" t="s">
        <v>41</v>
      </c>
      <c r="K697" s="3" t="s">
        <v>2372</v>
      </c>
      <c r="L697" s="3" t="s">
        <v>2378</v>
      </c>
      <c r="M697" s="3" t="s">
        <v>3094</v>
      </c>
      <c r="N697" s="3" t="s">
        <v>2372</v>
      </c>
      <c r="O697" s="3">
        <v>2.0</v>
      </c>
    </row>
    <row r="698" ht="15.75" customHeight="1">
      <c r="A698" s="3" t="s">
        <v>96</v>
      </c>
      <c r="B698" s="3" t="s">
        <v>4395</v>
      </c>
      <c r="C698" s="3" t="s">
        <v>4396</v>
      </c>
      <c r="D698" s="3" t="s">
        <v>4397</v>
      </c>
      <c r="E698" s="3" t="str">
        <f>IFERROR(__xludf.DUMMYFUNCTION("GOOGLETRANSLATE($D698,""EN"",""RU"")")," Фунтовая банкнота")</f>
        <v> Фунтовая банкнота</v>
      </c>
      <c r="F698" s="3" t="s">
        <v>358</v>
      </c>
      <c r="G698" s="3" t="s">
        <v>77</v>
      </c>
      <c r="H698" s="3" t="s">
        <v>41</v>
      </c>
      <c r="I698" s="3" t="s">
        <v>15</v>
      </c>
      <c r="J698" s="3" t="s">
        <v>28</v>
      </c>
      <c r="K698" s="3" t="s">
        <v>3094</v>
      </c>
      <c r="L698" s="3" t="s">
        <v>2372</v>
      </c>
      <c r="M698" s="3" t="s">
        <v>2378</v>
      </c>
      <c r="N698" s="3" t="s">
        <v>3106</v>
      </c>
      <c r="O698" s="3">
        <v>0.0</v>
      </c>
    </row>
    <row r="699" ht="15.75" customHeight="1">
      <c r="A699" s="3" t="s">
        <v>4398</v>
      </c>
      <c r="B699" s="3" t="s">
        <v>4399</v>
      </c>
      <c r="C699" s="3" t="s">
        <v>4400</v>
      </c>
      <c r="D699" s="3" t="s">
        <v>4401</v>
      </c>
      <c r="E699" s="3" t="str">
        <f>IFERROR(__xludf.DUMMYFUNCTION("GOOGLETRANSLATE($D699,""EN"",""RU"")")," Микроскоп")</f>
        <v> Микроскоп</v>
      </c>
      <c r="F699" s="3" t="s">
        <v>358</v>
      </c>
      <c r="G699" s="3" t="s">
        <v>77</v>
      </c>
      <c r="H699" s="3" t="s">
        <v>28</v>
      </c>
      <c r="I699" s="3" t="s">
        <v>53</v>
      </c>
      <c r="J699" s="3" t="s">
        <v>2226</v>
      </c>
      <c r="K699" s="3" t="s">
        <v>2378</v>
      </c>
      <c r="L699" s="3" t="s">
        <v>2553</v>
      </c>
      <c r="M699" s="3" t="s">
        <v>2247</v>
      </c>
      <c r="N699" s="3" t="s">
        <v>3522</v>
      </c>
      <c r="O699" s="3">
        <v>0.0</v>
      </c>
    </row>
    <row r="700" ht="15.75" customHeight="1">
      <c r="A700" s="3" t="s">
        <v>4402</v>
      </c>
      <c r="B700" s="3" t="s">
        <v>4403</v>
      </c>
      <c r="C700" s="3" t="s">
        <v>4404</v>
      </c>
      <c r="D700" s="3" t="s">
        <v>4405</v>
      </c>
      <c r="E700" s="3" t="str">
        <f>IFERROR(__xludf.DUMMYFUNCTION("GOOGLETRANSLATE($D700,""EN"",""RU"")")," Дымящаяся чаша")</f>
        <v> Дымящаяся чаша</v>
      </c>
      <c r="F700" s="3" t="s">
        <v>1510</v>
      </c>
      <c r="G700" s="3" t="s">
        <v>77</v>
      </c>
      <c r="H700" s="3" t="s">
        <v>15</v>
      </c>
      <c r="I700" s="3" t="s">
        <v>53</v>
      </c>
      <c r="J700" s="3" t="s">
        <v>15</v>
      </c>
      <c r="K700" s="3" t="s">
        <v>2372</v>
      </c>
      <c r="L700" s="3" t="s">
        <v>2553</v>
      </c>
      <c r="M700" s="3" t="s">
        <v>2372</v>
      </c>
      <c r="N700" s="3" t="s">
        <v>1425</v>
      </c>
      <c r="O700" s="3">
        <v>1.0</v>
      </c>
    </row>
    <row r="701" ht="15.75" customHeight="1">
      <c r="A701" s="3" t="s">
        <v>4406</v>
      </c>
      <c r="B701" s="3" t="s">
        <v>4407</v>
      </c>
      <c r="C701" s="3" t="s">
        <v>4408</v>
      </c>
      <c r="D701" s="3" t="s">
        <v>4409</v>
      </c>
      <c r="E701" s="3" t="str">
        <f>IFERROR(__xludf.DUMMYFUNCTION("GOOGLETRANSLATE($D701,""EN"",""RU"")")," Двугорбый верблюд")</f>
        <v> Двугорбый верблюд</v>
      </c>
      <c r="F701" s="3" t="s">
        <v>81</v>
      </c>
      <c r="G701" s="3" t="s">
        <v>65</v>
      </c>
      <c r="H701" s="3" t="s">
        <v>28</v>
      </c>
      <c r="I701" s="3" t="s">
        <v>41</v>
      </c>
      <c r="J701" s="3" t="s">
        <v>2226</v>
      </c>
      <c r="K701" s="3" t="s">
        <v>1259</v>
      </c>
      <c r="L701" s="3" t="s">
        <v>1675</v>
      </c>
      <c r="M701" s="3" t="s">
        <v>2463</v>
      </c>
      <c r="N701" s="3" t="s">
        <v>4410</v>
      </c>
      <c r="O701" s="3">
        <v>0.0</v>
      </c>
    </row>
    <row r="702" ht="15.75" customHeight="1">
      <c r="A702" s="3" t="s">
        <v>4411</v>
      </c>
      <c r="B702" s="3" t="s">
        <v>4412</v>
      </c>
      <c r="C702" s="3" t="s">
        <v>4413</v>
      </c>
      <c r="D702" s="3" t="s">
        <v>4414</v>
      </c>
      <c r="E702" s="3" t="str">
        <f>IFERROR(__xludf.DUMMYFUNCTION("GOOGLETRANSLATE($D702,""EN"",""RU"")")," Тигр")</f>
        <v> Тигр</v>
      </c>
      <c r="F702" s="3" t="s">
        <v>81</v>
      </c>
      <c r="G702" s="3" t="s">
        <v>65</v>
      </c>
      <c r="H702" s="3" t="s">
        <v>15</v>
      </c>
      <c r="I702" s="3" t="s">
        <v>15</v>
      </c>
      <c r="J702" s="3" t="s">
        <v>41</v>
      </c>
      <c r="K702" s="3" t="s">
        <v>1798</v>
      </c>
      <c r="L702" s="3" t="s">
        <v>1798</v>
      </c>
      <c r="M702" s="3" t="s">
        <v>1675</v>
      </c>
      <c r="N702" s="3" t="s">
        <v>1798</v>
      </c>
      <c r="O702" s="3">
        <v>2.0</v>
      </c>
    </row>
    <row r="703" ht="15.75" customHeight="1">
      <c r="A703" s="3" t="s">
        <v>593</v>
      </c>
      <c r="B703" s="3" t="s">
        <v>4415</v>
      </c>
      <c r="C703" s="3" t="s">
        <v>4416</v>
      </c>
      <c r="D703" s="3" t="s">
        <v>4417</v>
      </c>
      <c r="E703" s="3" t="str">
        <f>IFERROR(__xludf.DUMMYFUNCTION("GOOGLETRANSLATE($D703,""EN"",""RU"")")," Летучая мышь")</f>
        <v> Летучая мышь</v>
      </c>
      <c r="F703" s="3" t="s">
        <v>81</v>
      </c>
      <c r="G703" s="3" t="s">
        <v>65</v>
      </c>
      <c r="H703" s="3" t="s">
        <v>2226</v>
      </c>
      <c r="I703" s="3" t="s">
        <v>28</v>
      </c>
      <c r="J703" s="3" t="s">
        <v>41</v>
      </c>
      <c r="K703" s="3" t="s">
        <v>2463</v>
      </c>
      <c r="L703" s="3" t="s">
        <v>1259</v>
      </c>
      <c r="M703" s="3" t="s">
        <v>1675</v>
      </c>
      <c r="N703" s="3" t="s">
        <v>1259</v>
      </c>
      <c r="O703" s="3">
        <v>2.0</v>
      </c>
    </row>
    <row r="704" ht="15.75" customHeight="1">
      <c r="A704" s="3" t="s">
        <v>4418</v>
      </c>
      <c r="B704" s="3" t="s">
        <v>4419</v>
      </c>
      <c r="C704" s="3" t="s">
        <v>4420</v>
      </c>
      <c r="D704" s="3" t="s">
        <v>4421</v>
      </c>
      <c r="E704" s="3" t="str">
        <f>IFERROR(__xludf.DUMMYFUNCTION("GOOGLETRANSLATE($D704,""EN"",""RU"")")," Паутина")</f>
        <v> Паутина</v>
      </c>
      <c r="F704" s="3" t="s">
        <v>81</v>
      </c>
      <c r="G704" s="3" t="s">
        <v>65</v>
      </c>
      <c r="H704" s="3" t="s">
        <v>2226</v>
      </c>
      <c r="I704" s="3" t="s">
        <v>28</v>
      </c>
      <c r="J704" s="3" t="s">
        <v>41</v>
      </c>
      <c r="K704" s="3" t="s">
        <v>2463</v>
      </c>
      <c r="L704" s="3" t="s">
        <v>1259</v>
      </c>
      <c r="M704" s="3" t="s">
        <v>1675</v>
      </c>
      <c r="N704" s="3" t="s">
        <v>1259</v>
      </c>
      <c r="O704" s="3">
        <v>2.0</v>
      </c>
    </row>
    <row r="705" ht="15.75" customHeight="1">
      <c r="A705" s="3" t="s">
        <v>4422</v>
      </c>
      <c r="B705" s="3" t="s">
        <v>4423</v>
      </c>
      <c r="C705" s="3" t="s">
        <v>4424</v>
      </c>
      <c r="D705" s="3" t="s">
        <v>4425</v>
      </c>
      <c r="E705" s="3" t="str">
        <f>IFERROR(__xludf.DUMMYFUNCTION("GOOGLETRANSLATE($D705,""EN"",""RU"")")," Мышь")</f>
        <v> Мышь</v>
      </c>
      <c r="F705" s="3" t="s">
        <v>81</v>
      </c>
      <c r="G705" s="3" t="s">
        <v>65</v>
      </c>
      <c r="H705" s="3" t="s">
        <v>15</v>
      </c>
      <c r="I705" s="3" t="s">
        <v>53</v>
      </c>
      <c r="J705" s="3" t="s">
        <v>2226</v>
      </c>
      <c r="K705" s="3" t="s">
        <v>1798</v>
      </c>
      <c r="L705" s="3" t="s">
        <v>1950</v>
      </c>
      <c r="M705" s="3" t="s">
        <v>2463</v>
      </c>
      <c r="N705" s="3" t="s">
        <v>4426</v>
      </c>
      <c r="O705" s="3">
        <v>0.0</v>
      </c>
    </row>
    <row r="706" ht="15.75" customHeight="1">
      <c r="A706" s="3" t="s">
        <v>813</v>
      </c>
      <c r="B706" s="3" t="s">
        <v>4427</v>
      </c>
      <c r="C706" s="3" t="s">
        <v>4428</v>
      </c>
      <c r="D706" s="3" t="s">
        <v>4429</v>
      </c>
      <c r="E706" s="3" t="str">
        <f>IFERROR(__xludf.DUMMYFUNCTION("GOOGLETRANSLATE($D706,""EN"",""RU"")")," каштан")</f>
        <v> каштан</v>
      </c>
      <c r="F706" s="3" t="s">
        <v>1510</v>
      </c>
      <c r="G706" s="3" t="s">
        <v>65</v>
      </c>
      <c r="H706" s="3" t="s">
        <v>2226</v>
      </c>
      <c r="I706" s="3" t="s">
        <v>2226</v>
      </c>
      <c r="J706" s="3" t="s">
        <v>65</v>
      </c>
      <c r="K706" s="3" t="s">
        <v>2463</v>
      </c>
      <c r="L706" s="3" t="s">
        <v>2463</v>
      </c>
      <c r="M706" s="3" t="s">
        <v>1855</v>
      </c>
      <c r="N706" s="3" t="s">
        <v>1950</v>
      </c>
      <c r="O706" s="3">
        <v>2.0</v>
      </c>
    </row>
    <row r="707" ht="15.75" customHeight="1">
      <c r="A707" s="3" t="s">
        <v>4430</v>
      </c>
      <c r="B707" s="3" t="s">
        <v>4431</v>
      </c>
      <c r="C707" s="3" t="s">
        <v>4432</v>
      </c>
      <c r="D707" s="3" t="s">
        <v>4433</v>
      </c>
      <c r="E707" s="3" t="str">
        <f>IFERROR(__xludf.DUMMYFUNCTION("GOOGLETRANSLATE($D707,""EN"",""RU"")")," Приготовленный рис")</f>
        <v> Приготовленный рис</v>
      </c>
      <c r="F707" s="3" t="s">
        <v>1510</v>
      </c>
      <c r="G707" s="3" t="s">
        <v>65</v>
      </c>
      <c r="H707" s="3" t="s">
        <v>15</v>
      </c>
      <c r="I707" s="3" t="s">
        <v>28</v>
      </c>
      <c r="J707" s="3" t="s">
        <v>28</v>
      </c>
      <c r="K707" s="3" t="s">
        <v>1798</v>
      </c>
      <c r="L707" s="3" t="s">
        <v>1259</v>
      </c>
      <c r="M707" s="3" t="s">
        <v>1259</v>
      </c>
      <c r="N707" s="3" t="s">
        <v>2463</v>
      </c>
      <c r="O707" s="3">
        <v>2.0</v>
      </c>
    </row>
    <row r="708" ht="15.75" customHeight="1">
      <c r="A708" s="3" t="s">
        <v>803</v>
      </c>
      <c r="B708" s="3" t="s">
        <v>4434</v>
      </c>
      <c r="C708" s="3" t="s">
        <v>4435</v>
      </c>
      <c r="D708" s="3" t="s">
        <v>4436</v>
      </c>
      <c r="E708" s="3" t="str">
        <f>IFERROR(__xludf.DUMMYFUNCTION("GOOGLETRANSLATE($D708,""EN"",""RU"")")," Авторские права")</f>
        <v> Авторские права</v>
      </c>
      <c r="F708" s="3" t="s">
        <v>637</v>
      </c>
      <c r="G708" s="3" t="s">
        <v>65</v>
      </c>
      <c r="H708" s="3" t="s">
        <v>15</v>
      </c>
      <c r="I708" s="3" t="s">
        <v>53</v>
      </c>
      <c r="J708" s="3" t="s">
        <v>2226</v>
      </c>
      <c r="K708" s="3" t="s">
        <v>1798</v>
      </c>
      <c r="L708" s="3" t="s">
        <v>1950</v>
      </c>
      <c r="M708" s="3" t="s">
        <v>2463</v>
      </c>
      <c r="N708" s="3" t="s">
        <v>4426</v>
      </c>
      <c r="O708" s="3">
        <v>0.0</v>
      </c>
    </row>
    <row r="709" ht="15.75" customHeight="1">
      <c r="A709" s="3" t="s">
        <v>4437</v>
      </c>
      <c r="B709" s="3" t="s">
        <v>4438</v>
      </c>
      <c r="C709" s="3" t="s">
        <v>4439</v>
      </c>
      <c r="D709" s="3" t="s">
        <v>4440</v>
      </c>
      <c r="E709" s="3" t="str">
        <f>IFERROR(__xludf.DUMMYFUNCTION("GOOGLETRANSLATE($D709,""EN"",""RU"")")," Кнопка «Черный квадрат»")</f>
        <v> Кнопка «Черный квадрат»</v>
      </c>
      <c r="F709" s="3" t="s">
        <v>637</v>
      </c>
      <c r="G709" s="3" t="s">
        <v>65</v>
      </c>
      <c r="H709" s="3" t="s">
        <v>15</v>
      </c>
      <c r="I709" s="3" t="s">
        <v>53</v>
      </c>
      <c r="J709" s="3" t="s">
        <v>2226</v>
      </c>
      <c r="K709" s="3" t="s">
        <v>1798</v>
      </c>
      <c r="L709" s="3" t="s">
        <v>1950</v>
      </c>
      <c r="M709" s="3" t="s">
        <v>2463</v>
      </c>
      <c r="N709" s="3" t="s">
        <v>4426</v>
      </c>
      <c r="O709" s="3">
        <v>0.0</v>
      </c>
    </row>
    <row r="710" ht="15.75" customHeight="1">
      <c r="A710" s="3" t="s">
        <v>4441</v>
      </c>
      <c r="B710" s="3" t="s">
        <v>4442</v>
      </c>
      <c r="C710" s="3" t="s">
        <v>4443</v>
      </c>
      <c r="D710" s="3" t="s">
        <v>4444</v>
      </c>
      <c r="E710" s="3" t="str">
        <f>IFERROR(__xludf.DUMMYFUNCTION("GOOGLETRANSLATE($D710,""EN"",""RU"")")," Символ регионального индикатора, буква U")</f>
        <v> Символ регионального индикатора, буква U</v>
      </c>
      <c r="F710" s="3" t="s">
        <v>637</v>
      </c>
      <c r="G710" s="3" t="s">
        <v>65</v>
      </c>
      <c r="H710" s="3" t="s">
        <v>28</v>
      </c>
      <c r="I710" s="3" t="s">
        <v>15</v>
      </c>
      <c r="J710" s="3" t="s">
        <v>28</v>
      </c>
      <c r="K710" s="3" t="s">
        <v>1259</v>
      </c>
      <c r="L710" s="3" t="s">
        <v>1798</v>
      </c>
      <c r="M710" s="3" t="s">
        <v>1259</v>
      </c>
      <c r="N710" s="3" t="s">
        <v>1425</v>
      </c>
      <c r="O710" s="3">
        <v>1.0</v>
      </c>
    </row>
    <row r="711" ht="15.75" customHeight="1">
      <c r="A711" s="3" t="s">
        <v>4445</v>
      </c>
      <c r="B711" s="3" t="s">
        <v>3013</v>
      </c>
      <c r="C711" s="3" t="s">
        <v>4446</v>
      </c>
      <c r="D711" s="3" t="s">
        <v>4447</v>
      </c>
      <c r="E711" s="3" t="str">
        <f>IFERROR(__xludf.DUMMYFUNCTION("GOOGLETRANSLATE($D711,""EN"",""RU"")")," Клавиатура, цифра два")</f>
        <v> Клавиатура, цифра два</v>
      </c>
      <c r="F711" s="3" t="s">
        <v>637</v>
      </c>
      <c r="G711" s="3" t="s">
        <v>65</v>
      </c>
      <c r="H711" s="3" t="s">
        <v>2226</v>
      </c>
      <c r="I711" s="3" t="s">
        <v>53</v>
      </c>
      <c r="J711" s="3" t="s">
        <v>15</v>
      </c>
      <c r="K711" s="3" t="s">
        <v>2463</v>
      </c>
      <c r="L711" s="3" t="s">
        <v>1950</v>
      </c>
      <c r="M711" s="3" t="s">
        <v>1798</v>
      </c>
      <c r="N711" s="3" t="s">
        <v>2463</v>
      </c>
      <c r="O711" s="3">
        <v>2.0</v>
      </c>
    </row>
    <row r="712" ht="15.75" customHeight="1">
      <c r="A712" s="3" t="s">
        <v>4448</v>
      </c>
      <c r="B712" s="3" t="s">
        <v>4449</v>
      </c>
      <c r="C712" s="3" t="s">
        <v>4450</v>
      </c>
      <c r="D712" s="3" t="s">
        <v>4451</v>
      </c>
      <c r="E712" s="3" t="str">
        <f>IFERROR(__xludf.DUMMYFUNCTION("GOOGLETRANSLATE($D712,""EN"",""RU"")")," Весы")</f>
        <v> Весы</v>
      </c>
      <c r="F712" s="3" t="s">
        <v>637</v>
      </c>
      <c r="G712" s="3" t="s">
        <v>65</v>
      </c>
      <c r="H712" s="3" t="s">
        <v>53</v>
      </c>
      <c r="I712" s="3" t="s">
        <v>2226</v>
      </c>
      <c r="J712" s="3" t="s">
        <v>15</v>
      </c>
      <c r="K712" s="3" t="s">
        <v>1950</v>
      </c>
      <c r="L712" s="3" t="s">
        <v>2463</v>
      </c>
      <c r="M712" s="3" t="s">
        <v>1798</v>
      </c>
      <c r="N712" s="3" t="s">
        <v>3699</v>
      </c>
      <c r="O712" s="3">
        <v>0.0</v>
      </c>
    </row>
    <row r="713" ht="15.75" customHeight="1">
      <c r="A713" s="3" t="s">
        <v>791</v>
      </c>
      <c r="B713" s="3" t="s">
        <v>4452</v>
      </c>
      <c r="C713" s="3" t="s">
        <v>4453</v>
      </c>
      <c r="D713" s="3" t="s">
        <v>4454</v>
      </c>
      <c r="E713" s="3" t="str">
        <f>IFERROR(__xludf.DUMMYFUNCTION("GOOGLETRANSLATE($D713,""EN"",""RU"")")," Символ регионального индикатора, буква D")</f>
        <v> Символ регионального индикатора, буква D</v>
      </c>
      <c r="F713" s="3" t="s">
        <v>637</v>
      </c>
      <c r="G713" s="3" t="s">
        <v>65</v>
      </c>
      <c r="H713" s="3" t="s">
        <v>41</v>
      </c>
      <c r="I713" s="3" t="s">
        <v>2226</v>
      </c>
      <c r="J713" s="3" t="s">
        <v>28</v>
      </c>
      <c r="K713" s="3" t="s">
        <v>1675</v>
      </c>
      <c r="L713" s="3" t="s">
        <v>2463</v>
      </c>
      <c r="M713" s="3" t="s">
        <v>1259</v>
      </c>
      <c r="N713" s="3" t="s">
        <v>4426</v>
      </c>
      <c r="O713" s="3">
        <v>0.0</v>
      </c>
    </row>
    <row r="714" ht="15.75" customHeight="1">
      <c r="A714" s="3" t="s">
        <v>4455</v>
      </c>
      <c r="B714" s="3" t="s">
        <v>4456</v>
      </c>
      <c r="C714" s="3" t="s">
        <v>4457</v>
      </c>
      <c r="D714" s="3" t="s">
        <v>4458</v>
      </c>
      <c r="E714" s="3" t="str">
        <f>IFERROR(__xludf.DUMMYFUNCTION("GOOGLETRANSLATE($D714,""EN"",""RU"")")," Тяжелый знак доллара")</f>
        <v> Тяжелый знак доллара</v>
      </c>
      <c r="F714" s="3" t="s">
        <v>637</v>
      </c>
      <c r="G714" s="3" t="s">
        <v>65</v>
      </c>
      <c r="H714" s="3" t="s">
        <v>2226</v>
      </c>
      <c r="I714" s="3" t="s">
        <v>2226</v>
      </c>
      <c r="J714" s="3" t="s">
        <v>65</v>
      </c>
      <c r="K714" s="3" t="s">
        <v>2463</v>
      </c>
      <c r="L714" s="3" t="s">
        <v>2463</v>
      </c>
      <c r="M714" s="3" t="s">
        <v>1855</v>
      </c>
      <c r="N714" s="3" t="s">
        <v>1950</v>
      </c>
      <c r="O714" s="3">
        <v>2.0</v>
      </c>
    </row>
    <row r="715" ht="15.75" customHeight="1">
      <c r="A715" s="3" t="s">
        <v>4459</v>
      </c>
      <c r="B715" s="3" t="s">
        <v>4460</v>
      </c>
      <c r="C715" s="3" t="s">
        <v>4461</v>
      </c>
      <c r="D715" s="3" t="s">
        <v>4462</v>
      </c>
      <c r="E715" s="3" t="str">
        <f>IFERROR(__xludf.DUMMYFUNCTION("GOOGLETRANSLATE($D715,""EN"",""RU"")")," Ввод чисел")</f>
        <v> Ввод чисел</v>
      </c>
      <c r="F715" s="3" t="s">
        <v>637</v>
      </c>
      <c r="G715" s="3" t="s">
        <v>65</v>
      </c>
      <c r="H715" s="3" t="s">
        <v>2226</v>
      </c>
      <c r="I715" s="3" t="s">
        <v>65</v>
      </c>
      <c r="J715" s="3" t="s">
        <v>2226</v>
      </c>
      <c r="K715" s="3" t="s">
        <v>2463</v>
      </c>
      <c r="L715" s="3" t="s">
        <v>1855</v>
      </c>
      <c r="M715" s="3" t="s">
        <v>2463</v>
      </c>
      <c r="N715" s="3" t="s">
        <v>1425</v>
      </c>
      <c r="O715" s="3">
        <v>1.0</v>
      </c>
    </row>
    <row r="716" ht="15.75" customHeight="1">
      <c r="A716" s="3" t="s">
        <v>349</v>
      </c>
      <c r="B716" s="3" t="s">
        <v>4463</v>
      </c>
      <c r="C716" s="3" t="s">
        <v>4464</v>
      </c>
      <c r="D716" s="3" t="s">
        <v>4465</v>
      </c>
      <c r="E716" s="3" t="str">
        <f>IFERROR(__xludf.DUMMYFUNCTION("GOOGLETRANSLATE($D716,""EN"",""RU"")")," Мужская комната")</f>
        <v> Мужская комната</v>
      </c>
      <c r="F716" s="3" t="s">
        <v>637</v>
      </c>
      <c r="G716" s="3" t="s">
        <v>65</v>
      </c>
      <c r="H716" s="3" t="s">
        <v>2226</v>
      </c>
      <c r="I716" s="3" t="s">
        <v>53</v>
      </c>
      <c r="J716" s="3" t="s">
        <v>15</v>
      </c>
      <c r="K716" s="3" t="s">
        <v>2463</v>
      </c>
      <c r="L716" s="3" t="s">
        <v>1950</v>
      </c>
      <c r="M716" s="3" t="s">
        <v>1798</v>
      </c>
      <c r="N716" s="3" t="s">
        <v>2463</v>
      </c>
      <c r="O716" s="3">
        <v>2.0</v>
      </c>
    </row>
    <row r="717" ht="15.75" customHeight="1">
      <c r="A717" s="3" t="s">
        <v>4466</v>
      </c>
      <c r="B717" s="3" t="s">
        <v>3013</v>
      </c>
      <c r="C717" s="3" t="s">
        <v>4467</v>
      </c>
      <c r="D717" s="3" t="s">
        <v>4468</v>
      </c>
      <c r="E717" s="3" t="str">
        <f>IFERROR(__xludf.DUMMYFUNCTION("GOOGLETRANSLATE($D717,""EN"",""RU"")")," Клавиатура, цифра один")</f>
        <v> Клавиатура, цифра один</v>
      </c>
      <c r="F717" s="3" t="s">
        <v>637</v>
      </c>
      <c r="G717" s="3" t="s">
        <v>65</v>
      </c>
      <c r="H717" s="3" t="s">
        <v>2226</v>
      </c>
      <c r="I717" s="3" t="s">
        <v>53</v>
      </c>
      <c r="J717" s="3" t="s">
        <v>15</v>
      </c>
      <c r="K717" s="3" t="s">
        <v>2463</v>
      </c>
      <c r="L717" s="3" t="s">
        <v>1950</v>
      </c>
      <c r="M717" s="3" t="s">
        <v>1798</v>
      </c>
      <c r="N717" s="3" t="s">
        <v>2463</v>
      </c>
      <c r="O717" s="3">
        <v>2.0</v>
      </c>
    </row>
    <row r="718" ht="15.75" customHeight="1">
      <c r="A718" s="3" t="s">
        <v>4469</v>
      </c>
      <c r="B718" s="3" t="s">
        <v>4470</v>
      </c>
      <c r="C718" s="3" t="s">
        <v>4471</v>
      </c>
      <c r="D718" s="3" t="s">
        <v>4472</v>
      </c>
      <c r="E718" s="3" t="str">
        <f>IFERROR(__xludf.DUMMYFUNCTION("GOOGLETRANSLATE($D718,""EN"",""RU"")")," Южная Африка")</f>
        <v> Южная Африка</v>
      </c>
      <c r="F718" s="3" t="s">
        <v>559</v>
      </c>
      <c r="G718" s="3" t="s">
        <v>65</v>
      </c>
      <c r="H718" s="3" t="s">
        <v>2226</v>
      </c>
      <c r="I718" s="3" t="s">
        <v>53</v>
      </c>
      <c r="J718" s="3" t="s">
        <v>15</v>
      </c>
      <c r="K718" s="3" t="s">
        <v>2463</v>
      </c>
      <c r="L718" s="3" t="s">
        <v>1950</v>
      </c>
      <c r="M718" s="3" t="s">
        <v>1798</v>
      </c>
      <c r="N718" s="3" t="s">
        <v>2463</v>
      </c>
      <c r="O718" s="3">
        <v>2.0</v>
      </c>
    </row>
    <row r="719" ht="15.75" customHeight="1">
      <c r="A719" s="3" t="s">
        <v>4473</v>
      </c>
      <c r="B719" s="3" t="s">
        <v>4474</v>
      </c>
      <c r="C719" s="3" t="s">
        <v>4475</v>
      </c>
      <c r="D719" s="3" t="s">
        <v>4476</v>
      </c>
      <c r="E719" s="3" t="str">
        <f>IFERROR(__xludf.DUMMYFUNCTION("GOOGLETRANSLATE($D719,""EN"",""RU"")")," Клубный костюм")</f>
        <v> Клубный костюм</v>
      </c>
      <c r="F719" s="3" t="s">
        <v>637</v>
      </c>
      <c r="G719" s="3" t="s">
        <v>65</v>
      </c>
      <c r="H719" s="3" t="s">
        <v>28</v>
      </c>
      <c r="I719" s="3" t="s">
        <v>15</v>
      </c>
      <c r="J719" s="3" t="s">
        <v>28</v>
      </c>
      <c r="K719" s="3" t="s">
        <v>1259</v>
      </c>
      <c r="L719" s="3" t="s">
        <v>1798</v>
      </c>
      <c r="M719" s="3" t="s">
        <v>1259</v>
      </c>
      <c r="N719" s="3" t="s">
        <v>1425</v>
      </c>
      <c r="O719" s="3">
        <v>1.0</v>
      </c>
    </row>
    <row r="720" ht="15.75" customHeight="1">
      <c r="A720" s="3" t="s">
        <v>761</v>
      </c>
      <c r="B720" s="3" t="s">
        <v>4477</v>
      </c>
      <c r="C720" s="3" t="s">
        <v>4478</v>
      </c>
      <c r="D720" s="3" t="s">
        <v>4479</v>
      </c>
      <c r="E720" s="3" t="str">
        <f>IFERROR(__xludf.DUMMYFUNCTION("GOOGLETRANSLATE($D720,""EN"",""RU"")")," Человек, играющий в гольф")</f>
        <v> Человек, играющий в гольф</v>
      </c>
      <c r="F720" s="3" t="s">
        <v>2649</v>
      </c>
      <c r="G720" s="3" t="s">
        <v>65</v>
      </c>
      <c r="H720" s="3" t="s">
        <v>2226</v>
      </c>
      <c r="I720" s="3" t="s">
        <v>2226</v>
      </c>
      <c r="J720" s="3" t="s">
        <v>65</v>
      </c>
      <c r="K720" s="3" t="s">
        <v>2463</v>
      </c>
      <c r="L720" s="3" t="s">
        <v>2463</v>
      </c>
      <c r="M720" s="3" t="s">
        <v>1855</v>
      </c>
      <c r="N720" s="3" t="s">
        <v>1950</v>
      </c>
      <c r="O720" s="3">
        <v>2.0</v>
      </c>
    </row>
    <row r="721" ht="15.75" customHeight="1">
      <c r="A721" s="3" t="s">
        <v>4480</v>
      </c>
      <c r="B721" s="3" t="s">
        <v>4481</v>
      </c>
      <c r="C721" s="3" t="s">
        <v>4482</v>
      </c>
      <c r="D721" s="3" t="s">
        <v>4483</v>
      </c>
      <c r="E721" s="3" t="str">
        <f>IFERROR(__xludf.DUMMYFUNCTION("GOOGLETRANSLATE($D721,""EN"",""RU"")")," Песочные часы Готово")</f>
        <v> Песочные часы Готово</v>
      </c>
      <c r="F721" s="3" t="s">
        <v>358</v>
      </c>
      <c r="G721" s="3" t="s">
        <v>65</v>
      </c>
      <c r="H721" s="3" t="s">
        <v>41</v>
      </c>
      <c r="I721" s="3" t="s">
        <v>15</v>
      </c>
      <c r="J721" s="3" t="s">
        <v>15</v>
      </c>
      <c r="K721" s="3" t="s">
        <v>1675</v>
      </c>
      <c r="L721" s="3" t="s">
        <v>1798</v>
      </c>
      <c r="M721" s="3" t="s">
        <v>1798</v>
      </c>
      <c r="N721" s="3" t="s">
        <v>4410</v>
      </c>
      <c r="O721" s="3">
        <v>0.0</v>
      </c>
    </row>
    <row r="722" ht="15.75" customHeight="1">
      <c r="A722" s="3" t="s">
        <v>4484</v>
      </c>
      <c r="B722" s="3" t="s">
        <v>4485</v>
      </c>
      <c r="C722" s="3" t="s">
        <v>4486</v>
      </c>
      <c r="D722" s="3" t="s">
        <v>4487</v>
      </c>
      <c r="E722" s="3" t="str">
        <f>IFERROR(__xludf.DUMMYFUNCTION("GOOGLETRANSLATE($D722,""EN"",""RU"")")," Картинка в рамке")</f>
        <v> Картинка в рамке</v>
      </c>
      <c r="F722" s="3" t="s">
        <v>358</v>
      </c>
      <c r="G722" s="3" t="s">
        <v>65</v>
      </c>
      <c r="H722" s="3" t="s">
        <v>2226</v>
      </c>
      <c r="I722" s="3" t="s">
        <v>53</v>
      </c>
      <c r="J722" s="3" t="s">
        <v>15</v>
      </c>
      <c r="K722" s="3" t="s">
        <v>2463</v>
      </c>
      <c r="L722" s="3" t="s">
        <v>1950</v>
      </c>
      <c r="M722" s="3" t="s">
        <v>1798</v>
      </c>
      <c r="N722" s="3" t="s">
        <v>2463</v>
      </c>
      <c r="O722" s="3">
        <v>2.0</v>
      </c>
    </row>
    <row r="723" ht="15.75" customHeight="1">
      <c r="A723" s="3" t="s">
        <v>108</v>
      </c>
      <c r="B723" s="3" t="s">
        <v>4488</v>
      </c>
      <c r="C723" s="3" t="s">
        <v>4489</v>
      </c>
      <c r="D723" s="3" t="s">
        <v>4490</v>
      </c>
      <c r="E723" s="3" t="str">
        <f>IFERROR(__xludf.DUMMYFUNCTION("GOOGLETRANSLATE($D723,""EN"",""RU"")")," Десять часов")</f>
        <v> Десять часов</v>
      </c>
      <c r="F723" s="3" t="s">
        <v>358</v>
      </c>
      <c r="G723" s="3" t="s">
        <v>65</v>
      </c>
      <c r="H723" s="3" t="s">
        <v>2226</v>
      </c>
      <c r="I723" s="3" t="s">
        <v>53</v>
      </c>
      <c r="J723" s="3" t="s">
        <v>15</v>
      </c>
      <c r="K723" s="3" t="s">
        <v>2463</v>
      </c>
      <c r="L723" s="3" t="s">
        <v>1950</v>
      </c>
      <c r="M723" s="3" t="s">
        <v>1798</v>
      </c>
      <c r="N723" s="3" t="s">
        <v>2463</v>
      </c>
      <c r="O723" s="3">
        <v>2.0</v>
      </c>
    </row>
    <row r="724" ht="15.75" customHeight="1">
      <c r="A724" s="3" t="s">
        <v>4491</v>
      </c>
      <c r="B724" s="3" t="s">
        <v>4492</v>
      </c>
      <c r="C724" s="3" t="s">
        <v>4493</v>
      </c>
      <c r="D724" s="3" t="s">
        <v>4494</v>
      </c>
      <c r="E724" s="3" t="str">
        <f>IFERROR(__xludf.DUMMYFUNCTION("GOOGLETRANSLATE($D724,""EN"",""RU"")")," Вылет самолета")</f>
        <v> Вылет самолета</v>
      </c>
      <c r="F724" s="3" t="s">
        <v>358</v>
      </c>
      <c r="G724" s="3" t="s">
        <v>65</v>
      </c>
      <c r="H724" s="3" t="s">
        <v>2226</v>
      </c>
      <c r="I724" s="3" t="s">
        <v>28</v>
      </c>
      <c r="J724" s="3" t="s">
        <v>41</v>
      </c>
      <c r="K724" s="3" t="s">
        <v>2463</v>
      </c>
      <c r="L724" s="3" t="s">
        <v>1259</v>
      </c>
      <c r="M724" s="3" t="s">
        <v>1675</v>
      </c>
      <c r="N724" s="3" t="s">
        <v>1259</v>
      </c>
      <c r="O724" s="3">
        <v>2.0</v>
      </c>
    </row>
    <row r="725" ht="15.75" customHeight="1">
      <c r="A725" s="3" t="s">
        <v>4495</v>
      </c>
      <c r="B725" s="3" t="s">
        <v>4496</v>
      </c>
      <c r="C725" s="3" t="s">
        <v>4497</v>
      </c>
      <c r="D725" s="3" t="s">
        <v>4498</v>
      </c>
      <c r="E725" s="3" t="str">
        <f>IFERROR(__xludf.DUMMYFUNCTION("GOOGLETRANSLATE($D725,""EN"",""RU"")")," Восемь часов")</f>
        <v> Восемь часов</v>
      </c>
      <c r="F725" s="3" t="s">
        <v>358</v>
      </c>
      <c r="G725" s="3" t="s">
        <v>65</v>
      </c>
      <c r="H725" s="3" t="s">
        <v>2226</v>
      </c>
      <c r="I725" s="3" t="s">
        <v>53</v>
      </c>
      <c r="J725" s="3" t="s">
        <v>15</v>
      </c>
      <c r="K725" s="3" t="s">
        <v>2463</v>
      </c>
      <c r="L725" s="3" t="s">
        <v>1950</v>
      </c>
      <c r="M725" s="3" t="s">
        <v>1798</v>
      </c>
      <c r="N725" s="3" t="s">
        <v>2463</v>
      </c>
      <c r="O725" s="3">
        <v>2.0</v>
      </c>
    </row>
    <row r="726" ht="15.75" customHeight="1">
      <c r="A726" s="3" t="s">
        <v>4499</v>
      </c>
      <c r="B726" s="3" t="s">
        <v>4500</v>
      </c>
      <c r="C726" s="3" t="s">
        <v>4501</v>
      </c>
      <c r="D726" s="3" t="s">
        <v>4502</v>
      </c>
      <c r="E726" s="3" t="str">
        <f>IFERROR(__xludf.DUMMYFUNCTION("GOOGLETRANSLATE($D726,""EN"",""RU"")")," Мужчина в смокинге")</f>
        <v> Мужчина в смокинге</v>
      </c>
      <c r="F726" s="3" t="s">
        <v>2649</v>
      </c>
      <c r="G726" s="3" t="s">
        <v>65</v>
      </c>
      <c r="H726" s="3" t="s">
        <v>41</v>
      </c>
      <c r="I726" s="3" t="s">
        <v>15</v>
      </c>
      <c r="J726" s="3" t="s">
        <v>15</v>
      </c>
      <c r="K726" s="3" t="s">
        <v>1675</v>
      </c>
      <c r="L726" s="3" t="s">
        <v>1798</v>
      </c>
      <c r="M726" s="3" t="s">
        <v>1798</v>
      </c>
      <c r="N726" s="3" t="s">
        <v>4410</v>
      </c>
      <c r="O726" s="3">
        <v>0.0</v>
      </c>
    </row>
    <row r="727" ht="15.75" customHeight="1">
      <c r="A727" s="3" t="s">
        <v>4503</v>
      </c>
      <c r="B727" s="3" t="s">
        <v>4504</v>
      </c>
      <c r="C727" s="3" t="s">
        <v>4505</v>
      </c>
      <c r="D727" s="3" t="s">
        <v>4506</v>
      </c>
      <c r="E727" s="3" t="str">
        <f>IFERROR(__xludf.DUMMYFUNCTION("GOOGLETRANSLATE($D727,""EN"",""RU"")")," Человек, играющий в гандбол")</f>
        <v> Человек, играющий в гандбол</v>
      </c>
      <c r="F727" s="3" t="s">
        <v>2649</v>
      </c>
      <c r="G727" s="3" t="s">
        <v>65</v>
      </c>
      <c r="H727" s="3" t="s">
        <v>28</v>
      </c>
      <c r="I727" s="3" t="s">
        <v>41</v>
      </c>
      <c r="J727" s="3" t="s">
        <v>2226</v>
      </c>
      <c r="K727" s="3" t="s">
        <v>1259</v>
      </c>
      <c r="L727" s="3" t="s">
        <v>1675</v>
      </c>
      <c r="M727" s="3" t="s">
        <v>2463</v>
      </c>
      <c r="N727" s="3" t="s">
        <v>4410</v>
      </c>
      <c r="O727" s="3">
        <v>0.0</v>
      </c>
    </row>
    <row r="728" ht="15.75" customHeight="1">
      <c r="A728" s="3" t="s">
        <v>583</v>
      </c>
      <c r="B728" s="3" t="s">
        <v>4507</v>
      </c>
      <c r="C728" s="3" t="s">
        <v>4508</v>
      </c>
      <c r="D728" s="3" t="s">
        <v>4509</v>
      </c>
      <c r="E728" s="3" t="str">
        <f>IFERROR(__xludf.DUMMYFUNCTION("GOOGLETRANSLATE($D728,""EN"",""RU"")")," Моаи")</f>
        <v> Моаи</v>
      </c>
      <c r="F728" s="3" t="s">
        <v>2127</v>
      </c>
      <c r="G728" s="3" t="s">
        <v>65</v>
      </c>
      <c r="H728" s="3" t="s">
        <v>65</v>
      </c>
      <c r="I728" s="3" t="s">
        <v>2226</v>
      </c>
      <c r="J728" s="3" t="s">
        <v>2226</v>
      </c>
      <c r="K728" s="3" t="s">
        <v>1855</v>
      </c>
      <c r="L728" s="3" t="s">
        <v>2463</v>
      </c>
      <c r="M728" s="3" t="s">
        <v>2463</v>
      </c>
      <c r="N728" s="3" t="s">
        <v>4510</v>
      </c>
      <c r="O728" s="3">
        <v>0.0</v>
      </c>
    </row>
    <row r="729" ht="15.75" customHeight="1">
      <c r="A729" s="3" t="s">
        <v>4511</v>
      </c>
      <c r="B729" s="3" t="s">
        <v>4512</v>
      </c>
      <c r="C729" s="3" t="s">
        <v>4513</v>
      </c>
      <c r="D729" s="3" t="s">
        <v>4514</v>
      </c>
      <c r="E729" s="3" t="str">
        <f>IFERROR(__xludf.DUMMYFUNCTION("GOOGLETRANSLATE($D729,""EN"",""RU"")")," Палатка")</f>
        <v> Палатка</v>
      </c>
      <c r="F729" s="3" t="s">
        <v>2127</v>
      </c>
      <c r="G729" s="3" t="s">
        <v>65</v>
      </c>
      <c r="H729" s="3" t="s">
        <v>28</v>
      </c>
      <c r="I729" s="3" t="s">
        <v>2226</v>
      </c>
      <c r="J729" s="3" t="s">
        <v>41</v>
      </c>
      <c r="K729" s="3" t="s">
        <v>1259</v>
      </c>
      <c r="L729" s="3" t="s">
        <v>2463</v>
      </c>
      <c r="M729" s="3" t="s">
        <v>1675</v>
      </c>
      <c r="N729" s="3" t="s">
        <v>2463</v>
      </c>
      <c r="O729" s="3">
        <v>2.0</v>
      </c>
    </row>
    <row r="730" ht="15.75" customHeight="1">
      <c r="A730" s="3" t="s">
        <v>4515</v>
      </c>
      <c r="B730" s="3" t="s">
        <v>4516</v>
      </c>
      <c r="C730" s="3" t="s">
        <v>4517</v>
      </c>
      <c r="D730" s="3" t="s">
        <v>4518</v>
      </c>
      <c r="E730" s="3" t="str">
        <f>IFERROR(__xludf.DUMMYFUNCTION("GOOGLETRANSLATE($D730,""EN"",""RU"")")," Целующаяся кошачья мордашка")</f>
        <v> Целующаяся кошачья мордашка</v>
      </c>
      <c r="F730" s="3" t="s">
        <v>19</v>
      </c>
      <c r="G730" s="3" t="s">
        <v>65</v>
      </c>
      <c r="H730" s="3" t="s">
        <v>2226</v>
      </c>
      <c r="I730" s="3" t="s">
        <v>53</v>
      </c>
      <c r="J730" s="3" t="s">
        <v>15</v>
      </c>
      <c r="K730" s="3" t="s">
        <v>2463</v>
      </c>
      <c r="L730" s="3" t="s">
        <v>1950</v>
      </c>
      <c r="M730" s="3" t="s">
        <v>1798</v>
      </c>
      <c r="N730" s="3" t="s">
        <v>2463</v>
      </c>
      <c r="O730" s="3">
        <v>2.0</v>
      </c>
    </row>
    <row r="731" ht="15.75" customHeight="1">
      <c r="A731" s="3" t="s">
        <v>4519</v>
      </c>
      <c r="B731" s="3" t="s">
        <v>4520</v>
      </c>
      <c r="C731" s="3" t="s">
        <v>4521</v>
      </c>
      <c r="D731" s="3" t="s">
        <v>4522</v>
      </c>
      <c r="E731" s="3" t="str">
        <f>IFERROR(__xludf.DUMMYFUNCTION("GOOGLETRANSLATE($D731,""EN"",""RU"")")," Вкладки закладок")</f>
        <v> Вкладки закладок</v>
      </c>
      <c r="F731" s="3" t="s">
        <v>358</v>
      </c>
      <c r="G731" s="3" t="s">
        <v>65</v>
      </c>
      <c r="H731" s="3" t="s">
        <v>28</v>
      </c>
      <c r="I731" s="3" t="s">
        <v>41</v>
      </c>
      <c r="J731" s="3" t="s">
        <v>2226</v>
      </c>
      <c r="K731" s="3" t="s">
        <v>1259</v>
      </c>
      <c r="L731" s="3" t="s">
        <v>1675</v>
      </c>
      <c r="M731" s="3" t="s">
        <v>2463</v>
      </c>
      <c r="N731" s="3" t="s">
        <v>4410</v>
      </c>
      <c r="O731" s="3">
        <v>0.0</v>
      </c>
    </row>
    <row r="732" ht="15.75" customHeight="1">
      <c r="A732" s="3" t="s">
        <v>4523</v>
      </c>
      <c r="B732" s="3" t="s">
        <v>4524</v>
      </c>
      <c r="C732" s="3" t="s">
        <v>4525</v>
      </c>
      <c r="D732" s="3" t="s">
        <v>4526</v>
      </c>
      <c r="E732" s="3" t="str">
        <f>IFERROR(__xludf.DUMMYFUNCTION("GOOGLETRANSLATE($D732,""EN"",""RU"")")," Школьный рюкзак")</f>
        <v> Школьный рюкзак</v>
      </c>
      <c r="F732" s="3" t="s">
        <v>358</v>
      </c>
      <c r="G732" s="3" t="s">
        <v>65</v>
      </c>
      <c r="H732" s="3" t="s">
        <v>28</v>
      </c>
      <c r="I732" s="3" t="s">
        <v>41</v>
      </c>
      <c r="J732" s="3" t="s">
        <v>2226</v>
      </c>
      <c r="K732" s="3" t="s">
        <v>1259</v>
      </c>
      <c r="L732" s="3" t="s">
        <v>1675</v>
      </c>
      <c r="M732" s="3" t="s">
        <v>2463</v>
      </c>
      <c r="N732" s="3" t="s">
        <v>4410</v>
      </c>
      <c r="O732" s="3">
        <v>0.0</v>
      </c>
    </row>
    <row r="733" ht="15.75" customHeight="1">
      <c r="A733" s="3" t="s">
        <v>4527</v>
      </c>
      <c r="B733" s="3" t="s">
        <v>4528</v>
      </c>
      <c r="C733" s="3" t="s">
        <v>4529</v>
      </c>
      <c r="D733" s="3" t="s">
        <v>4530</v>
      </c>
      <c r="E733" s="3" t="str">
        <f>IFERROR(__xludf.DUMMYFUNCTION("GOOGLETRANSLATE($D733,""EN"",""RU"")")," Лоток для входящих сообщений")</f>
        <v> Лоток для входящих сообщений</v>
      </c>
      <c r="F733" s="3" t="s">
        <v>358</v>
      </c>
      <c r="G733" s="3" t="s">
        <v>65</v>
      </c>
      <c r="H733" s="3" t="s">
        <v>2226</v>
      </c>
      <c r="I733" s="3" t="s">
        <v>41</v>
      </c>
      <c r="J733" s="3" t="s">
        <v>28</v>
      </c>
      <c r="K733" s="3" t="s">
        <v>2463</v>
      </c>
      <c r="L733" s="3" t="s">
        <v>1675</v>
      </c>
      <c r="M733" s="3" t="s">
        <v>1259</v>
      </c>
      <c r="N733" s="3" t="s">
        <v>1798</v>
      </c>
      <c r="O733" s="3">
        <v>2.0</v>
      </c>
    </row>
    <row r="734" ht="15.75" customHeight="1">
      <c r="A734" s="3" t="s">
        <v>4531</v>
      </c>
      <c r="B734" s="3" t="s">
        <v>4532</v>
      </c>
      <c r="C734" s="3" t="s">
        <v>4533</v>
      </c>
      <c r="D734" s="3" t="s">
        <v>4534</v>
      </c>
      <c r="E734" s="3" t="str">
        <f>IFERROR(__xludf.DUMMYFUNCTION("GOOGLETRANSLATE($D734,""EN"",""RU"")")," Исполнительское искусство")</f>
        <v> Исполнительское искусство</v>
      </c>
      <c r="F734" s="3" t="s">
        <v>358</v>
      </c>
      <c r="G734" s="3" t="s">
        <v>65</v>
      </c>
      <c r="H734" s="3" t="s">
        <v>41</v>
      </c>
      <c r="I734" s="3" t="s">
        <v>15</v>
      </c>
      <c r="J734" s="3" t="s">
        <v>15</v>
      </c>
      <c r="K734" s="3" t="s">
        <v>1675</v>
      </c>
      <c r="L734" s="3" t="s">
        <v>1798</v>
      </c>
      <c r="M734" s="3" t="s">
        <v>1798</v>
      </c>
      <c r="N734" s="3" t="s">
        <v>4410</v>
      </c>
      <c r="O734" s="3">
        <v>0.0</v>
      </c>
    </row>
    <row r="735" ht="15.75" customHeight="1">
      <c r="A735" s="3" t="s">
        <v>4535</v>
      </c>
      <c r="B735" s="3" t="s">
        <v>4536</v>
      </c>
      <c r="C735" s="3" t="s">
        <v>4537</v>
      </c>
      <c r="D735" s="3" t="s">
        <v>4538</v>
      </c>
      <c r="E735" s="3" t="str">
        <f>IFERROR(__xludf.DUMMYFUNCTION("GOOGLETRANSLATE($D735,""EN"",""RU"")")," Строительство")</f>
        <v> Строительство</v>
      </c>
      <c r="F735" s="3" t="s">
        <v>358</v>
      </c>
      <c r="G735" s="3" t="s">
        <v>65</v>
      </c>
      <c r="H735" s="3" t="s">
        <v>41</v>
      </c>
      <c r="I735" s="3" t="s">
        <v>2226</v>
      </c>
      <c r="J735" s="3" t="s">
        <v>28</v>
      </c>
      <c r="K735" s="3" t="s">
        <v>1675</v>
      </c>
      <c r="L735" s="3" t="s">
        <v>2463</v>
      </c>
      <c r="M735" s="3" t="s">
        <v>1259</v>
      </c>
      <c r="N735" s="3" t="s">
        <v>4426</v>
      </c>
      <c r="O735" s="3">
        <v>0.0</v>
      </c>
    </row>
    <row r="736" ht="15.75" customHeight="1">
      <c r="A736" s="3" t="s">
        <v>4539</v>
      </c>
      <c r="B736" s="3" t="s">
        <v>4540</v>
      </c>
      <c r="C736" s="3" t="s">
        <v>4541</v>
      </c>
      <c r="D736" s="3" t="s">
        <v>4542</v>
      </c>
      <c r="E736" s="3" t="str">
        <f>IFERROR(__xludf.DUMMYFUNCTION("GOOGLETRANSLATE($D736,""EN"",""RU"")")," Оранжевая книга")</f>
        <v> Оранжевая книга</v>
      </c>
      <c r="F736" s="3" t="s">
        <v>358</v>
      </c>
      <c r="G736" s="3" t="s">
        <v>65</v>
      </c>
      <c r="H736" s="3" t="s">
        <v>2226</v>
      </c>
      <c r="I736" s="3" t="s">
        <v>65</v>
      </c>
      <c r="J736" s="3" t="s">
        <v>2226</v>
      </c>
      <c r="K736" s="3" t="s">
        <v>2463</v>
      </c>
      <c r="L736" s="3" t="s">
        <v>1855</v>
      </c>
      <c r="M736" s="3" t="s">
        <v>2463</v>
      </c>
      <c r="N736" s="3" t="s">
        <v>1425</v>
      </c>
      <c r="O736" s="3">
        <v>1.0</v>
      </c>
    </row>
    <row r="737" ht="15.75" customHeight="1">
      <c r="A737" s="3" t="s">
        <v>4543</v>
      </c>
      <c r="B737" s="3" t="s">
        <v>4544</v>
      </c>
      <c r="C737" s="3" t="s">
        <v>4545</v>
      </c>
      <c r="D737" s="3" t="s">
        <v>4546</v>
      </c>
      <c r="E737" s="3" t="str">
        <f>IFERROR(__xludf.DUMMYFUNCTION("GOOGLETRANSLATE($D737,""EN"",""RU"")")," Символ регионального индикатора, буква J")</f>
        <v> Символ регионального индикатора, буква J</v>
      </c>
      <c r="F737" s="3" t="s">
        <v>637</v>
      </c>
      <c r="G737" s="3" t="s">
        <v>53</v>
      </c>
      <c r="H737" s="3" t="s">
        <v>15</v>
      </c>
      <c r="I737" s="3" t="s">
        <v>15</v>
      </c>
      <c r="J737" s="3" t="s">
        <v>28</v>
      </c>
      <c r="K737" s="3" t="s">
        <v>2333</v>
      </c>
      <c r="L737" s="3" t="s">
        <v>2333</v>
      </c>
      <c r="M737" s="3" t="s">
        <v>3044</v>
      </c>
      <c r="N737" s="3" t="s">
        <v>1601</v>
      </c>
      <c r="O737" s="3">
        <v>2.0</v>
      </c>
    </row>
    <row r="738" ht="15.75" customHeight="1">
      <c r="A738" s="3" t="s">
        <v>4547</v>
      </c>
      <c r="B738" s="3" t="s">
        <v>4548</v>
      </c>
      <c r="C738" s="3" t="s">
        <v>4549</v>
      </c>
      <c r="D738" s="3" t="s">
        <v>4550</v>
      </c>
      <c r="E738" s="3" t="str">
        <f>IFERROR(__xludf.DUMMYFUNCTION("GOOGLETRANSLATE($D738,""EN"",""RU"")")," Заблокировано")</f>
        <v> Заблокировано</v>
      </c>
      <c r="F738" s="3" t="s">
        <v>637</v>
      </c>
      <c r="G738" s="3" t="s">
        <v>53</v>
      </c>
      <c r="H738" s="3" t="s">
        <v>41</v>
      </c>
      <c r="I738" s="3" t="s">
        <v>2226</v>
      </c>
      <c r="J738" s="3" t="s">
        <v>15</v>
      </c>
      <c r="K738" s="3" t="s">
        <v>2812</v>
      </c>
      <c r="L738" s="3" t="s">
        <v>1601</v>
      </c>
      <c r="M738" s="3" t="s">
        <v>2333</v>
      </c>
      <c r="N738" s="3" t="s">
        <v>3343</v>
      </c>
      <c r="O738" s="3">
        <v>0.0</v>
      </c>
    </row>
    <row r="739" ht="15.75" customHeight="1">
      <c r="A739" s="3" t="s">
        <v>4551</v>
      </c>
      <c r="B739" s="3" t="s">
        <v>4552</v>
      </c>
      <c r="C739" s="3" t="s">
        <v>4553</v>
      </c>
      <c r="D739" s="3" t="s">
        <v>4554</v>
      </c>
      <c r="E739" s="3" t="str">
        <f>IFERROR(__xludf.DUMMYFUNCTION("GOOGLETRANSLATE($D739,""EN"",""RU"")")," Знак чередования деталей")</f>
        <v> Знак чередования деталей</v>
      </c>
      <c r="F739" s="3" t="s">
        <v>637</v>
      </c>
      <c r="G739" s="3" t="s">
        <v>53</v>
      </c>
      <c r="H739" s="3" t="s">
        <v>2226</v>
      </c>
      <c r="I739" s="3" t="s">
        <v>28</v>
      </c>
      <c r="J739" s="3" t="s">
        <v>28</v>
      </c>
      <c r="K739" s="3" t="s">
        <v>1601</v>
      </c>
      <c r="L739" s="3" t="s">
        <v>3044</v>
      </c>
      <c r="M739" s="3" t="s">
        <v>3044</v>
      </c>
      <c r="N739" s="3" t="s">
        <v>2333</v>
      </c>
      <c r="O739" s="3">
        <v>2.0</v>
      </c>
    </row>
    <row r="740" ht="15.75" customHeight="1">
      <c r="A740" s="3" t="s">
        <v>4555</v>
      </c>
      <c r="B740" s="3" t="s">
        <v>4556</v>
      </c>
      <c r="C740" s="3" t="s">
        <v>4557</v>
      </c>
      <c r="D740" s="3" t="s">
        <v>4558</v>
      </c>
      <c r="E740" s="3" t="str">
        <f>IFERROR(__xludf.DUMMYFUNCTION("GOOGLETRANSLATE($D740,""EN"",""RU"")")," Дева")</f>
        <v> Дева</v>
      </c>
      <c r="F740" s="3" t="s">
        <v>637</v>
      </c>
      <c r="G740" s="3" t="s">
        <v>53</v>
      </c>
      <c r="H740" s="3" t="s">
        <v>2226</v>
      </c>
      <c r="I740" s="3" t="s">
        <v>2226</v>
      </c>
      <c r="J740" s="3" t="s">
        <v>53</v>
      </c>
      <c r="K740" s="3" t="s">
        <v>1601</v>
      </c>
      <c r="L740" s="3" t="s">
        <v>1601</v>
      </c>
      <c r="M740" s="3" t="s">
        <v>3376</v>
      </c>
      <c r="N740" s="3" t="s">
        <v>2812</v>
      </c>
      <c r="O740" s="3">
        <v>2.0</v>
      </c>
    </row>
    <row r="741" ht="15.75" customHeight="1">
      <c r="A741" s="3" t="s">
        <v>4559</v>
      </c>
      <c r="B741" s="3" t="s">
        <v>4560</v>
      </c>
      <c r="C741" s="3" t="s">
        <v>4561</v>
      </c>
      <c r="D741" s="3" t="s">
        <v>4562</v>
      </c>
      <c r="E741" s="3" t="str">
        <f>IFERROR(__xludf.DUMMYFUNCTION("GOOGLETRANSLATE($D741,""EN"",""RU"")")," Символ регионального индикатора, буква C")</f>
        <v> Символ регионального индикатора, буква C</v>
      </c>
      <c r="F741" s="3" t="s">
        <v>637</v>
      </c>
      <c r="G741" s="3" t="s">
        <v>53</v>
      </c>
      <c r="H741" s="3" t="s">
        <v>2226</v>
      </c>
      <c r="I741" s="3" t="s">
        <v>15</v>
      </c>
      <c r="J741" s="3" t="s">
        <v>41</v>
      </c>
      <c r="K741" s="3" t="s">
        <v>1601</v>
      </c>
      <c r="L741" s="3" t="s">
        <v>2333</v>
      </c>
      <c r="M741" s="3" t="s">
        <v>2812</v>
      </c>
      <c r="N741" s="3" t="s">
        <v>3044</v>
      </c>
      <c r="O741" s="3">
        <v>2.0</v>
      </c>
    </row>
    <row r="742" ht="15.75" customHeight="1">
      <c r="A742" s="3" t="s">
        <v>4563</v>
      </c>
      <c r="B742" s="3" t="s">
        <v>4564</v>
      </c>
      <c r="C742" s="3" t="s">
        <v>4565</v>
      </c>
      <c r="D742" s="3" t="s">
        <v>4566</v>
      </c>
      <c r="E742" s="3" t="str">
        <f>IFERROR(__xludf.DUMMYFUNCTION("GOOGLETRANSLATE($D742,""EN"",""RU"")")," Стрелка вверх")</f>
        <v> Стрелка вверх</v>
      </c>
      <c r="F742" s="3" t="s">
        <v>637</v>
      </c>
      <c r="G742" s="3" t="s">
        <v>53</v>
      </c>
      <c r="H742" s="3" t="s">
        <v>2226</v>
      </c>
      <c r="I742" s="3" t="s">
        <v>41</v>
      </c>
      <c r="J742" s="3" t="s">
        <v>15</v>
      </c>
      <c r="K742" s="3" t="s">
        <v>1601</v>
      </c>
      <c r="L742" s="3" t="s">
        <v>2812</v>
      </c>
      <c r="M742" s="3" t="s">
        <v>2333</v>
      </c>
      <c r="N742" s="3" t="s">
        <v>1601</v>
      </c>
      <c r="O742" s="3">
        <v>2.0</v>
      </c>
    </row>
    <row r="743" ht="15.75" customHeight="1">
      <c r="A743" s="3" t="s">
        <v>4567</v>
      </c>
      <c r="B743" s="3" t="s">
        <v>4568</v>
      </c>
      <c r="C743" s="3" t="s">
        <v>4569</v>
      </c>
      <c r="D743" s="3" t="s">
        <v>4570</v>
      </c>
      <c r="E743" s="3" t="str">
        <f>IFERROR(__xludf.DUMMYFUNCTION("GOOGLETRANSLATE($D743,""EN"",""RU"")")," Франция")</f>
        <v> Франция</v>
      </c>
      <c r="F743" s="3" t="s">
        <v>559</v>
      </c>
      <c r="G743" s="3" t="s">
        <v>53</v>
      </c>
      <c r="H743" s="3" t="s">
        <v>2226</v>
      </c>
      <c r="I743" s="3" t="s">
        <v>2226</v>
      </c>
      <c r="J743" s="3" t="s">
        <v>53</v>
      </c>
      <c r="K743" s="3" t="s">
        <v>1601</v>
      </c>
      <c r="L743" s="3" t="s">
        <v>1601</v>
      </c>
      <c r="M743" s="3" t="s">
        <v>3376</v>
      </c>
      <c r="N743" s="3" t="s">
        <v>2812</v>
      </c>
      <c r="O743" s="3">
        <v>2.0</v>
      </c>
    </row>
    <row r="744" ht="15.75" customHeight="1">
      <c r="A744" s="3" t="s">
        <v>240</v>
      </c>
      <c r="B744" s="3" t="s">
        <v>4571</v>
      </c>
      <c r="C744" s="3" t="s">
        <v>4572</v>
      </c>
      <c r="D744" s="3" t="s">
        <v>4573</v>
      </c>
      <c r="E744" s="3" t="str">
        <f>IFERROR(__xludf.DUMMYFUNCTION("GOOGLETRANSLATE($D744,""EN"",""RU"")")," Стрелка вверх-вниз")</f>
        <v> Стрелка вверх-вниз</v>
      </c>
      <c r="F744" s="3" t="s">
        <v>637</v>
      </c>
      <c r="G744" s="3" t="s">
        <v>53</v>
      </c>
      <c r="H744" s="3" t="s">
        <v>15</v>
      </c>
      <c r="I744" s="3" t="s">
        <v>2226</v>
      </c>
      <c r="J744" s="3" t="s">
        <v>41</v>
      </c>
      <c r="K744" s="3" t="s">
        <v>2333</v>
      </c>
      <c r="L744" s="3" t="s">
        <v>1601</v>
      </c>
      <c r="M744" s="3" t="s">
        <v>2812</v>
      </c>
      <c r="N744" s="3" t="s">
        <v>2333</v>
      </c>
      <c r="O744" s="3">
        <v>2.0</v>
      </c>
    </row>
    <row r="745" ht="15.75" customHeight="1">
      <c r="A745" s="3" t="s">
        <v>4574</v>
      </c>
      <c r="B745" s="3" t="s">
        <v>4575</v>
      </c>
      <c r="C745" s="3" t="s">
        <v>4576</v>
      </c>
      <c r="D745" s="3" t="s">
        <v>4577</v>
      </c>
      <c r="E745" s="3" t="str">
        <f>IFERROR(__xludf.DUMMYFUNCTION("GOOGLETRANSLATE($D745,""EN"",""RU"")")," Динамик, низкая громкость")</f>
        <v> Динамик, низкая громкость</v>
      </c>
      <c r="F745" s="3" t="s">
        <v>637</v>
      </c>
      <c r="G745" s="3" t="s">
        <v>53</v>
      </c>
      <c r="H745" s="3" t="s">
        <v>28</v>
      </c>
      <c r="I745" s="3" t="s">
        <v>28</v>
      </c>
      <c r="J745" s="3" t="s">
        <v>2226</v>
      </c>
      <c r="K745" s="3" t="s">
        <v>3044</v>
      </c>
      <c r="L745" s="3" t="s">
        <v>3044</v>
      </c>
      <c r="M745" s="3" t="s">
        <v>1601</v>
      </c>
      <c r="N745" s="3" t="s">
        <v>3343</v>
      </c>
      <c r="O745" s="3">
        <v>0.0</v>
      </c>
    </row>
    <row r="746" ht="15.75" customHeight="1">
      <c r="A746" s="3" t="s">
        <v>4578</v>
      </c>
      <c r="B746" s="3" t="s">
        <v>4579</v>
      </c>
      <c r="C746" s="3" t="s">
        <v>4580</v>
      </c>
      <c r="D746" s="3" t="s">
        <v>4581</v>
      </c>
      <c r="E746" s="3" t="str">
        <f>IFERROR(__xludf.DUMMYFUNCTION("GOOGLETRANSLATE($D746,""EN"",""RU"")")," Стакан молока")</f>
        <v> Стакан молока</v>
      </c>
      <c r="F746" s="3" t="s">
        <v>1510</v>
      </c>
      <c r="G746" s="3" t="s">
        <v>53</v>
      </c>
      <c r="H746" s="3" t="s">
        <v>15</v>
      </c>
      <c r="I746" s="3" t="s">
        <v>2226</v>
      </c>
      <c r="J746" s="3" t="s">
        <v>41</v>
      </c>
      <c r="K746" s="3" t="s">
        <v>2333</v>
      </c>
      <c r="L746" s="3" t="s">
        <v>1601</v>
      </c>
      <c r="M746" s="3" t="s">
        <v>2812</v>
      </c>
      <c r="N746" s="3" t="s">
        <v>2333</v>
      </c>
      <c r="O746" s="3">
        <v>2.0</v>
      </c>
    </row>
    <row r="747" ht="15.75" customHeight="1">
      <c r="A747" s="3" t="s">
        <v>4582</v>
      </c>
      <c r="B747" s="3" t="s">
        <v>4583</v>
      </c>
      <c r="C747" s="3" t="s">
        <v>4584</v>
      </c>
      <c r="D747" s="3" t="s">
        <v>4585</v>
      </c>
      <c r="E747" s="3" t="str">
        <f>IFERROR(__xludf.DUMMYFUNCTION("GOOGLETRANSLATE($D747,""EN"",""RU"")")," Бенто Бокс")</f>
        <v> Бенто Бокс</v>
      </c>
      <c r="F747" s="3" t="s">
        <v>1510</v>
      </c>
      <c r="G747" s="3" t="s">
        <v>53</v>
      </c>
      <c r="H747" s="3" t="s">
        <v>15</v>
      </c>
      <c r="I747" s="3" t="s">
        <v>15</v>
      </c>
      <c r="J747" s="3" t="s">
        <v>28</v>
      </c>
      <c r="K747" s="3" t="s">
        <v>2333</v>
      </c>
      <c r="L747" s="3" t="s">
        <v>2333</v>
      </c>
      <c r="M747" s="3" t="s">
        <v>3044</v>
      </c>
      <c r="N747" s="3" t="s">
        <v>1601</v>
      </c>
      <c r="O747" s="3">
        <v>2.0</v>
      </c>
    </row>
    <row r="748" ht="15.75" customHeight="1">
      <c r="A748" s="3" t="s">
        <v>4586</v>
      </c>
      <c r="B748" s="3" t="s">
        <v>4587</v>
      </c>
      <c r="C748" s="3" t="s">
        <v>4588</v>
      </c>
      <c r="D748" s="3" t="s">
        <v>4589</v>
      </c>
      <c r="E748" s="3" t="str">
        <f>IFERROR(__xludf.DUMMYFUNCTION("GOOGLETRANSLATE($D748,""EN"",""RU"")")," Колесо обозрения")</f>
        <v> Колесо обозрения</v>
      </c>
      <c r="F748" s="3" t="s">
        <v>2127</v>
      </c>
      <c r="G748" s="3" t="s">
        <v>53</v>
      </c>
      <c r="H748" s="3" t="s">
        <v>2226</v>
      </c>
      <c r="I748" s="3" t="s">
        <v>2226</v>
      </c>
      <c r="J748" s="3" t="s">
        <v>53</v>
      </c>
      <c r="K748" s="3" t="s">
        <v>1601</v>
      </c>
      <c r="L748" s="3" t="s">
        <v>1601</v>
      </c>
      <c r="M748" s="3" t="s">
        <v>3376</v>
      </c>
      <c r="N748" s="3" t="s">
        <v>2812</v>
      </c>
      <c r="O748" s="3">
        <v>2.0</v>
      </c>
    </row>
    <row r="749" ht="15.75" customHeight="1">
      <c r="A749" s="3" t="s">
        <v>4590</v>
      </c>
      <c r="B749" s="3" t="s">
        <v>4591</v>
      </c>
      <c r="C749" s="3" t="s">
        <v>4592</v>
      </c>
      <c r="D749" s="3" t="s">
        <v>4593</v>
      </c>
      <c r="E749" s="3" t="str">
        <f>IFERROR(__xludf.DUMMYFUNCTION("GOOGLETRANSLATE($D749,""EN"",""RU"")")," Новая Зеландия")</f>
        <v> Новая Зеландия</v>
      </c>
      <c r="F749" s="3" t="s">
        <v>559</v>
      </c>
      <c r="G749" s="3" t="s">
        <v>53</v>
      </c>
      <c r="H749" s="3" t="s">
        <v>2226</v>
      </c>
      <c r="I749" s="3" t="s">
        <v>53</v>
      </c>
      <c r="J749" s="3" t="s">
        <v>2226</v>
      </c>
      <c r="K749" s="3" t="s">
        <v>1601</v>
      </c>
      <c r="L749" s="3" t="s">
        <v>3376</v>
      </c>
      <c r="M749" s="3" t="s">
        <v>1601</v>
      </c>
      <c r="N749" s="3" t="s">
        <v>1425</v>
      </c>
      <c r="O749" s="3">
        <v>1.0</v>
      </c>
    </row>
    <row r="750" ht="15.75" customHeight="1">
      <c r="A750" s="3" t="s">
        <v>4594</v>
      </c>
      <c r="B750" s="3" t="s">
        <v>4595</v>
      </c>
      <c r="C750" s="3" t="s">
        <v>4596</v>
      </c>
      <c r="D750" s="3" t="s">
        <v>4597</v>
      </c>
      <c r="E750" s="3" t="str">
        <f>IFERROR(__xludf.DUMMYFUNCTION("GOOGLETRANSLATE($D750,""EN"",""RU"")")," Греция")</f>
        <v> Греция</v>
      </c>
      <c r="F750" s="3" t="s">
        <v>559</v>
      </c>
      <c r="G750" s="3" t="s">
        <v>53</v>
      </c>
      <c r="H750" s="3" t="s">
        <v>2226</v>
      </c>
      <c r="I750" s="3" t="s">
        <v>41</v>
      </c>
      <c r="J750" s="3" t="s">
        <v>15</v>
      </c>
      <c r="K750" s="3" t="s">
        <v>1601</v>
      </c>
      <c r="L750" s="3" t="s">
        <v>2812</v>
      </c>
      <c r="M750" s="3" t="s">
        <v>2333</v>
      </c>
      <c r="N750" s="3" t="s">
        <v>1601</v>
      </c>
      <c r="O750" s="3">
        <v>2.0</v>
      </c>
    </row>
    <row r="751" ht="15.75" customHeight="1">
      <c r="A751" s="3" t="s">
        <v>4598</v>
      </c>
      <c r="B751" s="3" t="s">
        <v>4599</v>
      </c>
      <c r="C751" s="3" t="s">
        <v>4600</v>
      </c>
      <c r="D751" s="3" t="s">
        <v>4601</v>
      </c>
      <c r="E751" s="3" t="str">
        <f>IFERROR(__xludf.DUMMYFUNCTION("GOOGLETRANSLATE($D751,""EN"",""RU"")")," Хорватия")</f>
        <v> Хорватия</v>
      </c>
      <c r="F751" s="3" t="s">
        <v>559</v>
      </c>
      <c r="G751" s="3" t="s">
        <v>53</v>
      </c>
      <c r="H751" s="3" t="s">
        <v>2226</v>
      </c>
      <c r="I751" s="3" t="s">
        <v>53</v>
      </c>
      <c r="J751" s="3" t="s">
        <v>2226</v>
      </c>
      <c r="K751" s="3" t="s">
        <v>1601</v>
      </c>
      <c r="L751" s="3" t="s">
        <v>3376</v>
      </c>
      <c r="M751" s="3" t="s">
        <v>1601</v>
      </c>
      <c r="N751" s="3" t="s">
        <v>1425</v>
      </c>
      <c r="O751" s="3">
        <v>1.0</v>
      </c>
    </row>
    <row r="752" ht="15.75" customHeight="1">
      <c r="A752" s="3" t="s">
        <v>4602</v>
      </c>
      <c r="B752" s="3" t="s">
        <v>4603</v>
      </c>
      <c r="C752" s="3" t="s">
        <v>4604</v>
      </c>
      <c r="D752" s="3" t="s">
        <v>4605</v>
      </c>
      <c r="E752" s="3" t="str">
        <f>IFERROR(__xludf.DUMMYFUNCTION("GOOGLETRANSLATE($D752,""EN"",""RU"")")," Символ регионального индикатора, буква F")</f>
        <v> Символ регионального индикатора, буква F</v>
      </c>
      <c r="F752" s="3" t="s">
        <v>637</v>
      </c>
      <c r="G752" s="3" t="s">
        <v>53</v>
      </c>
      <c r="H752" s="3" t="s">
        <v>53</v>
      </c>
      <c r="I752" s="3" t="s">
        <v>2226</v>
      </c>
      <c r="J752" s="3" t="s">
        <v>2226</v>
      </c>
      <c r="K752" s="3" t="s">
        <v>3376</v>
      </c>
      <c r="L752" s="3" t="s">
        <v>1601</v>
      </c>
      <c r="M752" s="3" t="s">
        <v>1601</v>
      </c>
      <c r="N752" s="3" t="s">
        <v>3377</v>
      </c>
      <c r="O752" s="3">
        <v>0.0</v>
      </c>
    </row>
    <row r="753" ht="15.75" customHeight="1">
      <c r="A753" s="3" t="s">
        <v>4606</v>
      </c>
      <c r="B753" s="3" t="s">
        <v>4607</v>
      </c>
      <c r="C753" s="3" t="s">
        <v>4608</v>
      </c>
      <c r="D753" s="3" t="s">
        <v>4609</v>
      </c>
      <c r="E753" s="3" t="str">
        <f>IFERROR(__xludf.DUMMYFUNCTION("GOOGLETRANSLATE($D753,""EN"",""RU"")")," Мышь Лицо")</f>
        <v> Мышь Лицо</v>
      </c>
      <c r="F753" s="3" t="s">
        <v>81</v>
      </c>
      <c r="G753" s="3" t="s">
        <v>53</v>
      </c>
      <c r="H753" s="3" t="s">
        <v>53</v>
      </c>
      <c r="I753" s="3" t="s">
        <v>2226</v>
      </c>
      <c r="J753" s="3" t="s">
        <v>2226</v>
      </c>
      <c r="K753" s="3" t="s">
        <v>3376</v>
      </c>
      <c r="L753" s="3" t="s">
        <v>1601</v>
      </c>
      <c r="M753" s="3" t="s">
        <v>1601</v>
      </c>
      <c r="N753" s="3" t="s">
        <v>3377</v>
      </c>
      <c r="O753" s="3">
        <v>0.0</v>
      </c>
    </row>
    <row r="754" ht="15.75" customHeight="1">
      <c r="A754" s="3" t="s">
        <v>4610</v>
      </c>
      <c r="B754" s="3" t="s">
        <v>4611</v>
      </c>
      <c r="C754" s="3" t="s">
        <v>4612</v>
      </c>
      <c r="D754" s="3" t="s">
        <v>4613</v>
      </c>
      <c r="E754" s="3" t="str">
        <f>IFERROR(__xludf.DUMMYFUNCTION("GOOGLETRANSLATE($D754,""EN"",""RU"")")," Режим вибрации")</f>
        <v> Режим вибрации</v>
      </c>
      <c r="F754" s="3" t="s">
        <v>637</v>
      </c>
      <c r="G754" s="3" t="s">
        <v>53</v>
      </c>
      <c r="H754" s="3" t="s">
        <v>41</v>
      </c>
      <c r="I754" s="3" t="s">
        <v>2226</v>
      </c>
      <c r="J754" s="3" t="s">
        <v>15</v>
      </c>
      <c r="K754" s="3" t="s">
        <v>2812</v>
      </c>
      <c r="L754" s="3" t="s">
        <v>1601</v>
      </c>
      <c r="M754" s="3" t="s">
        <v>2333</v>
      </c>
      <c r="N754" s="3" t="s">
        <v>3343</v>
      </c>
      <c r="O754" s="3">
        <v>0.0</v>
      </c>
    </row>
    <row r="755" ht="15.75" customHeight="1">
      <c r="A755" s="3" t="s">
        <v>119</v>
      </c>
      <c r="B755" s="3" t="s">
        <v>4614</v>
      </c>
      <c r="C755" s="3" t="s">
        <v>4615</v>
      </c>
      <c r="D755" s="3" t="s">
        <v>4616</v>
      </c>
      <c r="E755" s="3" t="str">
        <f>IFERROR(__xludf.DUMMYFUNCTION("GOOGLETRANSLATE($D755,""EN"",""RU"")")," Блокнот")</f>
        <v> Блокнот</v>
      </c>
      <c r="F755" s="3" t="s">
        <v>358</v>
      </c>
      <c r="G755" s="3" t="s">
        <v>53</v>
      </c>
      <c r="H755" s="3" t="s">
        <v>28</v>
      </c>
      <c r="I755" s="3" t="s">
        <v>28</v>
      </c>
      <c r="J755" s="3" t="s">
        <v>2226</v>
      </c>
      <c r="K755" s="3" t="s">
        <v>3044</v>
      </c>
      <c r="L755" s="3" t="s">
        <v>3044</v>
      </c>
      <c r="M755" s="3" t="s">
        <v>1601</v>
      </c>
      <c r="N755" s="3" t="s">
        <v>3343</v>
      </c>
      <c r="O755" s="3">
        <v>0.0</v>
      </c>
    </row>
    <row r="756" ht="15.75" customHeight="1">
      <c r="A756" s="3" t="s">
        <v>4617</v>
      </c>
      <c r="B756" s="3" t="s">
        <v>4618</v>
      </c>
      <c r="C756" s="3" t="s">
        <v>4619</v>
      </c>
      <c r="D756" s="3" t="s">
        <v>4620</v>
      </c>
      <c r="E756" s="3" t="str">
        <f>IFERROR(__xludf.DUMMYFUNCTION("GOOGLETRANSLATE($D756,""EN"",""RU"")")," Страница с завитком")</f>
        <v> Страница с завитком</v>
      </c>
      <c r="F756" s="3" t="s">
        <v>358</v>
      </c>
      <c r="G756" s="3" t="s">
        <v>53</v>
      </c>
      <c r="H756" s="3" t="s">
        <v>28</v>
      </c>
      <c r="I756" s="3" t="s">
        <v>15</v>
      </c>
      <c r="J756" s="3" t="s">
        <v>15</v>
      </c>
      <c r="K756" s="3" t="s">
        <v>3044</v>
      </c>
      <c r="L756" s="3" t="s">
        <v>2333</v>
      </c>
      <c r="M756" s="3" t="s">
        <v>2333</v>
      </c>
      <c r="N756" s="3" t="s">
        <v>3338</v>
      </c>
      <c r="O756" s="3">
        <v>0.0</v>
      </c>
    </row>
    <row r="757" ht="15.75" customHeight="1">
      <c r="A757" s="3" t="s">
        <v>4621</v>
      </c>
      <c r="B757" s="3" t="s">
        <v>4622</v>
      </c>
      <c r="C757" s="3" t="s">
        <v>4623</v>
      </c>
      <c r="D757" s="3" t="s">
        <v>4624</v>
      </c>
      <c r="E757" s="3" t="str">
        <f>IFERROR(__xludf.DUMMYFUNCTION("GOOGLETRANSLATE($D757,""EN"",""RU"")")," Лицо робота")</f>
        <v> Лицо робота</v>
      </c>
      <c r="F757" s="3" t="s">
        <v>358</v>
      </c>
      <c r="G757" s="3" t="s">
        <v>53</v>
      </c>
      <c r="H757" s="3" t="s">
        <v>15</v>
      </c>
      <c r="I757" s="3" t="s">
        <v>15</v>
      </c>
      <c r="J757" s="3" t="s">
        <v>28</v>
      </c>
      <c r="K757" s="3" t="s">
        <v>2333</v>
      </c>
      <c r="L757" s="3" t="s">
        <v>2333</v>
      </c>
      <c r="M757" s="3" t="s">
        <v>3044</v>
      </c>
      <c r="N757" s="3" t="s">
        <v>1601</v>
      </c>
      <c r="O757" s="3">
        <v>2.0</v>
      </c>
    </row>
    <row r="758" ht="15.75" customHeight="1">
      <c r="A758" s="3" t="s">
        <v>4625</v>
      </c>
      <c r="B758" s="3" t="s">
        <v>4626</v>
      </c>
      <c r="C758" s="3" t="s">
        <v>4627</v>
      </c>
      <c r="D758" s="3" t="s">
        <v>4628</v>
      </c>
      <c r="E758" s="3" t="str">
        <f>IFERROR(__xludf.DUMMYFUNCTION("GOOGLETRANSLATE($D758,""EN"",""RU"")")," Входные билеты")</f>
        <v> Входные билеты</v>
      </c>
      <c r="F758" s="3" t="s">
        <v>358</v>
      </c>
      <c r="G758" s="3" t="s">
        <v>53</v>
      </c>
      <c r="H758" s="3" t="s">
        <v>2226</v>
      </c>
      <c r="I758" s="3" t="s">
        <v>41</v>
      </c>
      <c r="J758" s="3" t="s">
        <v>15</v>
      </c>
      <c r="K758" s="3" t="s">
        <v>1601</v>
      </c>
      <c r="L758" s="3" t="s">
        <v>2812</v>
      </c>
      <c r="M758" s="3" t="s">
        <v>2333</v>
      </c>
      <c r="N758" s="3" t="s">
        <v>1601</v>
      </c>
      <c r="O758" s="3">
        <v>2.0</v>
      </c>
    </row>
    <row r="759" ht="15.75" customHeight="1">
      <c r="A759" s="3" t="s">
        <v>4629</v>
      </c>
      <c r="B759" s="3" t="s">
        <v>4630</v>
      </c>
      <c r="C759" s="3" t="s">
        <v>4631</v>
      </c>
      <c r="D759" s="3" t="s">
        <v>4632</v>
      </c>
      <c r="E759" s="3" t="str">
        <f>IFERROR(__xludf.DUMMYFUNCTION("GOOGLETRANSLATE($D759,""EN"",""RU"")")," Четыре часа")</f>
        <v> Четыре часа</v>
      </c>
      <c r="F759" s="3" t="s">
        <v>358</v>
      </c>
      <c r="G759" s="3" t="s">
        <v>53</v>
      </c>
      <c r="H759" s="3" t="s">
        <v>15</v>
      </c>
      <c r="I759" s="3" t="s">
        <v>28</v>
      </c>
      <c r="J759" s="3" t="s">
        <v>15</v>
      </c>
      <c r="K759" s="3" t="s">
        <v>2333</v>
      </c>
      <c r="L759" s="3" t="s">
        <v>3044</v>
      </c>
      <c r="M759" s="3" t="s">
        <v>2333</v>
      </c>
      <c r="N759" s="3" t="s">
        <v>1425</v>
      </c>
      <c r="O759" s="3">
        <v>1.0</v>
      </c>
    </row>
    <row r="760" ht="15.75" customHeight="1">
      <c r="A760" s="3" t="s">
        <v>4633</v>
      </c>
      <c r="B760" s="3" t="s">
        <v>4634</v>
      </c>
      <c r="C760" s="3" t="s">
        <v>4635</v>
      </c>
      <c r="D760" s="3" t="s">
        <v>4636</v>
      </c>
      <c r="E760" s="3" t="str">
        <f>IFERROR(__xludf.DUMMYFUNCTION("GOOGLETRANSLATE($D760,""EN"",""RU"")")," Человек на велосипеде")</f>
        <v> Человек на велосипеде</v>
      </c>
      <c r="F760" s="3" t="s">
        <v>2649</v>
      </c>
      <c r="G760" s="3" t="s">
        <v>53</v>
      </c>
      <c r="H760" s="3" t="s">
        <v>15</v>
      </c>
      <c r="I760" s="3" t="s">
        <v>15</v>
      </c>
      <c r="J760" s="3" t="s">
        <v>28</v>
      </c>
      <c r="K760" s="3" t="s">
        <v>2333</v>
      </c>
      <c r="L760" s="3" t="s">
        <v>2333</v>
      </c>
      <c r="M760" s="3" t="s">
        <v>3044</v>
      </c>
      <c r="N760" s="3" t="s">
        <v>1601</v>
      </c>
      <c r="O760" s="3">
        <v>2.0</v>
      </c>
    </row>
    <row r="761" ht="15.75" customHeight="1">
      <c r="A761" s="3" t="s">
        <v>4637</v>
      </c>
      <c r="B761" s="3" t="s">
        <v>4638</v>
      </c>
      <c r="C761" s="3" t="s">
        <v>4639</v>
      </c>
      <c r="D761" s="3" t="s">
        <v>4640</v>
      </c>
      <c r="E761" s="3" t="str">
        <f>IFERROR(__xludf.DUMMYFUNCTION("GOOGLETRANSLATE($D761,""EN"",""RU"")")," Человек жонглирует")</f>
        <v> Человек жонглирует</v>
      </c>
      <c r="F761" s="3" t="s">
        <v>2649</v>
      </c>
      <c r="G761" s="3" t="s">
        <v>53</v>
      </c>
      <c r="H761" s="3" t="s">
        <v>28</v>
      </c>
      <c r="I761" s="3" t="s">
        <v>28</v>
      </c>
      <c r="J761" s="3" t="s">
        <v>2226</v>
      </c>
      <c r="K761" s="3" t="s">
        <v>3044</v>
      </c>
      <c r="L761" s="3" t="s">
        <v>3044</v>
      </c>
      <c r="M761" s="3" t="s">
        <v>1601</v>
      </c>
      <c r="N761" s="3" t="s">
        <v>3343</v>
      </c>
      <c r="O761" s="3">
        <v>0.0</v>
      </c>
    </row>
    <row r="762" ht="15.75" customHeight="1">
      <c r="A762" s="3" t="s">
        <v>4641</v>
      </c>
      <c r="B762" s="3" t="s">
        <v>4642</v>
      </c>
      <c r="C762" s="3" t="s">
        <v>4643</v>
      </c>
      <c r="D762" s="3" t="s">
        <v>4644</v>
      </c>
      <c r="E762" s="3" t="str">
        <f>IFERROR(__xludf.DUMMYFUNCTION("GOOGLETRANSLATE($D762,""EN"",""RU"")")," Человек Серфинг")</f>
        <v> Человек Серфинг</v>
      </c>
      <c r="F762" s="3" t="s">
        <v>2649</v>
      </c>
      <c r="G762" s="3" t="s">
        <v>53</v>
      </c>
      <c r="H762" s="3" t="s">
        <v>28</v>
      </c>
      <c r="I762" s="3" t="s">
        <v>15</v>
      </c>
      <c r="J762" s="3" t="s">
        <v>15</v>
      </c>
      <c r="K762" s="3" t="s">
        <v>3044</v>
      </c>
      <c r="L762" s="3" t="s">
        <v>2333</v>
      </c>
      <c r="M762" s="3" t="s">
        <v>2333</v>
      </c>
      <c r="N762" s="3" t="s">
        <v>3338</v>
      </c>
      <c r="O762" s="3">
        <v>0.0</v>
      </c>
    </row>
    <row r="763" ht="15.75" customHeight="1">
      <c r="A763" s="3" t="s">
        <v>4645</v>
      </c>
      <c r="B763" s="3" t="s">
        <v>4646</v>
      </c>
      <c r="C763" s="3" t="s">
        <v>4647</v>
      </c>
      <c r="D763" s="3" t="s">
        <v>4648</v>
      </c>
      <c r="E763" s="3" t="str">
        <f>IFERROR(__xludf.DUMMYFUNCTION("GOOGLETRANSLATE($D763,""EN"",""RU"")")," Беременная женщина")</f>
        <v> Беременная женщина</v>
      </c>
      <c r="F763" s="3" t="s">
        <v>2649</v>
      </c>
      <c r="G763" s="3" t="s">
        <v>53</v>
      </c>
      <c r="H763" s="3" t="s">
        <v>28</v>
      </c>
      <c r="I763" s="3" t="s">
        <v>15</v>
      </c>
      <c r="J763" s="3" t="s">
        <v>15</v>
      </c>
      <c r="K763" s="3" t="s">
        <v>3044</v>
      </c>
      <c r="L763" s="3" t="s">
        <v>2333</v>
      </c>
      <c r="M763" s="3" t="s">
        <v>2333</v>
      </c>
      <c r="N763" s="3" t="s">
        <v>3338</v>
      </c>
      <c r="O763" s="3">
        <v>0.0</v>
      </c>
    </row>
    <row r="764" ht="15.75" customHeight="1">
      <c r="A764" s="3" t="s">
        <v>4649</v>
      </c>
      <c r="B764" s="3" t="s">
        <v>4650</v>
      </c>
      <c r="C764" s="3" t="s">
        <v>4651</v>
      </c>
      <c r="D764" s="3" t="s">
        <v>4652</v>
      </c>
      <c r="E764" s="3" t="str">
        <f>IFERROR(__xludf.DUMMYFUNCTION("GOOGLETRANSLATE($D764,""EN"",""RU"")")," Волейбол")</f>
        <v> Волейбол</v>
      </c>
      <c r="F764" s="3" t="s">
        <v>358</v>
      </c>
      <c r="G764" s="3" t="s">
        <v>53</v>
      </c>
      <c r="H764" s="3" t="s">
        <v>15</v>
      </c>
      <c r="I764" s="3" t="s">
        <v>41</v>
      </c>
      <c r="J764" s="3" t="s">
        <v>2226</v>
      </c>
      <c r="K764" s="3" t="s">
        <v>2333</v>
      </c>
      <c r="L764" s="3" t="s">
        <v>2812</v>
      </c>
      <c r="M764" s="3" t="s">
        <v>1601</v>
      </c>
      <c r="N764" s="3" t="s">
        <v>3338</v>
      </c>
      <c r="O764" s="3">
        <v>0.0</v>
      </c>
    </row>
    <row r="765" ht="15.75" customHeight="1">
      <c r="A765" s="3" t="s">
        <v>4653</v>
      </c>
      <c r="B765" s="3" t="s">
        <v>4654</v>
      </c>
      <c r="C765" s="3" t="s">
        <v>4655</v>
      </c>
      <c r="D765" s="3" t="s">
        <v>4656</v>
      </c>
      <c r="E765" s="3" t="str">
        <f>IFERROR(__xludf.DUMMYFUNCTION("GOOGLETRANSLATE($D765,""EN"",""RU"")")," Зеленая книга")</f>
        <v> Зеленая книга</v>
      </c>
      <c r="F765" s="3" t="s">
        <v>358</v>
      </c>
      <c r="G765" s="3" t="s">
        <v>53</v>
      </c>
      <c r="H765" s="3" t="s">
        <v>15</v>
      </c>
      <c r="I765" s="3" t="s">
        <v>2226</v>
      </c>
      <c r="J765" s="3" t="s">
        <v>41</v>
      </c>
      <c r="K765" s="3" t="s">
        <v>2333</v>
      </c>
      <c r="L765" s="3" t="s">
        <v>1601</v>
      </c>
      <c r="M765" s="3" t="s">
        <v>2812</v>
      </c>
      <c r="N765" s="3" t="s">
        <v>2333</v>
      </c>
      <c r="O765" s="3">
        <v>2.0</v>
      </c>
    </row>
    <row r="766" ht="15.75" customHeight="1">
      <c r="A766" s="3" t="s">
        <v>4657</v>
      </c>
      <c r="B766" s="3" t="s">
        <v>4658</v>
      </c>
      <c r="C766" s="3" t="s">
        <v>4659</v>
      </c>
      <c r="D766" s="3" t="s">
        <v>4660</v>
      </c>
      <c r="E766" s="3" t="str">
        <f>IFERROR(__xludf.DUMMYFUNCTION("GOOGLETRANSLATE($D766,""EN"",""RU"")")," Маленький самолет")</f>
        <v> Маленький самолет</v>
      </c>
      <c r="F766" s="3" t="s">
        <v>358</v>
      </c>
      <c r="G766" s="3" t="s">
        <v>53</v>
      </c>
      <c r="H766" s="3" t="s">
        <v>2226</v>
      </c>
      <c r="I766" s="3" t="s">
        <v>41</v>
      </c>
      <c r="J766" s="3" t="s">
        <v>15</v>
      </c>
      <c r="K766" s="3" t="s">
        <v>1601</v>
      </c>
      <c r="L766" s="3" t="s">
        <v>2812</v>
      </c>
      <c r="M766" s="3" t="s">
        <v>2333</v>
      </c>
      <c r="N766" s="3" t="s">
        <v>1601</v>
      </c>
      <c r="O766" s="3">
        <v>2.0</v>
      </c>
    </row>
    <row r="767" ht="15.75" customHeight="1">
      <c r="A767" s="3" t="s">
        <v>4661</v>
      </c>
      <c r="B767" s="3" t="s">
        <v>4662</v>
      </c>
      <c r="C767" s="3" t="s">
        <v>4663</v>
      </c>
      <c r="D767" s="3" t="s">
        <v>4664</v>
      </c>
      <c r="E767" s="3" t="str">
        <f>IFERROR(__xludf.DUMMYFUNCTION("GOOGLETRANSLATE($D767,""EN"",""RU"")")," Электрическая вилка")</f>
        <v> Электрическая вилка</v>
      </c>
      <c r="F767" s="3" t="s">
        <v>358</v>
      </c>
      <c r="G767" s="3" t="s">
        <v>53</v>
      </c>
      <c r="H767" s="3" t="s">
        <v>28</v>
      </c>
      <c r="I767" s="3" t="s">
        <v>28</v>
      </c>
      <c r="J767" s="3" t="s">
        <v>2226</v>
      </c>
      <c r="K767" s="3" t="s">
        <v>3044</v>
      </c>
      <c r="L767" s="3" t="s">
        <v>3044</v>
      </c>
      <c r="M767" s="3" t="s">
        <v>1601</v>
      </c>
      <c r="N767" s="3" t="s">
        <v>3343</v>
      </c>
      <c r="O767" s="3">
        <v>0.0</v>
      </c>
    </row>
    <row r="768" ht="15.75" customHeight="1">
      <c r="A768" s="3" t="s">
        <v>4665</v>
      </c>
      <c r="B768" s="3" t="s">
        <v>4666</v>
      </c>
      <c r="C768" s="3" t="s">
        <v>4667</v>
      </c>
      <c r="D768" s="3" t="s">
        <v>4668</v>
      </c>
      <c r="E768" s="3" t="str">
        <f>IFERROR(__xludf.DUMMYFUNCTION("GOOGLETRANSLATE($D768,""EN"",""RU"")")," Банкнота иены")</f>
        <v> Банкнота иены</v>
      </c>
      <c r="F768" s="3" t="s">
        <v>358</v>
      </c>
      <c r="G768" s="3" t="s">
        <v>53</v>
      </c>
      <c r="H768" s="3" t="s">
        <v>28</v>
      </c>
      <c r="I768" s="3" t="s">
        <v>2226</v>
      </c>
      <c r="J768" s="3" t="s">
        <v>28</v>
      </c>
      <c r="K768" s="3" t="s">
        <v>3044</v>
      </c>
      <c r="L768" s="3" t="s">
        <v>1601</v>
      </c>
      <c r="M768" s="3" t="s">
        <v>3044</v>
      </c>
      <c r="N768" s="3" t="s">
        <v>1425</v>
      </c>
      <c r="O768" s="3">
        <v>1.0</v>
      </c>
    </row>
    <row r="769" ht="15.75" customHeight="1">
      <c r="A769" s="3" t="s">
        <v>4669</v>
      </c>
      <c r="B769" s="3" t="s">
        <v>4670</v>
      </c>
      <c r="C769" s="3" t="s">
        <v>4671</v>
      </c>
      <c r="D769" s="3" t="s">
        <v>4672</v>
      </c>
      <c r="E769" s="3" t="str">
        <f>IFERROR(__xludf.DUMMYFUNCTION("GOOGLETRANSLATE($D769,""EN"",""RU"")")," Полицейская машина")</f>
        <v> Полицейская машина</v>
      </c>
      <c r="F769" s="3" t="s">
        <v>358</v>
      </c>
      <c r="G769" s="3" t="s">
        <v>53</v>
      </c>
      <c r="H769" s="3" t="s">
        <v>41</v>
      </c>
      <c r="I769" s="3" t="s">
        <v>15</v>
      </c>
      <c r="J769" s="3" t="s">
        <v>2226</v>
      </c>
      <c r="K769" s="3" t="s">
        <v>2812</v>
      </c>
      <c r="L769" s="3" t="s">
        <v>2333</v>
      </c>
      <c r="M769" s="3" t="s">
        <v>1601</v>
      </c>
      <c r="N769" s="3" t="s">
        <v>3805</v>
      </c>
      <c r="O769" s="3">
        <v>0.0</v>
      </c>
    </row>
    <row r="770" ht="15.75" customHeight="1">
      <c r="A770" s="3" t="s">
        <v>4673</v>
      </c>
      <c r="B770" s="3" t="s">
        <v>4674</v>
      </c>
      <c r="C770" s="3" t="s">
        <v>4675</v>
      </c>
      <c r="D770" s="3" t="s">
        <v>4676</v>
      </c>
      <c r="E770" s="3" t="str">
        <f>IFERROR(__xludf.DUMMYFUNCTION("GOOGLETRANSLATE($D770,""EN"",""RU"")")," Страница лицевой стороной вверх")</f>
        <v> Страница лицевой стороной вверх</v>
      </c>
      <c r="F770" s="3" t="s">
        <v>358</v>
      </c>
      <c r="G770" s="3" t="s">
        <v>53</v>
      </c>
      <c r="H770" s="3" t="s">
        <v>15</v>
      </c>
      <c r="I770" s="3" t="s">
        <v>41</v>
      </c>
      <c r="J770" s="3" t="s">
        <v>2226</v>
      </c>
      <c r="K770" s="3" t="s">
        <v>2333</v>
      </c>
      <c r="L770" s="3" t="s">
        <v>2812</v>
      </c>
      <c r="M770" s="3" t="s">
        <v>1601</v>
      </c>
      <c r="N770" s="3" t="s">
        <v>3338</v>
      </c>
      <c r="O770" s="3">
        <v>0.0</v>
      </c>
    </row>
    <row r="771" ht="15.75" customHeight="1">
      <c r="A771" s="3" t="s">
        <v>769</v>
      </c>
      <c r="B771" s="3" t="s">
        <v>4677</v>
      </c>
      <c r="C771" s="3" t="s">
        <v>4678</v>
      </c>
      <c r="D771" s="3" t="s">
        <v>4679</v>
      </c>
      <c r="E771" s="3" t="str">
        <f>IFERROR(__xludf.DUMMYFUNCTION("GOOGLETRANSLATE($D771,""EN"",""RU"")")," Утка")</f>
        <v> Утка</v>
      </c>
      <c r="F771" s="3" t="s">
        <v>81</v>
      </c>
      <c r="G771" s="3" t="s">
        <v>53</v>
      </c>
      <c r="H771" s="3" t="s">
        <v>2226</v>
      </c>
      <c r="I771" s="3" t="s">
        <v>53</v>
      </c>
      <c r="J771" s="3" t="s">
        <v>2226</v>
      </c>
      <c r="K771" s="3" t="s">
        <v>1601</v>
      </c>
      <c r="L771" s="3" t="s">
        <v>3376</v>
      </c>
      <c r="M771" s="3" t="s">
        <v>1601</v>
      </c>
      <c r="N771" s="3" t="s">
        <v>1425</v>
      </c>
      <c r="O771" s="3">
        <v>1.0</v>
      </c>
    </row>
    <row r="772" ht="15.75" customHeight="1">
      <c r="A772" s="3" t="s">
        <v>347</v>
      </c>
      <c r="B772" s="3" t="s">
        <v>4680</v>
      </c>
      <c r="C772" s="3" t="s">
        <v>4681</v>
      </c>
      <c r="D772" s="3" t="s">
        <v>4682</v>
      </c>
      <c r="E772" s="3" t="str">
        <f>IFERROR(__xludf.DUMMYFUNCTION("GOOGLETRANSLATE($D772,""EN"",""RU"")")," Гора")</f>
        <v> Гора</v>
      </c>
      <c r="F772" s="3" t="s">
        <v>81</v>
      </c>
      <c r="G772" s="3" t="s">
        <v>53</v>
      </c>
      <c r="H772" s="3" t="s">
        <v>2226</v>
      </c>
      <c r="I772" s="3" t="s">
        <v>28</v>
      </c>
      <c r="J772" s="3" t="s">
        <v>28</v>
      </c>
      <c r="K772" s="3" t="s">
        <v>1601</v>
      </c>
      <c r="L772" s="3" t="s">
        <v>3044</v>
      </c>
      <c r="M772" s="3" t="s">
        <v>3044</v>
      </c>
      <c r="N772" s="3" t="s">
        <v>2333</v>
      </c>
      <c r="O772" s="3">
        <v>2.0</v>
      </c>
    </row>
    <row r="773" ht="15.75" customHeight="1">
      <c r="A773" s="3" t="s">
        <v>4683</v>
      </c>
      <c r="B773" s="3" t="s">
        <v>4684</v>
      </c>
      <c r="C773" s="3" t="s">
        <v>4685</v>
      </c>
      <c r="D773" s="3" t="s">
        <v>4686</v>
      </c>
      <c r="E773" s="3" t="str">
        <f>IFERROR(__xludf.DUMMYFUNCTION("GOOGLETRANSLATE($D773,""EN"",""RU"")")," Пудель")</f>
        <v> Пудель</v>
      </c>
      <c r="F773" s="3" t="s">
        <v>81</v>
      </c>
      <c r="G773" s="3" t="s">
        <v>53</v>
      </c>
      <c r="H773" s="3" t="s">
        <v>28</v>
      </c>
      <c r="I773" s="3" t="s">
        <v>15</v>
      </c>
      <c r="J773" s="3" t="s">
        <v>15</v>
      </c>
      <c r="K773" s="3" t="s">
        <v>3044</v>
      </c>
      <c r="L773" s="3" t="s">
        <v>2333</v>
      </c>
      <c r="M773" s="3" t="s">
        <v>2333</v>
      </c>
      <c r="N773" s="3" t="s">
        <v>3338</v>
      </c>
      <c r="O773" s="3">
        <v>0.0</v>
      </c>
    </row>
    <row r="774" ht="15.75" customHeight="1">
      <c r="A774" s="3" t="s">
        <v>4687</v>
      </c>
      <c r="B774" s="3" t="s">
        <v>4688</v>
      </c>
      <c r="C774" s="3" t="s">
        <v>4689</v>
      </c>
      <c r="D774" s="3" t="s">
        <v>4690</v>
      </c>
      <c r="E774" s="3" t="str">
        <f>IFERROR(__xludf.DUMMYFUNCTION("GOOGLETRANSLATE($D774,""EN"",""RU"")")," Лицо хомяка")</f>
        <v> Лицо хомяка</v>
      </c>
      <c r="F774" s="3" t="s">
        <v>81</v>
      </c>
      <c r="G774" s="3" t="s">
        <v>53</v>
      </c>
      <c r="H774" s="3" t="s">
        <v>15</v>
      </c>
      <c r="I774" s="3" t="s">
        <v>28</v>
      </c>
      <c r="J774" s="3" t="s">
        <v>15</v>
      </c>
      <c r="K774" s="3" t="s">
        <v>2333</v>
      </c>
      <c r="L774" s="3" t="s">
        <v>3044</v>
      </c>
      <c r="M774" s="3" t="s">
        <v>2333</v>
      </c>
      <c r="N774" s="3" t="s">
        <v>1425</v>
      </c>
      <c r="O774" s="3">
        <v>1.0</v>
      </c>
    </row>
    <row r="775" ht="15.75" customHeight="1">
      <c r="A775" s="3" t="s">
        <v>4691</v>
      </c>
      <c r="B775" s="3" t="s">
        <v>4692</v>
      </c>
      <c r="C775" s="3" t="s">
        <v>4693</v>
      </c>
      <c r="D775" s="3" t="s">
        <v>4694</v>
      </c>
      <c r="E775" s="3" t="str">
        <f>IFERROR(__xludf.DUMMYFUNCTION("GOOGLETRANSLATE($D775,""EN"",""RU"")")," Кролик")</f>
        <v> Кролик</v>
      </c>
      <c r="F775" s="3" t="s">
        <v>81</v>
      </c>
      <c r="G775" s="3" t="s">
        <v>53</v>
      </c>
      <c r="H775" s="3" t="s">
        <v>15</v>
      </c>
      <c r="I775" s="3" t="s">
        <v>2226</v>
      </c>
      <c r="J775" s="3" t="s">
        <v>41</v>
      </c>
      <c r="K775" s="3" t="s">
        <v>2333</v>
      </c>
      <c r="L775" s="3" t="s">
        <v>1601</v>
      </c>
      <c r="M775" s="3" t="s">
        <v>2812</v>
      </c>
      <c r="N775" s="3" t="s">
        <v>2333</v>
      </c>
      <c r="O775" s="3">
        <v>2.0</v>
      </c>
    </row>
    <row r="776" ht="15.75" customHeight="1">
      <c r="A776" s="3" t="s">
        <v>4695</v>
      </c>
      <c r="B776" s="3" t="s">
        <v>4696</v>
      </c>
      <c r="C776" s="3" t="s">
        <v>4697</v>
      </c>
      <c r="D776" s="3" t="s">
        <v>4698</v>
      </c>
      <c r="E776" s="3" t="str">
        <f>IFERROR(__xludf.DUMMYFUNCTION("GOOGLETRANSLATE($D776,""EN"",""RU"")")," Акула")</f>
        <v> Акула</v>
      </c>
      <c r="F776" s="3" t="s">
        <v>81</v>
      </c>
      <c r="G776" s="3" t="s">
        <v>53</v>
      </c>
      <c r="H776" s="3" t="s">
        <v>41</v>
      </c>
      <c r="I776" s="3" t="s">
        <v>2226</v>
      </c>
      <c r="J776" s="3" t="s">
        <v>15</v>
      </c>
      <c r="K776" s="3" t="s">
        <v>2812</v>
      </c>
      <c r="L776" s="3" t="s">
        <v>1601</v>
      </c>
      <c r="M776" s="3" t="s">
        <v>2333</v>
      </c>
      <c r="N776" s="3" t="s">
        <v>3343</v>
      </c>
      <c r="O776" s="3">
        <v>0.0</v>
      </c>
    </row>
    <row r="777" ht="15.75" customHeight="1">
      <c r="A777" s="3" t="s">
        <v>4699</v>
      </c>
      <c r="B777" s="3" t="s">
        <v>4700</v>
      </c>
      <c r="C777" s="3" t="s">
        <v>4701</v>
      </c>
      <c r="D777" s="3" t="s">
        <v>4702</v>
      </c>
      <c r="E777" s="3" t="str">
        <f>IFERROR(__xludf.DUMMYFUNCTION("GOOGLETRANSLATE($D777,""EN"",""RU"")")," Кукурузный початок")</f>
        <v> Кукурузный початок</v>
      </c>
      <c r="F777" s="3" t="s">
        <v>1510</v>
      </c>
      <c r="G777" s="3" t="s">
        <v>41</v>
      </c>
      <c r="H777" s="3" t="s">
        <v>2226</v>
      </c>
      <c r="I777" s="3" t="s">
        <v>2226</v>
      </c>
      <c r="J777" s="3" t="s">
        <v>41</v>
      </c>
      <c r="K777" s="3" t="s">
        <v>1901</v>
      </c>
      <c r="L777" s="3" t="s">
        <v>1901</v>
      </c>
      <c r="M777" s="3" t="s">
        <v>1450</v>
      </c>
      <c r="N777" s="3" t="s">
        <v>1675</v>
      </c>
      <c r="O777" s="3">
        <v>2.0</v>
      </c>
    </row>
    <row r="778" ht="15.75" customHeight="1">
      <c r="A778" s="3" t="s">
        <v>4703</v>
      </c>
      <c r="B778" s="3" t="s">
        <v>4704</v>
      </c>
      <c r="C778" s="3" t="s">
        <v>4705</v>
      </c>
      <c r="D778" s="3" t="s">
        <v>4706</v>
      </c>
      <c r="E778" s="3" t="str">
        <f>IFERROR(__xludf.DUMMYFUNCTION("GOOGLETRANSLATE($D778,""EN"",""RU"")")," Бутылка с выскакивающей пробкой")</f>
        <v> Бутылка с выскакивающей пробкой</v>
      </c>
      <c r="F778" s="3" t="s">
        <v>1510</v>
      </c>
      <c r="G778" s="3" t="s">
        <v>41</v>
      </c>
      <c r="H778" s="3" t="s">
        <v>2226</v>
      </c>
      <c r="I778" s="3" t="s">
        <v>15</v>
      </c>
      <c r="J778" s="3" t="s">
        <v>28</v>
      </c>
      <c r="K778" s="3" t="s">
        <v>1901</v>
      </c>
      <c r="L778" s="3" t="s">
        <v>2378</v>
      </c>
      <c r="M778" s="3" t="s">
        <v>1675</v>
      </c>
      <c r="N778" s="3" t="s">
        <v>2855</v>
      </c>
      <c r="O778" s="3">
        <v>2.0</v>
      </c>
    </row>
    <row r="779" ht="15.75" customHeight="1">
      <c r="A779" s="3" t="s">
        <v>4707</v>
      </c>
      <c r="B779" s="3" t="s">
        <v>4708</v>
      </c>
      <c r="C779" s="3" t="s">
        <v>4709</v>
      </c>
      <c r="D779" s="3" t="s">
        <v>4710</v>
      </c>
      <c r="E779" s="3" t="str">
        <f>IFERROR(__xludf.DUMMYFUNCTION("GOOGLETRANSLATE($D779,""EN"",""RU"")")," Лимон")</f>
        <v> Лимон</v>
      </c>
      <c r="F779" s="3" t="s">
        <v>1510</v>
      </c>
      <c r="G779" s="3" t="s">
        <v>41</v>
      </c>
      <c r="H779" s="3" t="s">
        <v>2226</v>
      </c>
      <c r="I779" s="3" t="s">
        <v>28</v>
      </c>
      <c r="J779" s="3" t="s">
        <v>15</v>
      </c>
      <c r="K779" s="3" t="s">
        <v>1901</v>
      </c>
      <c r="L779" s="3" t="s">
        <v>1675</v>
      </c>
      <c r="M779" s="3" t="s">
        <v>2378</v>
      </c>
      <c r="N779" s="3" t="s">
        <v>1901</v>
      </c>
      <c r="O779" s="3">
        <v>2.0</v>
      </c>
    </row>
    <row r="780" ht="15.75" customHeight="1">
      <c r="A780" s="3" t="s">
        <v>4711</v>
      </c>
      <c r="B780" s="3" t="s">
        <v>4712</v>
      </c>
      <c r="C780" s="3" t="s">
        <v>4713</v>
      </c>
      <c r="D780" s="3" t="s">
        <v>4714</v>
      </c>
      <c r="E780" s="3" t="str">
        <f>IFERROR(__xludf.DUMMYFUNCTION("GOOGLETRANSLATE($D780,""EN"",""RU"")")," Хлеб")</f>
        <v> Хлеб</v>
      </c>
      <c r="F780" s="3" t="s">
        <v>1510</v>
      </c>
      <c r="G780" s="3" t="s">
        <v>41</v>
      </c>
      <c r="H780" s="3" t="s">
        <v>2226</v>
      </c>
      <c r="I780" s="3" t="s">
        <v>15</v>
      </c>
      <c r="J780" s="3" t="s">
        <v>28</v>
      </c>
      <c r="K780" s="3" t="s">
        <v>1901</v>
      </c>
      <c r="L780" s="3" t="s">
        <v>2378</v>
      </c>
      <c r="M780" s="3" t="s">
        <v>1675</v>
      </c>
      <c r="N780" s="3" t="s">
        <v>2855</v>
      </c>
      <c r="O780" s="3">
        <v>2.0</v>
      </c>
    </row>
    <row r="781" ht="15.75" customHeight="1">
      <c r="A781" s="3" t="s">
        <v>4715</v>
      </c>
      <c r="B781" s="3" t="s">
        <v>4716</v>
      </c>
      <c r="C781" s="3" t="s">
        <v>4717</v>
      </c>
      <c r="D781" s="3" t="s">
        <v>4718</v>
      </c>
      <c r="E781" s="3" t="str">
        <f>IFERROR(__xludf.DUMMYFUNCTION("GOOGLETRANSLATE($D781,""EN"",""RU"")")," Японская кнопка поздравления")</f>
        <v> Японская кнопка поздравления</v>
      </c>
      <c r="F781" s="3" t="s">
        <v>637</v>
      </c>
      <c r="G781" s="3" t="s">
        <v>41</v>
      </c>
      <c r="H781" s="3" t="s">
        <v>2226</v>
      </c>
      <c r="I781" s="3" t="s">
        <v>41</v>
      </c>
      <c r="J781" s="3" t="s">
        <v>2226</v>
      </c>
      <c r="K781" s="3" t="s">
        <v>1901</v>
      </c>
      <c r="L781" s="3" t="s">
        <v>1450</v>
      </c>
      <c r="M781" s="3" t="s">
        <v>1901</v>
      </c>
      <c r="N781" s="3" t="s">
        <v>1425</v>
      </c>
      <c r="O781" s="3">
        <v>1.0</v>
      </c>
    </row>
    <row r="782" ht="15.75" customHeight="1">
      <c r="A782" s="3" t="s">
        <v>4719</v>
      </c>
      <c r="B782" s="3" t="s">
        <v>4720</v>
      </c>
      <c r="C782" s="3" t="s">
        <v>4721</v>
      </c>
      <c r="D782" s="3" t="s">
        <v>4722</v>
      </c>
      <c r="E782" s="3" t="str">
        <f>IFERROR(__xludf.DUMMYFUNCTION("GOOGLETRANSLATE($D782,""EN"",""RU"")")," Дверь")</f>
        <v> Дверь</v>
      </c>
      <c r="F782" s="3" t="s">
        <v>358</v>
      </c>
      <c r="G782" s="3" t="s">
        <v>41</v>
      </c>
      <c r="H782" s="3" t="s">
        <v>2226</v>
      </c>
      <c r="I782" s="3" t="s">
        <v>41</v>
      </c>
      <c r="J782" s="3" t="s">
        <v>2226</v>
      </c>
      <c r="K782" s="3" t="s">
        <v>1901</v>
      </c>
      <c r="L782" s="3" t="s">
        <v>1450</v>
      </c>
      <c r="M782" s="3" t="s">
        <v>1901</v>
      </c>
      <c r="N782" s="3" t="s">
        <v>1425</v>
      </c>
      <c r="O782" s="3">
        <v>1.0</v>
      </c>
    </row>
    <row r="783" ht="15.75" customHeight="1">
      <c r="A783" s="3" t="s">
        <v>4723</v>
      </c>
      <c r="B783" s="3" t="s">
        <v>4724</v>
      </c>
      <c r="C783" s="3" t="s">
        <v>4725</v>
      </c>
      <c r="D783" s="3" t="s">
        <v>4726</v>
      </c>
      <c r="E783" s="3" t="str">
        <f>IFERROR(__xludf.DUMMYFUNCTION("GOOGLETRANSLATE($D783,""EN"",""RU"")")," Замок")</f>
        <v> Замок</v>
      </c>
      <c r="F783" s="3" t="s">
        <v>2127</v>
      </c>
      <c r="G783" s="3" t="s">
        <v>41</v>
      </c>
      <c r="H783" s="3" t="s">
        <v>2226</v>
      </c>
      <c r="I783" s="3" t="s">
        <v>2226</v>
      </c>
      <c r="J783" s="3" t="s">
        <v>41</v>
      </c>
      <c r="K783" s="3" t="s">
        <v>1901</v>
      </c>
      <c r="L783" s="3" t="s">
        <v>1901</v>
      </c>
      <c r="M783" s="3" t="s">
        <v>1450</v>
      </c>
      <c r="N783" s="3" t="s">
        <v>1675</v>
      </c>
      <c r="O783" s="3">
        <v>2.0</v>
      </c>
    </row>
    <row r="784" ht="15.75" customHeight="1">
      <c r="A784" s="3" t="s">
        <v>4727</v>
      </c>
      <c r="B784" s="3" t="s">
        <v>4728</v>
      </c>
      <c r="C784" s="3" t="s">
        <v>4729</v>
      </c>
      <c r="D784" s="3" t="s">
        <v>4730</v>
      </c>
      <c r="E784" s="3" t="str">
        <f>IFERROR(__xludf.DUMMYFUNCTION("GOOGLETRANSLATE($D784,""EN"",""RU"")")," Церковь")</f>
        <v> Церковь</v>
      </c>
      <c r="F784" s="3" t="s">
        <v>2127</v>
      </c>
      <c r="G784" s="3" t="s">
        <v>41</v>
      </c>
      <c r="H784" s="3" t="s">
        <v>15</v>
      </c>
      <c r="I784" s="3" t="s">
        <v>2226</v>
      </c>
      <c r="J784" s="3" t="s">
        <v>28</v>
      </c>
      <c r="K784" s="3" t="s">
        <v>2378</v>
      </c>
      <c r="L784" s="3" t="s">
        <v>1901</v>
      </c>
      <c r="M784" s="3" t="s">
        <v>1675</v>
      </c>
      <c r="N784" s="3" t="s">
        <v>2632</v>
      </c>
      <c r="O784" s="3">
        <v>2.0</v>
      </c>
    </row>
    <row r="785" ht="15.75" customHeight="1">
      <c r="A785" s="3" t="s">
        <v>4731</v>
      </c>
      <c r="B785" s="3" t="s">
        <v>4732</v>
      </c>
      <c r="C785" s="3" t="s">
        <v>4733</v>
      </c>
      <c r="D785" s="3" t="s">
        <v>4734</v>
      </c>
      <c r="E785" s="3" t="str">
        <f>IFERROR(__xludf.DUMMYFUNCTION("GOOGLETRANSLATE($D785,""EN"",""RU"")")," Принц")</f>
        <v> Принц</v>
      </c>
      <c r="F785" s="3" t="s">
        <v>2649</v>
      </c>
      <c r="G785" s="3" t="s">
        <v>41</v>
      </c>
      <c r="H785" s="3" t="s">
        <v>2226</v>
      </c>
      <c r="I785" s="3" t="s">
        <v>2226</v>
      </c>
      <c r="J785" s="3" t="s">
        <v>41</v>
      </c>
      <c r="K785" s="3" t="s">
        <v>1901</v>
      </c>
      <c r="L785" s="3" t="s">
        <v>1901</v>
      </c>
      <c r="M785" s="3" t="s">
        <v>1450</v>
      </c>
      <c r="N785" s="3" t="s">
        <v>1675</v>
      </c>
      <c r="O785" s="3">
        <v>2.0</v>
      </c>
    </row>
    <row r="786" ht="15.75" customHeight="1">
      <c r="A786" s="3" t="s">
        <v>4735</v>
      </c>
      <c r="B786" s="3" t="s">
        <v>4736</v>
      </c>
      <c r="C786" s="3" t="s">
        <v>4737</v>
      </c>
      <c r="D786" s="3" t="s">
        <v>4738</v>
      </c>
      <c r="E786" s="3" t="str">
        <f>IFERROR(__xludf.DUMMYFUNCTION("GOOGLETRANSLATE($D786,""EN"",""RU"")")," Сторожить")</f>
        <v> Сторожить</v>
      </c>
      <c r="F786" s="3" t="s">
        <v>2649</v>
      </c>
      <c r="G786" s="3" t="s">
        <v>41</v>
      </c>
      <c r="H786" s="3" t="s">
        <v>2226</v>
      </c>
      <c r="I786" s="3" t="s">
        <v>2226</v>
      </c>
      <c r="J786" s="3" t="s">
        <v>41</v>
      </c>
      <c r="K786" s="3" t="s">
        <v>1901</v>
      </c>
      <c r="L786" s="3" t="s">
        <v>1901</v>
      </c>
      <c r="M786" s="3" t="s">
        <v>1450</v>
      </c>
      <c r="N786" s="3" t="s">
        <v>1675</v>
      </c>
      <c r="O786" s="3">
        <v>2.0</v>
      </c>
    </row>
    <row r="787" ht="15.75" customHeight="1">
      <c r="A787" s="3" t="s">
        <v>4739</v>
      </c>
      <c r="B787" s="3" t="s">
        <v>4740</v>
      </c>
      <c r="C787" s="3" t="s">
        <v>4741</v>
      </c>
      <c r="D787" s="3" t="s">
        <v>4742</v>
      </c>
      <c r="E787" s="3" t="str">
        <f>IFERROR(__xludf.DUMMYFUNCTION("GOOGLETRANSLATE($D787,""EN"",""RU"")")," Восемь тридцать")</f>
        <v> Восемь тридцать</v>
      </c>
      <c r="F787" s="3" t="s">
        <v>358</v>
      </c>
      <c r="G787" s="3" t="s">
        <v>41</v>
      </c>
      <c r="H787" s="3" t="s">
        <v>2226</v>
      </c>
      <c r="I787" s="3" t="s">
        <v>28</v>
      </c>
      <c r="J787" s="3" t="s">
        <v>15</v>
      </c>
      <c r="K787" s="3" t="s">
        <v>1901</v>
      </c>
      <c r="L787" s="3" t="s">
        <v>1675</v>
      </c>
      <c r="M787" s="3" t="s">
        <v>2378</v>
      </c>
      <c r="N787" s="3" t="s">
        <v>1901</v>
      </c>
      <c r="O787" s="3">
        <v>2.0</v>
      </c>
    </row>
    <row r="788" ht="15.75" customHeight="1">
      <c r="A788" s="3" t="s">
        <v>4743</v>
      </c>
      <c r="B788" s="3" t="s">
        <v>4744</v>
      </c>
      <c r="C788" s="3" t="s">
        <v>4745</v>
      </c>
      <c r="D788" s="3" t="s">
        <v>4746</v>
      </c>
      <c r="E788" s="3" t="str">
        <f>IFERROR(__xludf.DUMMYFUNCTION("GOOGLETRANSLATE($D788,""EN"",""RU"")")," Корзина")</f>
        <v> Корзина</v>
      </c>
      <c r="F788" s="3" t="s">
        <v>358</v>
      </c>
      <c r="G788" s="3" t="s">
        <v>41</v>
      </c>
      <c r="H788" s="3" t="s">
        <v>2226</v>
      </c>
      <c r="I788" s="3" t="s">
        <v>41</v>
      </c>
      <c r="J788" s="3" t="s">
        <v>2226</v>
      </c>
      <c r="K788" s="3" t="s">
        <v>1901</v>
      </c>
      <c r="L788" s="3" t="s">
        <v>1450</v>
      </c>
      <c r="M788" s="3" t="s">
        <v>1901</v>
      </c>
      <c r="N788" s="3" t="s">
        <v>1425</v>
      </c>
      <c r="O788" s="3">
        <v>1.0</v>
      </c>
    </row>
    <row r="789" ht="15.75" customHeight="1">
      <c r="A789" s="3" t="s">
        <v>4747</v>
      </c>
      <c r="B789" s="3" t="s">
        <v>4748</v>
      </c>
      <c r="C789" s="3" t="s">
        <v>4749</v>
      </c>
      <c r="D789" s="3" t="s">
        <v>4750</v>
      </c>
      <c r="E789" s="3" t="str">
        <f>IFERROR(__xludf.DUMMYFUNCTION("GOOGLETRANSLATE($D789,""EN"",""RU"")")," Медаль за 3-е место")</f>
        <v> Медаль за 3-е место</v>
      </c>
      <c r="F789" s="3" t="s">
        <v>358</v>
      </c>
      <c r="G789" s="3" t="s">
        <v>41</v>
      </c>
      <c r="H789" s="3" t="s">
        <v>2226</v>
      </c>
      <c r="I789" s="3" t="s">
        <v>2226</v>
      </c>
      <c r="J789" s="3" t="s">
        <v>41</v>
      </c>
      <c r="K789" s="3" t="s">
        <v>1901</v>
      </c>
      <c r="L789" s="3" t="s">
        <v>1901</v>
      </c>
      <c r="M789" s="3" t="s">
        <v>1450</v>
      </c>
      <c r="N789" s="3" t="s">
        <v>1675</v>
      </c>
      <c r="O789" s="3">
        <v>2.0</v>
      </c>
    </row>
    <row r="790" ht="15.75" customHeight="1">
      <c r="A790" s="3" t="s">
        <v>4751</v>
      </c>
      <c r="B790" s="3" t="s">
        <v>4752</v>
      </c>
      <c r="C790" s="3" t="s">
        <v>4753</v>
      </c>
      <c r="D790" s="3" t="s">
        <v>4754</v>
      </c>
      <c r="E790" s="3" t="str">
        <f>IFERROR(__xludf.DUMMYFUNCTION("GOOGLETRANSLATE($D790,""EN"",""RU"")")," Фильм Кадры")</f>
        <v> Фильм Кадры</v>
      </c>
      <c r="F790" s="3" t="s">
        <v>358</v>
      </c>
      <c r="G790" s="3" t="s">
        <v>41</v>
      </c>
      <c r="H790" s="3" t="s">
        <v>15</v>
      </c>
      <c r="I790" s="3" t="s">
        <v>28</v>
      </c>
      <c r="J790" s="3" t="s">
        <v>2226</v>
      </c>
      <c r="K790" s="3" t="s">
        <v>2378</v>
      </c>
      <c r="L790" s="3" t="s">
        <v>1675</v>
      </c>
      <c r="M790" s="3" t="s">
        <v>1901</v>
      </c>
      <c r="N790" s="3" t="s">
        <v>3475</v>
      </c>
      <c r="O790" s="3">
        <v>0.0</v>
      </c>
    </row>
    <row r="791" ht="15.75" customHeight="1">
      <c r="A791" s="3" t="s">
        <v>4755</v>
      </c>
      <c r="B791" s="3" t="s">
        <v>4756</v>
      </c>
      <c r="C791" s="3" t="s">
        <v>4757</v>
      </c>
      <c r="D791" s="3" t="s">
        <v>4758</v>
      </c>
      <c r="E791" s="3" t="str">
        <f>IFERROR(__xludf.DUMMYFUNCTION("GOOGLETRANSLATE($D791,""EN"",""RU"")")," Гоночный автомобиль")</f>
        <v> Гоночный автомобиль</v>
      </c>
      <c r="F791" s="3" t="s">
        <v>358</v>
      </c>
      <c r="G791" s="3" t="s">
        <v>41</v>
      </c>
      <c r="H791" s="3" t="s">
        <v>2226</v>
      </c>
      <c r="I791" s="3" t="s">
        <v>28</v>
      </c>
      <c r="J791" s="3" t="s">
        <v>15</v>
      </c>
      <c r="K791" s="3" t="s">
        <v>1901</v>
      </c>
      <c r="L791" s="3" t="s">
        <v>1675</v>
      </c>
      <c r="M791" s="3" t="s">
        <v>2378</v>
      </c>
      <c r="N791" s="3" t="s">
        <v>1901</v>
      </c>
      <c r="O791" s="3">
        <v>2.0</v>
      </c>
    </row>
    <row r="792" ht="15.75" customHeight="1">
      <c r="A792" s="3" t="s">
        <v>4759</v>
      </c>
      <c r="B792" s="3" t="s">
        <v>4760</v>
      </c>
      <c r="C792" s="3" t="s">
        <v>4761</v>
      </c>
      <c r="D792" s="3" t="s">
        <v>4762</v>
      </c>
      <c r="E792" s="3" t="str">
        <f>IFERROR(__xludf.DUMMYFUNCTION("GOOGLETRANSLATE($D792,""EN"",""RU"")")," Большой теннис")</f>
        <v> Большой теннис</v>
      </c>
      <c r="F792" s="3" t="s">
        <v>358</v>
      </c>
      <c r="G792" s="3" t="s">
        <v>41</v>
      </c>
      <c r="H792" s="3" t="s">
        <v>15</v>
      </c>
      <c r="I792" s="3" t="s">
        <v>15</v>
      </c>
      <c r="J792" s="3" t="s">
        <v>15</v>
      </c>
      <c r="K792" s="3" t="s">
        <v>2378</v>
      </c>
      <c r="L792" s="3" t="s">
        <v>2378</v>
      </c>
      <c r="M792" s="3" t="s">
        <v>2378</v>
      </c>
      <c r="N792" s="3" t="s">
        <v>1425</v>
      </c>
      <c r="O792" s="3">
        <v>1.0</v>
      </c>
    </row>
    <row r="793" ht="15.75" customHeight="1">
      <c r="A793" s="3" t="s">
        <v>4763</v>
      </c>
      <c r="B793" s="3" t="s">
        <v>4764</v>
      </c>
      <c r="C793" s="3" t="s">
        <v>4765</v>
      </c>
      <c r="D793" s="3" t="s">
        <v>4766</v>
      </c>
      <c r="E793" s="3" t="str">
        <f>IFERROR(__xludf.DUMMYFUNCTION("GOOGLETRANSLATE($D793,""EN"",""RU"")")," Фонарик")</f>
        <v> Фонарик</v>
      </c>
      <c r="F793" s="3" t="s">
        <v>358</v>
      </c>
      <c r="G793" s="3" t="s">
        <v>41</v>
      </c>
      <c r="H793" s="3" t="s">
        <v>2226</v>
      </c>
      <c r="I793" s="3" t="s">
        <v>28</v>
      </c>
      <c r="J793" s="3" t="s">
        <v>15</v>
      </c>
      <c r="K793" s="3" t="s">
        <v>1901</v>
      </c>
      <c r="L793" s="3" t="s">
        <v>1675</v>
      </c>
      <c r="M793" s="3" t="s">
        <v>2378</v>
      </c>
      <c r="N793" s="3" t="s">
        <v>1901</v>
      </c>
      <c r="O793" s="3">
        <v>2.0</v>
      </c>
    </row>
    <row r="794" ht="15.75" customHeight="1">
      <c r="A794" s="3" t="s">
        <v>4767</v>
      </c>
      <c r="B794" s="3" t="s">
        <v>4768</v>
      </c>
      <c r="C794" s="3" t="s">
        <v>4769</v>
      </c>
      <c r="D794" s="3" t="s">
        <v>4770</v>
      </c>
      <c r="E794" s="3" t="str">
        <f>IFERROR(__xludf.DUMMYFUNCTION("GOOGLETRANSLATE($D794,""EN"",""RU"")")," Встречная полицейская машина")</f>
        <v> Встречная полицейская машина</v>
      </c>
      <c r="F794" s="3" t="s">
        <v>358</v>
      </c>
      <c r="G794" s="3" t="s">
        <v>41</v>
      </c>
      <c r="H794" s="3" t="s">
        <v>15</v>
      </c>
      <c r="I794" s="3" t="s">
        <v>15</v>
      </c>
      <c r="J794" s="3" t="s">
        <v>15</v>
      </c>
      <c r="K794" s="3" t="s">
        <v>2378</v>
      </c>
      <c r="L794" s="3" t="s">
        <v>2378</v>
      </c>
      <c r="M794" s="3" t="s">
        <v>2378</v>
      </c>
      <c r="N794" s="3" t="s">
        <v>1425</v>
      </c>
      <c r="O794" s="3">
        <v>1.0</v>
      </c>
    </row>
    <row r="795" ht="15.75" customHeight="1">
      <c r="A795" s="3" t="s">
        <v>4771</v>
      </c>
      <c r="B795" s="3" t="s">
        <v>4772</v>
      </c>
      <c r="C795" s="3" t="s">
        <v>4773</v>
      </c>
      <c r="D795" s="3" t="s">
        <v>4774</v>
      </c>
      <c r="E795" s="3" t="str">
        <f>IFERROR(__xludf.DUMMYFUNCTION("GOOGLETRANSLATE($D795,""EN"",""RU"")")," Рис карри")</f>
        <v> Рис карри</v>
      </c>
      <c r="F795" s="3" t="s">
        <v>1510</v>
      </c>
      <c r="G795" s="3" t="s">
        <v>41</v>
      </c>
      <c r="H795" s="3" t="s">
        <v>2226</v>
      </c>
      <c r="I795" s="3" t="s">
        <v>41</v>
      </c>
      <c r="J795" s="3" t="s">
        <v>2226</v>
      </c>
      <c r="K795" s="3" t="s">
        <v>1901</v>
      </c>
      <c r="L795" s="3" t="s">
        <v>1450</v>
      </c>
      <c r="M795" s="3" t="s">
        <v>1901</v>
      </c>
      <c r="N795" s="3" t="s">
        <v>1425</v>
      </c>
      <c r="O795" s="3">
        <v>1.0</v>
      </c>
    </row>
    <row r="796" ht="15.75" customHeight="1">
      <c r="A796" s="3" t="s">
        <v>4775</v>
      </c>
      <c r="B796" s="3" t="s">
        <v>4776</v>
      </c>
      <c r="C796" s="3" t="s">
        <v>4777</v>
      </c>
      <c r="D796" s="3" t="s">
        <v>4778</v>
      </c>
      <c r="E796" s="3" t="str">
        <f>IFERROR(__xludf.DUMMYFUNCTION("GOOGLETRANSLATE($D796,""EN"",""RU"")")," Боксерская перчатка")</f>
        <v> Боксерская перчатка</v>
      </c>
      <c r="F796" s="3" t="s">
        <v>358</v>
      </c>
      <c r="G796" s="3" t="s">
        <v>41</v>
      </c>
      <c r="H796" s="3" t="s">
        <v>28</v>
      </c>
      <c r="I796" s="3" t="s">
        <v>2226</v>
      </c>
      <c r="J796" s="3" t="s">
        <v>15</v>
      </c>
      <c r="K796" s="3" t="s">
        <v>1675</v>
      </c>
      <c r="L796" s="3" t="s">
        <v>1901</v>
      </c>
      <c r="M796" s="3" t="s">
        <v>2378</v>
      </c>
      <c r="N796" s="3" t="s">
        <v>4779</v>
      </c>
      <c r="O796" s="3">
        <v>0.0</v>
      </c>
    </row>
    <row r="797" ht="15.75" customHeight="1">
      <c r="A797" s="3" t="s">
        <v>4780</v>
      </c>
      <c r="B797" s="3" t="s">
        <v>4781</v>
      </c>
      <c r="C797" s="3" t="s">
        <v>4782</v>
      </c>
      <c r="D797" s="3" t="s">
        <v>4783</v>
      </c>
      <c r="E797" s="3" t="str">
        <f>IFERROR(__xludf.DUMMYFUNCTION("GOOGLETRANSLATE($D797,""EN"",""RU"")")," Вертикальный светофор")</f>
        <v> Вертикальный светофор</v>
      </c>
      <c r="F797" s="3" t="s">
        <v>358</v>
      </c>
      <c r="G797" s="3" t="s">
        <v>41</v>
      </c>
      <c r="H797" s="3" t="s">
        <v>28</v>
      </c>
      <c r="I797" s="3" t="s">
        <v>15</v>
      </c>
      <c r="J797" s="3" t="s">
        <v>2226</v>
      </c>
      <c r="K797" s="3" t="s">
        <v>1675</v>
      </c>
      <c r="L797" s="3" t="s">
        <v>2378</v>
      </c>
      <c r="M797" s="3" t="s">
        <v>1901</v>
      </c>
      <c r="N797" s="3" t="s">
        <v>3528</v>
      </c>
      <c r="O797" s="3">
        <v>0.0</v>
      </c>
    </row>
    <row r="798" ht="15.75" customHeight="1">
      <c r="A798" s="3" t="s">
        <v>4784</v>
      </c>
      <c r="B798" s="3" t="s">
        <v>4785</v>
      </c>
      <c r="C798" s="3" t="s">
        <v>4786</v>
      </c>
      <c r="D798" s="3" t="s">
        <v>4787</v>
      </c>
      <c r="E798" s="3" t="str">
        <f>IFERROR(__xludf.DUMMYFUNCTION("GOOGLETRANSLATE($D798,""EN"",""RU"")")," Ложка")</f>
        <v> Ложка</v>
      </c>
      <c r="F798" s="3" t="s">
        <v>358</v>
      </c>
      <c r="G798" s="3" t="s">
        <v>41</v>
      </c>
      <c r="H798" s="3" t="s">
        <v>28</v>
      </c>
      <c r="I798" s="3" t="s">
        <v>2226</v>
      </c>
      <c r="J798" s="3" t="s">
        <v>15</v>
      </c>
      <c r="K798" s="3" t="s">
        <v>1675</v>
      </c>
      <c r="L798" s="3" t="s">
        <v>1901</v>
      </c>
      <c r="M798" s="3" t="s">
        <v>2378</v>
      </c>
      <c r="N798" s="3" t="s">
        <v>4779</v>
      </c>
      <c r="O798" s="3">
        <v>0.0</v>
      </c>
    </row>
    <row r="799" ht="15.75" customHeight="1">
      <c r="A799" s="3" t="s">
        <v>4788</v>
      </c>
      <c r="B799" s="3" t="s">
        <v>4789</v>
      </c>
      <c r="C799" s="3" t="s">
        <v>4790</v>
      </c>
      <c r="D799" s="3" t="s">
        <v>4791</v>
      </c>
      <c r="E799" s="3" t="str">
        <f>IFERROR(__xludf.DUMMYFUNCTION("GOOGLETRANSLATE($D799,""EN"",""RU"")")," Галстук")</f>
        <v> Галстук</v>
      </c>
      <c r="F799" s="3" t="s">
        <v>358</v>
      </c>
      <c r="G799" s="3" t="s">
        <v>41</v>
      </c>
      <c r="H799" s="3" t="s">
        <v>41</v>
      </c>
      <c r="I799" s="3" t="s">
        <v>2226</v>
      </c>
      <c r="J799" s="3" t="s">
        <v>2226</v>
      </c>
      <c r="K799" s="3" t="s">
        <v>1450</v>
      </c>
      <c r="L799" s="3" t="s">
        <v>1901</v>
      </c>
      <c r="M799" s="3" t="s">
        <v>1901</v>
      </c>
      <c r="N799" s="3" t="s">
        <v>4792</v>
      </c>
      <c r="O799" s="3">
        <v>0.0</v>
      </c>
    </row>
    <row r="800" ht="15.75" customHeight="1">
      <c r="A800" s="3" t="s">
        <v>4793</v>
      </c>
      <c r="B800" s="3" t="s">
        <v>4794</v>
      </c>
      <c r="C800" s="3" t="s">
        <v>4795</v>
      </c>
      <c r="D800" s="3" t="s">
        <v>4796</v>
      </c>
      <c r="E800" s="3" t="str">
        <f>IFERROR(__xludf.DUMMYFUNCTION("GOOGLETRANSLATE($D800,""EN"",""RU"")")," Красный бумажный фонарь")</f>
        <v> Красный бумажный фонарь</v>
      </c>
      <c r="F800" s="3" t="s">
        <v>358</v>
      </c>
      <c r="G800" s="3" t="s">
        <v>41</v>
      </c>
      <c r="H800" s="3" t="s">
        <v>2226</v>
      </c>
      <c r="I800" s="3" t="s">
        <v>41</v>
      </c>
      <c r="J800" s="3" t="s">
        <v>2226</v>
      </c>
      <c r="K800" s="3" t="s">
        <v>1901</v>
      </c>
      <c r="L800" s="3" t="s">
        <v>1450</v>
      </c>
      <c r="M800" s="3" t="s">
        <v>1901</v>
      </c>
      <c r="N800" s="3" t="s">
        <v>1425</v>
      </c>
      <c r="O800" s="3">
        <v>1.0</v>
      </c>
    </row>
    <row r="801" ht="15.75" customHeight="1">
      <c r="A801" s="3" t="s">
        <v>4797</v>
      </c>
      <c r="B801" s="3" t="s">
        <v>4798</v>
      </c>
      <c r="C801" s="3" t="s">
        <v>4799</v>
      </c>
      <c r="D801" s="3" t="s">
        <v>4800</v>
      </c>
      <c r="E801" s="3" t="str">
        <f>IFERROR(__xludf.DUMMYFUNCTION("GOOGLETRANSLATE($D801,""EN"",""RU"")")," Пять часов")</f>
        <v> Пять часов</v>
      </c>
      <c r="F801" s="3" t="s">
        <v>358</v>
      </c>
      <c r="G801" s="3" t="s">
        <v>41</v>
      </c>
      <c r="H801" s="3" t="s">
        <v>28</v>
      </c>
      <c r="I801" s="3" t="s">
        <v>2226</v>
      </c>
      <c r="J801" s="3" t="s">
        <v>15</v>
      </c>
      <c r="K801" s="3" t="s">
        <v>1675</v>
      </c>
      <c r="L801" s="3" t="s">
        <v>1901</v>
      </c>
      <c r="M801" s="3" t="s">
        <v>2378</v>
      </c>
      <c r="N801" s="3" t="s">
        <v>4779</v>
      </c>
      <c r="O801" s="3">
        <v>0.0</v>
      </c>
    </row>
    <row r="802" ht="15.75" customHeight="1">
      <c r="A802" s="3" t="s">
        <v>4801</v>
      </c>
      <c r="B802" s="3" t="s">
        <v>4802</v>
      </c>
      <c r="C802" s="3" t="s">
        <v>4803</v>
      </c>
      <c r="D802" s="3" t="s">
        <v>4804</v>
      </c>
      <c r="E802" s="3" t="str">
        <f>IFERROR(__xludf.DUMMYFUNCTION("GOOGLETRANSLATE($D802,""EN"",""RU"")")," Два часа")</f>
        <v> Два часа</v>
      </c>
      <c r="F802" s="3" t="s">
        <v>358</v>
      </c>
      <c r="G802" s="3" t="s">
        <v>41</v>
      </c>
      <c r="H802" s="3" t="s">
        <v>15</v>
      </c>
      <c r="I802" s="3" t="s">
        <v>2226</v>
      </c>
      <c r="J802" s="3" t="s">
        <v>28</v>
      </c>
      <c r="K802" s="3" t="s">
        <v>2378</v>
      </c>
      <c r="L802" s="3" t="s">
        <v>1901</v>
      </c>
      <c r="M802" s="3" t="s">
        <v>1675</v>
      </c>
      <c r="N802" s="3" t="s">
        <v>2632</v>
      </c>
      <c r="O802" s="3">
        <v>2.0</v>
      </c>
    </row>
    <row r="803" ht="15.75" customHeight="1">
      <c r="A803" s="3" t="s">
        <v>515</v>
      </c>
      <c r="B803" s="3" t="s">
        <v>4805</v>
      </c>
      <c r="C803" s="3" t="s">
        <v>4806</v>
      </c>
      <c r="D803" s="3" t="s">
        <v>4807</v>
      </c>
      <c r="E803" s="3" t="str">
        <f>IFERROR(__xludf.DUMMYFUNCTION("GOOGLETRANSLATE($D803,""EN"",""RU"")")," Трактор")</f>
        <v> Трактор</v>
      </c>
      <c r="F803" s="3" t="s">
        <v>358</v>
      </c>
      <c r="G803" s="3" t="s">
        <v>41</v>
      </c>
      <c r="H803" s="3" t="s">
        <v>15</v>
      </c>
      <c r="I803" s="3" t="s">
        <v>28</v>
      </c>
      <c r="J803" s="3" t="s">
        <v>2226</v>
      </c>
      <c r="K803" s="3" t="s">
        <v>2378</v>
      </c>
      <c r="L803" s="3" t="s">
        <v>1675</v>
      </c>
      <c r="M803" s="3" t="s">
        <v>1901</v>
      </c>
      <c r="N803" s="3" t="s">
        <v>3475</v>
      </c>
      <c r="O803" s="3">
        <v>0.0</v>
      </c>
    </row>
    <row r="804" ht="15.75" customHeight="1">
      <c r="A804" s="3" t="s">
        <v>4808</v>
      </c>
      <c r="B804" s="3" t="s">
        <v>4809</v>
      </c>
      <c r="C804" s="3" t="s">
        <v>4810</v>
      </c>
      <c r="D804" s="3" t="s">
        <v>4811</v>
      </c>
      <c r="E804" s="3" t="str">
        <f>IFERROR(__xludf.DUMMYFUNCTION("GOOGLETRANSLATE($D804,""EN"",""RU"")")," Гроб")</f>
        <v> Гроб</v>
      </c>
      <c r="F804" s="3" t="s">
        <v>358</v>
      </c>
      <c r="G804" s="3" t="s">
        <v>41</v>
      </c>
      <c r="H804" s="3" t="s">
        <v>28</v>
      </c>
      <c r="I804" s="3" t="s">
        <v>15</v>
      </c>
      <c r="J804" s="3" t="s">
        <v>2226</v>
      </c>
      <c r="K804" s="3" t="s">
        <v>1675</v>
      </c>
      <c r="L804" s="3" t="s">
        <v>2378</v>
      </c>
      <c r="M804" s="3" t="s">
        <v>1901</v>
      </c>
      <c r="N804" s="3" t="s">
        <v>3528</v>
      </c>
      <c r="O804" s="3">
        <v>0.0</v>
      </c>
    </row>
    <row r="805" ht="15.75" customHeight="1">
      <c r="A805" s="3" t="s">
        <v>4812</v>
      </c>
      <c r="B805" s="3" t="s">
        <v>4813</v>
      </c>
      <c r="C805" s="3" t="s">
        <v>4814</v>
      </c>
      <c r="D805" s="3" t="s">
        <v>4815</v>
      </c>
      <c r="E805" s="3" t="str">
        <f>IFERROR(__xludf.DUMMYFUNCTION("GOOGLETRANSLATE($D805,""EN"",""RU"")")," Увеличительное стекло наклонено влево")</f>
        <v> Увеличительное стекло наклонено влево</v>
      </c>
      <c r="F805" s="3" t="s">
        <v>358</v>
      </c>
      <c r="G805" s="3" t="s">
        <v>41</v>
      </c>
      <c r="H805" s="3" t="s">
        <v>2226</v>
      </c>
      <c r="I805" s="3" t="s">
        <v>41</v>
      </c>
      <c r="J805" s="3" t="s">
        <v>2226</v>
      </c>
      <c r="K805" s="3" t="s">
        <v>1901</v>
      </c>
      <c r="L805" s="3" t="s">
        <v>1450</v>
      </c>
      <c r="M805" s="3" t="s">
        <v>1901</v>
      </c>
      <c r="N805" s="3" t="s">
        <v>1425</v>
      </c>
      <c r="O805" s="3">
        <v>1.0</v>
      </c>
    </row>
    <row r="806" ht="15.75" customHeight="1">
      <c r="A806" s="3" t="s">
        <v>760</v>
      </c>
      <c r="B806" s="3" t="s">
        <v>4816</v>
      </c>
      <c r="C806" s="3" t="s">
        <v>4817</v>
      </c>
      <c r="D806" s="3" t="s">
        <v>4818</v>
      </c>
      <c r="E806" s="3" t="str">
        <f>IFERROR(__xludf.DUMMYFUNCTION("GOOGLETRANSLATE($D806,""EN"",""RU"")")," Женская одежда")</f>
        <v> Женская одежда</v>
      </c>
      <c r="F806" s="3" t="s">
        <v>358</v>
      </c>
      <c r="G806" s="3" t="s">
        <v>41</v>
      </c>
      <c r="H806" s="3" t="s">
        <v>41</v>
      </c>
      <c r="I806" s="3" t="s">
        <v>2226</v>
      </c>
      <c r="J806" s="3" t="s">
        <v>2226</v>
      </c>
      <c r="K806" s="3" t="s">
        <v>1450</v>
      </c>
      <c r="L806" s="3" t="s">
        <v>1901</v>
      </c>
      <c r="M806" s="3" t="s">
        <v>1901</v>
      </c>
      <c r="N806" s="3" t="s">
        <v>4792</v>
      </c>
      <c r="O806" s="3">
        <v>0.0</v>
      </c>
    </row>
    <row r="807" ht="15.75" customHeight="1">
      <c r="A807" s="3" t="s">
        <v>4819</v>
      </c>
      <c r="B807" s="3" t="s">
        <v>4820</v>
      </c>
      <c r="C807" s="3" t="s">
        <v>4821</v>
      </c>
      <c r="D807" s="3" t="s">
        <v>4822</v>
      </c>
      <c r="E807" s="3" t="str">
        <f>IFERROR(__xludf.DUMMYFUNCTION("GOOGLETRANSLATE($D807,""EN"",""RU"")")," Душ")</f>
        <v> Душ</v>
      </c>
      <c r="F807" s="3" t="s">
        <v>358</v>
      </c>
      <c r="G807" s="3" t="s">
        <v>41</v>
      </c>
      <c r="H807" s="3" t="s">
        <v>28</v>
      </c>
      <c r="I807" s="3" t="s">
        <v>2226</v>
      </c>
      <c r="J807" s="3" t="s">
        <v>15</v>
      </c>
      <c r="K807" s="3" t="s">
        <v>1675</v>
      </c>
      <c r="L807" s="3" t="s">
        <v>1901</v>
      </c>
      <c r="M807" s="3" t="s">
        <v>2378</v>
      </c>
      <c r="N807" s="3" t="s">
        <v>4779</v>
      </c>
      <c r="O807" s="3">
        <v>0.0</v>
      </c>
    </row>
    <row r="808" ht="15.75" customHeight="1">
      <c r="A808" s="3" t="s">
        <v>4823</v>
      </c>
      <c r="B808" s="3" t="s">
        <v>4824</v>
      </c>
      <c r="C808" s="3" t="s">
        <v>4825</v>
      </c>
      <c r="D808" s="3" t="s">
        <v>4826</v>
      </c>
      <c r="E808" s="3" t="str">
        <f>IFERROR(__xludf.DUMMYFUNCTION("GOOGLETRANSLATE($D808,""EN"",""RU"")")," Упаковка")</f>
        <v> Упаковка</v>
      </c>
      <c r="F808" s="3" t="s">
        <v>358</v>
      </c>
      <c r="G808" s="3" t="s">
        <v>41</v>
      </c>
      <c r="H808" s="3" t="s">
        <v>15</v>
      </c>
      <c r="I808" s="3" t="s">
        <v>28</v>
      </c>
      <c r="J808" s="3" t="s">
        <v>2226</v>
      </c>
      <c r="K808" s="3" t="s">
        <v>2378</v>
      </c>
      <c r="L808" s="3" t="s">
        <v>1675</v>
      </c>
      <c r="M808" s="3" t="s">
        <v>1901</v>
      </c>
      <c r="N808" s="3" t="s">
        <v>3475</v>
      </c>
      <c r="O808" s="3">
        <v>0.0</v>
      </c>
    </row>
    <row r="809" ht="15.75" customHeight="1">
      <c r="A809" s="3" t="s">
        <v>4827</v>
      </c>
      <c r="B809" s="3" t="s">
        <v>4828</v>
      </c>
      <c r="C809" s="3" t="s">
        <v>4829</v>
      </c>
      <c r="D809" s="3" t="s">
        <v>4830</v>
      </c>
      <c r="E809" s="3" t="str">
        <f>IFERROR(__xludf.DUMMYFUNCTION("GOOGLETRANSLATE($D809,""EN"",""RU"")")," Джинсы")</f>
        <v> Джинсы</v>
      </c>
      <c r="F809" s="3" t="s">
        <v>358</v>
      </c>
      <c r="G809" s="3" t="s">
        <v>41</v>
      </c>
      <c r="H809" s="3" t="s">
        <v>28</v>
      </c>
      <c r="I809" s="3" t="s">
        <v>2226</v>
      </c>
      <c r="J809" s="3" t="s">
        <v>15</v>
      </c>
      <c r="K809" s="3" t="s">
        <v>1675</v>
      </c>
      <c r="L809" s="3" t="s">
        <v>1901</v>
      </c>
      <c r="M809" s="3" t="s">
        <v>2378</v>
      </c>
      <c r="N809" s="3" t="s">
        <v>4779</v>
      </c>
      <c r="O809" s="3">
        <v>0.0</v>
      </c>
    </row>
    <row r="810" ht="15.75" customHeight="1">
      <c r="A810" s="3" t="s">
        <v>4831</v>
      </c>
      <c r="B810" s="3" t="s">
        <v>4832</v>
      </c>
      <c r="C810" s="3" t="s">
        <v>4833</v>
      </c>
      <c r="D810" s="3" t="s">
        <v>4834</v>
      </c>
      <c r="E810" s="3" t="str">
        <f>IFERROR(__xludf.DUMMYFUNCTION("GOOGLETRANSLATE($D810,""EN"",""RU"")")," Ради")</f>
        <v> Ради</v>
      </c>
      <c r="F810" s="3" t="s">
        <v>1510</v>
      </c>
      <c r="G810" s="3" t="s">
        <v>41</v>
      </c>
      <c r="H810" s="3" t="s">
        <v>15</v>
      </c>
      <c r="I810" s="3" t="s">
        <v>15</v>
      </c>
      <c r="J810" s="3" t="s">
        <v>15</v>
      </c>
      <c r="K810" s="3" t="s">
        <v>2378</v>
      </c>
      <c r="L810" s="3" t="s">
        <v>2378</v>
      </c>
      <c r="M810" s="3" t="s">
        <v>2378</v>
      </c>
      <c r="N810" s="3" t="s">
        <v>1425</v>
      </c>
      <c r="O810" s="3">
        <v>1.0</v>
      </c>
    </row>
    <row r="811" ht="15.75" customHeight="1">
      <c r="A811" s="3" t="s">
        <v>4835</v>
      </c>
      <c r="B811" s="3" t="s">
        <v>4836</v>
      </c>
      <c r="C811" s="3" t="s">
        <v>4837</v>
      </c>
      <c r="D811" s="3" t="s">
        <v>4838</v>
      </c>
      <c r="E811" s="3" t="str">
        <f>IFERROR(__xludf.DUMMYFUNCTION("GOOGLETRANSLATE($D811,""EN"",""RU"")")," Суши")</f>
        <v> Суши</v>
      </c>
      <c r="F811" s="3" t="s">
        <v>1510</v>
      </c>
      <c r="G811" s="3" t="s">
        <v>41</v>
      </c>
      <c r="H811" s="3" t="s">
        <v>2226</v>
      </c>
      <c r="I811" s="3" t="s">
        <v>28</v>
      </c>
      <c r="J811" s="3" t="s">
        <v>15</v>
      </c>
      <c r="K811" s="3" t="s">
        <v>1901</v>
      </c>
      <c r="L811" s="3" t="s">
        <v>1675</v>
      </c>
      <c r="M811" s="3" t="s">
        <v>2378</v>
      </c>
      <c r="N811" s="3" t="s">
        <v>1901</v>
      </c>
      <c r="O811" s="3">
        <v>2.0</v>
      </c>
    </row>
    <row r="812" ht="15.75" customHeight="1">
      <c r="A812" s="3" t="s">
        <v>4839</v>
      </c>
      <c r="B812" s="3" t="s">
        <v>4840</v>
      </c>
      <c r="C812" s="3" t="s">
        <v>4841</v>
      </c>
      <c r="D812" s="3" t="s">
        <v>4842</v>
      </c>
      <c r="E812" s="3" t="str">
        <f>IFERROR(__xludf.DUMMYFUNCTION("GOOGLETRANSLATE($D812,""EN"",""RU"")")," Багет Хлеб")</f>
        <v> Багет Хлеб</v>
      </c>
      <c r="F812" s="3" t="s">
        <v>1510</v>
      </c>
      <c r="G812" s="3" t="s">
        <v>41</v>
      </c>
      <c r="H812" s="3" t="s">
        <v>2226</v>
      </c>
      <c r="I812" s="3" t="s">
        <v>15</v>
      </c>
      <c r="J812" s="3" t="s">
        <v>28</v>
      </c>
      <c r="K812" s="3" t="s">
        <v>1901</v>
      </c>
      <c r="L812" s="3" t="s">
        <v>2378</v>
      </c>
      <c r="M812" s="3" t="s">
        <v>1675</v>
      </c>
      <c r="N812" s="3" t="s">
        <v>2855</v>
      </c>
      <c r="O812" s="3">
        <v>2.0</v>
      </c>
    </row>
    <row r="813" ht="15.75" customHeight="1">
      <c r="A813" s="3" t="s">
        <v>4843</v>
      </c>
      <c r="B813" s="3" t="s">
        <v>4844</v>
      </c>
      <c r="C813" s="3" t="s">
        <v>4845</v>
      </c>
      <c r="D813" s="3" t="s">
        <v>4846</v>
      </c>
      <c r="E813" s="3" t="str">
        <f>IFERROR(__xludf.DUMMYFUNCTION("GOOGLETRANSLATE($D813,""EN"",""RU"")")," Растущая луна")</f>
        <v> Растущая луна</v>
      </c>
      <c r="F813" s="3" t="s">
        <v>81</v>
      </c>
      <c r="G813" s="3" t="s">
        <v>41</v>
      </c>
      <c r="H813" s="3" t="s">
        <v>2226</v>
      </c>
      <c r="I813" s="3" t="s">
        <v>15</v>
      </c>
      <c r="J813" s="3" t="s">
        <v>28</v>
      </c>
      <c r="K813" s="3" t="s">
        <v>1901</v>
      </c>
      <c r="L813" s="3" t="s">
        <v>2378</v>
      </c>
      <c r="M813" s="3" t="s">
        <v>1675</v>
      </c>
      <c r="N813" s="3" t="s">
        <v>2855</v>
      </c>
      <c r="O813" s="3">
        <v>2.0</v>
      </c>
    </row>
    <row r="814" ht="15.75" customHeight="1">
      <c r="A814" s="3" t="s">
        <v>749</v>
      </c>
      <c r="B814" s="3" t="s">
        <v>4847</v>
      </c>
      <c r="C814" s="3" t="s">
        <v>4848</v>
      </c>
      <c r="D814" s="3" t="s">
        <v>4849</v>
      </c>
      <c r="E814" s="3" t="str">
        <f>IFERROR(__xludf.DUMMYFUNCTION("GOOGLETRANSLATE($D814,""EN"",""RU"")")," Сырный клин")</f>
        <v> Сырный клин</v>
      </c>
      <c r="F814" s="3" t="s">
        <v>1510</v>
      </c>
      <c r="G814" s="3" t="s">
        <v>41</v>
      </c>
      <c r="H814" s="3" t="s">
        <v>2226</v>
      </c>
      <c r="I814" s="3" t="s">
        <v>41</v>
      </c>
      <c r="J814" s="3" t="s">
        <v>2226</v>
      </c>
      <c r="K814" s="3" t="s">
        <v>1901</v>
      </c>
      <c r="L814" s="3" t="s">
        <v>1450</v>
      </c>
      <c r="M814" s="3" t="s">
        <v>1901</v>
      </c>
      <c r="N814" s="3" t="s">
        <v>1425</v>
      </c>
      <c r="O814" s="3">
        <v>1.0</v>
      </c>
    </row>
    <row r="815" ht="15.75" customHeight="1">
      <c r="A815" s="3" t="s">
        <v>4850</v>
      </c>
      <c r="B815" s="3" t="s">
        <v>4851</v>
      </c>
      <c r="C815" s="3" t="s">
        <v>4852</v>
      </c>
      <c r="D815" s="3" t="s">
        <v>4853</v>
      </c>
      <c r="E815" s="3" t="str">
        <f>IFERROR(__xludf.DUMMYFUNCTION("GOOGLETRANSLATE($D815,""EN"",""RU"")")," Лицо обезьяны")</f>
        <v> Лицо обезьяны</v>
      </c>
      <c r="F815" s="3" t="s">
        <v>81</v>
      </c>
      <c r="G815" s="3" t="s">
        <v>41</v>
      </c>
      <c r="H815" s="3" t="s">
        <v>28</v>
      </c>
      <c r="I815" s="3" t="s">
        <v>15</v>
      </c>
      <c r="J815" s="3" t="s">
        <v>2226</v>
      </c>
      <c r="K815" s="3" t="s">
        <v>1675</v>
      </c>
      <c r="L815" s="3" t="s">
        <v>2378</v>
      </c>
      <c r="M815" s="3" t="s">
        <v>1901</v>
      </c>
      <c r="N815" s="3" t="s">
        <v>3528</v>
      </c>
      <c r="O815" s="3">
        <v>0.0</v>
      </c>
    </row>
    <row r="816" ht="15.75" customHeight="1">
      <c r="A816" s="3" t="s">
        <v>4854</v>
      </c>
      <c r="B816" s="3" t="s">
        <v>4855</v>
      </c>
      <c r="C816" s="3" t="s">
        <v>4856</v>
      </c>
      <c r="D816" s="3" t="s">
        <v>4857</v>
      </c>
      <c r="E816" s="3" t="str">
        <f>IFERROR(__xludf.DUMMYFUNCTION("GOOGLETRANSLATE($D816,""EN"",""RU"")")," Убывающая Луна")</f>
        <v> Убывающая Луна</v>
      </c>
      <c r="F816" s="3" t="s">
        <v>81</v>
      </c>
      <c r="G816" s="3" t="s">
        <v>41</v>
      </c>
      <c r="H816" s="3" t="s">
        <v>15</v>
      </c>
      <c r="I816" s="3" t="s">
        <v>2226</v>
      </c>
      <c r="J816" s="3" t="s">
        <v>28</v>
      </c>
      <c r="K816" s="3" t="s">
        <v>2378</v>
      </c>
      <c r="L816" s="3" t="s">
        <v>1901</v>
      </c>
      <c r="M816" s="3" t="s">
        <v>1675</v>
      </c>
      <c r="N816" s="3" t="s">
        <v>2632</v>
      </c>
      <c r="O816" s="3">
        <v>2.0</v>
      </c>
    </row>
    <row r="817" ht="15.75" customHeight="1">
      <c r="A817" s="3" t="s">
        <v>737</v>
      </c>
      <c r="B817" s="3" t="s">
        <v>4858</v>
      </c>
      <c r="C817" s="3" t="s">
        <v>4859</v>
      </c>
      <c r="D817" s="3" t="s">
        <v>4860</v>
      </c>
      <c r="E817" s="3" t="str">
        <f>IFERROR(__xludf.DUMMYFUNCTION("GOOGLETRANSLATE($D817,""EN"",""RU"")")," Лицо свиньи")</f>
        <v> Лицо свиньи</v>
      </c>
      <c r="F817" s="3" t="s">
        <v>81</v>
      </c>
      <c r="G817" s="3" t="s">
        <v>41</v>
      </c>
      <c r="H817" s="3" t="s">
        <v>28</v>
      </c>
      <c r="I817" s="3" t="s">
        <v>2226</v>
      </c>
      <c r="J817" s="3" t="s">
        <v>15</v>
      </c>
      <c r="K817" s="3" t="s">
        <v>1675</v>
      </c>
      <c r="L817" s="3" t="s">
        <v>1901</v>
      </c>
      <c r="M817" s="3" t="s">
        <v>2378</v>
      </c>
      <c r="N817" s="3" t="s">
        <v>4779</v>
      </c>
      <c r="O817" s="3">
        <v>0.0</v>
      </c>
    </row>
    <row r="818" ht="15.75" customHeight="1">
      <c r="A818" s="3" t="s">
        <v>4861</v>
      </c>
      <c r="B818" s="3" t="s">
        <v>4862</v>
      </c>
      <c r="C818" s="3" t="s">
        <v>4863</v>
      </c>
      <c r="D818" s="3" t="s">
        <v>4864</v>
      </c>
      <c r="E818" s="3" t="str">
        <f>IFERROR(__xludf.DUMMYFUNCTION("GOOGLETRANSLATE($D818,""EN"",""RU"")")," Первая четверть Луны")</f>
        <v> Первая четверть Луны</v>
      </c>
      <c r="F818" s="3" t="s">
        <v>81</v>
      </c>
      <c r="G818" s="3" t="s">
        <v>41</v>
      </c>
      <c r="H818" s="3" t="s">
        <v>2226</v>
      </c>
      <c r="I818" s="3" t="s">
        <v>15</v>
      </c>
      <c r="J818" s="3" t="s">
        <v>28</v>
      </c>
      <c r="K818" s="3" t="s">
        <v>1901</v>
      </c>
      <c r="L818" s="3" t="s">
        <v>2378</v>
      </c>
      <c r="M818" s="3" t="s">
        <v>1675</v>
      </c>
      <c r="N818" s="3" t="s">
        <v>2855</v>
      </c>
      <c r="O818" s="3">
        <v>2.0</v>
      </c>
    </row>
    <row r="819" ht="15.75" customHeight="1">
      <c r="A819" s="3" t="s">
        <v>4865</v>
      </c>
      <c r="B819" s="3" t="s">
        <v>4866</v>
      </c>
      <c r="C819" s="3" t="s">
        <v>4867</v>
      </c>
      <c r="D819" s="3" t="s">
        <v>4868</v>
      </c>
      <c r="E819" s="3" t="str">
        <f>IFERROR(__xludf.DUMMYFUNCTION("GOOGLETRANSLATE($D819,""EN"",""RU"")")," Кит")</f>
        <v> Кит</v>
      </c>
      <c r="F819" s="3" t="s">
        <v>81</v>
      </c>
      <c r="G819" s="3" t="s">
        <v>41</v>
      </c>
      <c r="H819" s="3" t="s">
        <v>15</v>
      </c>
      <c r="I819" s="3" t="s">
        <v>28</v>
      </c>
      <c r="J819" s="3" t="s">
        <v>2226</v>
      </c>
      <c r="K819" s="3" t="s">
        <v>2378</v>
      </c>
      <c r="L819" s="3" t="s">
        <v>1675</v>
      </c>
      <c r="M819" s="3" t="s">
        <v>1901</v>
      </c>
      <c r="N819" s="3" t="s">
        <v>3475</v>
      </c>
      <c r="O819" s="3">
        <v>0.0</v>
      </c>
    </row>
    <row r="820" ht="15.75" customHeight="1">
      <c r="A820" s="3" t="s">
        <v>4869</v>
      </c>
      <c r="B820" s="3" t="s">
        <v>4870</v>
      </c>
      <c r="C820" s="3" t="s">
        <v>4871</v>
      </c>
      <c r="D820" s="3" t="s">
        <v>4872</v>
      </c>
      <c r="E820" s="3" t="str">
        <f>IFERROR(__xludf.DUMMYFUNCTION("GOOGLETRANSLATE($D820,""EN"",""RU"")")," Снеговик")</f>
        <v> Снеговик</v>
      </c>
      <c r="F820" s="3" t="s">
        <v>81</v>
      </c>
      <c r="G820" s="3" t="s">
        <v>41</v>
      </c>
      <c r="H820" s="3" t="s">
        <v>28</v>
      </c>
      <c r="I820" s="3" t="s">
        <v>15</v>
      </c>
      <c r="J820" s="3" t="s">
        <v>2226</v>
      </c>
      <c r="K820" s="3" t="s">
        <v>1675</v>
      </c>
      <c r="L820" s="3" t="s">
        <v>2378</v>
      </c>
      <c r="M820" s="3" t="s">
        <v>1901</v>
      </c>
      <c r="N820" s="3" t="s">
        <v>3528</v>
      </c>
      <c r="O820" s="3">
        <v>0.0</v>
      </c>
    </row>
    <row r="821" ht="15.75" customHeight="1">
      <c r="A821" s="3" t="s">
        <v>4873</v>
      </c>
      <c r="B821" s="3" t="s">
        <v>4874</v>
      </c>
      <c r="C821" s="3" t="s">
        <v>4875</v>
      </c>
      <c r="D821" s="3" t="s">
        <v>4876</v>
      </c>
      <c r="E821" s="3" t="str">
        <f>IFERROR(__xludf.DUMMYFUNCTION("GOOGLETRANSLATE($D821,""EN"",""RU"")")," Извергающийся кит")</f>
        <v> Извергающийся кит</v>
      </c>
      <c r="F821" s="3" t="s">
        <v>81</v>
      </c>
      <c r="G821" s="3" t="s">
        <v>41</v>
      </c>
      <c r="H821" s="3" t="s">
        <v>15</v>
      </c>
      <c r="I821" s="3" t="s">
        <v>2226</v>
      </c>
      <c r="J821" s="3" t="s">
        <v>28</v>
      </c>
      <c r="K821" s="3" t="s">
        <v>2378</v>
      </c>
      <c r="L821" s="3" t="s">
        <v>1901</v>
      </c>
      <c r="M821" s="3" t="s">
        <v>1675</v>
      </c>
      <c r="N821" s="3" t="s">
        <v>2632</v>
      </c>
      <c r="O821" s="3">
        <v>2.0</v>
      </c>
    </row>
    <row r="822" ht="15.75" customHeight="1">
      <c r="A822" s="3" t="s">
        <v>4877</v>
      </c>
      <c r="B822" s="3" t="s">
        <v>4878</v>
      </c>
      <c r="C822" s="3" t="s">
        <v>4879</v>
      </c>
      <c r="D822" s="3" t="s">
        <v>4880</v>
      </c>
      <c r="E822" s="3" t="str">
        <f>IFERROR(__xludf.DUMMYFUNCTION("GOOGLETRANSLATE($D822,""EN"",""RU"")")," Ошибка")</f>
        <v> Ошибка</v>
      </c>
      <c r="F822" s="3" t="s">
        <v>81</v>
      </c>
      <c r="G822" s="3" t="s">
        <v>41</v>
      </c>
      <c r="H822" s="3" t="s">
        <v>41</v>
      </c>
      <c r="I822" s="3" t="s">
        <v>2226</v>
      </c>
      <c r="J822" s="3" t="s">
        <v>2226</v>
      </c>
      <c r="K822" s="3" t="s">
        <v>1450</v>
      </c>
      <c r="L822" s="3" t="s">
        <v>1901</v>
      </c>
      <c r="M822" s="3" t="s">
        <v>1901</v>
      </c>
      <c r="N822" s="3" t="s">
        <v>4792</v>
      </c>
      <c r="O822" s="3">
        <v>0.0</v>
      </c>
    </row>
    <row r="823" ht="15.75" customHeight="1">
      <c r="A823" s="3" t="s">
        <v>4881</v>
      </c>
      <c r="B823" s="3" t="s">
        <v>4882</v>
      </c>
      <c r="C823" s="3" t="s">
        <v>4883</v>
      </c>
      <c r="D823" s="3" t="s">
        <v>4884</v>
      </c>
      <c r="E823" s="3" t="str">
        <f>IFERROR(__xludf.DUMMYFUNCTION("GOOGLETRANSLATE($D823,""EN"",""RU"")")," Пустыня")</f>
        <v> Пустыня</v>
      </c>
      <c r="F823" s="3" t="s">
        <v>81</v>
      </c>
      <c r="G823" s="3" t="s">
        <v>41</v>
      </c>
      <c r="H823" s="3" t="s">
        <v>15</v>
      </c>
      <c r="I823" s="3" t="s">
        <v>28</v>
      </c>
      <c r="J823" s="3" t="s">
        <v>2226</v>
      </c>
      <c r="K823" s="3" t="s">
        <v>2378</v>
      </c>
      <c r="L823" s="3" t="s">
        <v>1675</v>
      </c>
      <c r="M823" s="3" t="s">
        <v>1901</v>
      </c>
      <c r="N823" s="3" t="s">
        <v>3475</v>
      </c>
      <c r="O823" s="3">
        <v>0.0</v>
      </c>
    </row>
    <row r="824" ht="15.75" customHeight="1">
      <c r="A824" s="3" t="s">
        <v>4885</v>
      </c>
      <c r="B824" s="3" t="s">
        <v>4886</v>
      </c>
      <c r="C824" s="3" t="s">
        <v>4887</v>
      </c>
      <c r="D824" s="3" t="s">
        <v>4888</v>
      </c>
      <c r="E824" s="3" t="str">
        <f>IFERROR(__xludf.DUMMYFUNCTION("GOOGLETRANSLATE($D824,""EN"",""RU"")")," Корова")</f>
        <v> Корова</v>
      </c>
      <c r="F824" s="3" t="s">
        <v>81</v>
      </c>
      <c r="G824" s="3" t="s">
        <v>41</v>
      </c>
      <c r="H824" s="3" t="s">
        <v>28</v>
      </c>
      <c r="I824" s="3" t="s">
        <v>2226</v>
      </c>
      <c r="J824" s="3" t="s">
        <v>15</v>
      </c>
      <c r="K824" s="3" t="s">
        <v>1675</v>
      </c>
      <c r="L824" s="3" t="s">
        <v>1901</v>
      </c>
      <c r="M824" s="3" t="s">
        <v>2378</v>
      </c>
      <c r="N824" s="3" t="s">
        <v>4779</v>
      </c>
      <c r="O824" s="3">
        <v>0.0</v>
      </c>
    </row>
    <row r="825" ht="15.75" customHeight="1">
      <c r="A825" s="3" t="s">
        <v>4889</v>
      </c>
      <c r="B825" s="3" t="s">
        <v>4890</v>
      </c>
      <c r="C825" s="3" t="s">
        <v>4891</v>
      </c>
      <c r="D825" s="3" t="s">
        <v>4892</v>
      </c>
      <c r="E825" s="3" t="str">
        <f>IFERROR(__xludf.DUMMYFUNCTION("GOOGLETRANSLATE($D825,""EN"",""RU"")")," Леопард")</f>
        <v> Леопард</v>
      </c>
      <c r="F825" s="3" t="s">
        <v>81</v>
      </c>
      <c r="G825" s="3" t="s">
        <v>41</v>
      </c>
      <c r="H825" s="3" t="s">
        <v>2226</v>
      </c>
      <c r="I825" s="3" t="s">
        <v>2226</v>
      </c>
      <c r="J825" s="3" t="s">
        <v>41</v>
      </c>
      <c r="K825" s="3" t="s">
        <v>1901</v>
      </c>
      <c r="L825" s="3" t="s">
        <v>1901</v>
      </c>
      <c r="M825" s="3" t="s">
        <v>1450</v>
      </c>
      <c r="N825" s="3" t="s">
        <v>1675</v>
      </c>
      <c r="O825" s="3">
        <v>2.0</v>
      </c>
    </row>
    <row r="826" ht="15.75" customHeight="1">
      <c r="A826" s="3" t="s">
        <v>4893</v>
      </c>
      <c r="B826" s="3" t="s">
        <v>4894</v>
      </c>
      <c r="C826" s="3" t="s">
        <v>4895</v>
      </c>
      <c r="D826" s="3" t="s">
        <v>4896</v>
      </c>
      <c r="E826" s="3" t="str">
        <f>IFERROR(__xludf.DUMMYFUNCTION("GOOGLETRANSLATE($D826,""EN"",""RU"")")," Пляж с зонтиком")</f>
        <v> Пляж с зонтиком</v>
      </c>
      <c r="F826" s="3" t="s">
        <v>81</v>
      </c>
      <c r="G826" s="3" t="s">
        <v>41</v>
      </c>
      <c r="H826" s="3" t="s">
        <v>2226</v>
      </c>
      <c r="I826" s="3" t="s">
        <v>2226</v>
      </c>
      <c r="J826" s="3" t="s">
        <v>41</v>
      </c>
      <c r="K826" s="3" t="s">
        <v>1901</v>
      </c>
      <c r="L826" s="3" t="s">
        <v>1901</v>
      </c>
      <c r="M826" s="3" t="s">
        <v>1450</v>
      </c>
      <c r="N826" s="3" t="s">
        <v>1675</v>
      </c>
      <c r="O826" s="3">
        <v>2.0</v>
      </c>
    </row>
    <row r="827" ht="15.75" customHeight="1">
      <c r="A827" s="3" t="s">
        <v>4897</v>
      </c>
      <c r="B827" s="3" t="s">
        <v>4898</v>
      </c>
      <c r="C827" s="3" t="s">
        <v>4899</v>
      </c>
      <c r="D827" s="3" t="s">
        <v>4900</v>
      </c>
      <c r="E827" s="3" t="str">
        <f>IFERROR(__xludf.DUMMYFUNCTION("GOOGLETRANSLATE($D827,""EN"",""RU"")")," Убывающая Луна")</f>
        <v> Убывающая Луна</v>
      </c>
      <c r="F827" s="3" t="s">
        <v>81</v>
      </c>
      <c r="G827" s="3" t="s">
        <v>41</v>
      </c>
      <c r="H827" s="3" t="s">
        <v>15</v>
      </c>
      <c r="I827" s="3" t="s">
        <v>2226</v>
      </c>
      <c r="J827" s="3" t="s">
        <v>28</v>
      </c>
      <c r="K827" s="3" t="s">
        <v>2378</v>
      </c>
      <c r="L827" s="3" t="s">
        <v>1901</v>
      </c>
      <c r="M827" s="3" t="s">
        <v>1675</v>
      </c>
      <c r="N827" s="3" t="s">
        <v>2632</v>
      </c>
      <c r="O827" s="3">
        <v>2.0</v>
      </c>
    </row>
    <row r="828" ht="15.75" customHeight="1">
      <c r="A828" s="3" t="s">
        <v>4901</v>
      </c>
      <c r="B828" s="3" t="s">
        <v>4902</v>
      </c>
      <c r="C828" s="3" t="s">
        <v>4903</v>
      </c>
      <c r="D828" s="3" t="s">
        <v>4904</v>
      </c>
      <c r="E828" s="3" t="str">
        <f>IFERROR(__xludf.DUMMYFUNCTION("GOOGLETRANSLATE($D828,""EN"",""RU"")")," Колумбия")</f>
        <v> Колумбия</v>
      </c>
      <c r="F828" s="3" t="s">
        <v>559</v>
      </c>
      <c r="G828" s="3" t="s">
        <v>41</v>
      </c>
      <c r="H828" s="3" t="s">
        <v>15</v>
      </c>
      <c r="I828" s="3" t="s">
        <v>15</v>
      </c>
      <c r="J828" s="3" t="s">
        <v>15</v>
      </c>
      <c r="K828" s="3" t="s">
        <v>2378</v>
      </c>
      <c r="L828" s="3" t="s">
        <v>2378</v>
      </c>
      <c r="M828" s="3" t="s">
        <v>2378</v>
      </c>
      <c r="N828" s="3" t="s">
        <v>1425</v>
      </c>
      <c r="O828" s="3">
        <v>1.0</v>
      </c>
    </row>
    <row r="829" ht="15.75" customHeight="1">
      <c r="A829" s="3" t="s">
        <v>4905</v>
      </c>
      <c r="B829" s="3" t="s">
        <v>4906</v>
      </c>
      <c r="C829" s="3" t="s">
        <v>4907</v>
      </c>
      <c r="D829" s="3" t="s">
        <v>4908</v>
      </c>
      <c r="E829" s="3" t="str">
        <f>IFERROR(__xludf.DUMMYFUNCTION("GOOGLETRANSLATE($D829,""EN"",""RU"")")," Пакистан")</f>
        <v> Пакистан</v>
      </c>
      <c r="F829" s="3" t="s">
        <v>559</v>
      </c>
      <c r="G829" s="3" t="s">
        <v>41</v>
      </c>
      <c r="H829" s="3" t="s">
        <v>2226</v>
      </c>
      <c r="I829" s="3" t="s">
        <v>2226</v>
      </c>
      <c r="J829" s="3" t="s">
        <v>41</v>
      </c>
      <c r="K829" s="3" t="s">
        <v>1901</v>
      </c>
      <c r="L829" s="3" t="s">
        <v>1901</v>
      </c>
      <c r="M829" s="3" t="s">
        <v>1450</v>
      </c>
      <c r="N829" s="3" t="s">
        <v>1675</v>
      </c>
      <c r="O829" s="3">
        <v>2.0</v>
      </c>
    </row>
    <row r="830" ht="15.75" customHeight="1">
      <c r="A830" s="3" t="s">
        <v>4909</v>
      </c>
      <c r="B830" s="3" t="s">
        <v>4910</v>
      </c>
      <c r="C830" s="3" t="s">
        <v>4911</v>
      </c>
      <c r="D830" s="3" t="s">
        <v>4912</v>
      </c>
      <c r="E830" s="3" t="str">
        <f>IFERROR(__xludf.DUMMYFUNCTION("GOOGLETRANSLATE($D830,""EN"",""RU"")")," Мексика")</f>
        <v> Мексика</v>
      </c>
      <c r="F830" s="3" t="s">
        <v>559</v>
      </c>
      <c r="G830" s="3" t="s">
        <v>41</v>
      </c>
      <c r="H830" s="3" t="s">
        <v>2226</v>
      </c>
      <c r="I830" s="3" t="s">
        <v>28</v>
      </c>
      <c r="J830" s="3" t="s">
        <v>15</v>
      </c>
      <c r="K830" s="3" t="s">
        <v>1901</v>
      </c>
      <c r="L830" s="3" t="s">
        <v>1675</v>
      </c>
      <c r="M830" s="3" t="s">
        <v>2378</v>
      </c>
      <c r="N830" s="3" t="s">
        <v>1901</v>
      </c>
      <c r="O830" s="3">
        <v>2.0</v>
      </c>
    </row>
    <row r="831" ht="15.75" customHeight="1">
      <c r="A831" s="3" t="s">
        <v>4913</v>
      </c>
      <c r="B831" s="3" t="s">
        <v>4914</v>
      </c>
      <c r="C831" s="3" t="s">
        <v>4915</v>
      </c>
      <c r="D831" s="3" t="s">
        <v>4916</v>
      </c>
      <c r="E831" s="3" t="str">
        <f>IFERROR(__xludf.DUMMYFUNCTION("GOOGLETRANSLATE($D831,""EN"",""RU"")")," Соединенные Штаты")</f>
        <v> Соединенные Штаты</v>
      </c>
      <c r="F831" s="3" t="s">
        <v>559</v>
      </c>
      <c r="G831" s="3" t="s">
        <v>41</v>
      </c>
      <c r="H831" s="3" t="s">
        <v>15</v>
      </c>
      <c r="I831" s="3" t="s">
        <v>28</v>
      </c>
      <c r="J831" s="3" t="s">
        <v>2226</v>
      </c>
      <c r="K831" s="3" t="s">
        <v>2378</v>
      </c>
      <c r="L831" s="3" t="s">
        <v>1675</v>
      </c>
      <c r="M831" s="3" t="s">
        <v>1901</v>
      </c>
      <c r="N831" s="3" t="s">
        <v>3475</v>
      </c>
      <c r="O831" s="3">
        <v>0.0</v>
      </c>
    </row>
    <row r="832" ht="15.75" customHeight="1">
      <c r="A832" s="3" t="s">
        <v>4917</v>
      </c>
      <c r="B832" s="3" t="s">
        <v>4918</v>
      </c>
      <c r="C832" s="3" t="s">
        <v>4919</v>
      </c>
      <c r="D832" s="3" t="s">
        <v>4920</v>
      </c>
      <c r="E832" s="3" t="str">
        <f>IFERROR(__xludf.DUMMYFUNCTION("GOOGLETRANSLATE($D832,""EN"",""RU"")")," Китай")</f>
        <v> Китай</v>
      </c>
      <c r="F832" s="3" t="s">
        <v>559</v>
      </c>
      <c r="G832" s="3" t="s">
        <v>41</v>
      </c>
      <c r="H832" s="3" t="s">
        <v>2226</v>
      </c>
      <c r="I832" s="3" t="s">
        <v>28</v>
      </c>
      <c r="J832" s="3" t="s">
        <v>15</v>
      </c>
      <c r="K832" s="3" t="s">
        <v>1901</v>
      </c>
      <c r="L832" s="3" t="s">
        <v>1675</v>
      </c>
      <c r="M832" s="3" t="s">
        <v>2378</v>
      </c>
      <c r="N832" s="3" t="s">
        <v>1901</v>
      </c>
      <c r="O832" s="3">
        <v>2.0</v>
      </c>
    </row>
    <row r="833" ht="15.75" customHeight="1">
      <c r="A833" s="3" t="s">
        <v>683</v>
      </c>
      <c r="B833" s="3" t="s">
        <v>4921</v>
      </c>
      <c r="C833" s="3" t="s">
        <v>4922</v>
      </c>
      <c r="D833" s="3" t="s">
        <v>4923</v>
      </c>
      <c r="E833" s="3" t="str">
        <f>IFERROR(__xludf.DUMMYFUNCTION("GOOGLETRANSLATE($D833,""EN"",""RU"")")," Нидерланды")</f>
        <v> Нидерланды</v>
      </c>
      <c r="F833" s="3" t="s">
        <v>559</v>
      </c>
      <c r="G833" s="3" t="s">
        <v>41</v>
      </c>
      <c r="H833" s="3" t="s">
        <v>15</v>
      </c>
      <c r="I833" s="3" t="s">
        <v>2226</v>
      </c>
      <c r="J833" s="3" t="s">
        <v>28</v>
      </c>
      <c r="K833" s="3" t="s">
        <v>2378</v>
      </c>
      <c r="L833" s="3" t="s">
        <v>1901</v>
      </c>
      <c r="M833" s="3" t="s">
        <v>1675</v>
      </c>
      <c r="N833" s="3" t="s">
        <v>2632</v>
      </c>
      <c r="O833" s="3">
        <v>2.0</v>
      </c>
    </row>
    <row r="834" ht="15.75" customHeight="1">
      <c r="A834" s="3" t="s">
        <v>4924</v>
      </c>
      <c r="B834" s="3" t="s">
        <v>4925</v>
      </c>
      <c r="C834" s="3" t="s">
        <v>4926</v>
      </c>
      <c r="D834" s="3" t="s">
        <v>4927</v>
      </c>
      <c r="E834" s="3" t="str">
        <f>IFERROR(__xludf.DUMMYFUNCTION("GOOGLETRANSLATE($D834,""EN"",""RU"")")," Кнопка ускорения вверх")</f>
        <v> Кнопка ускорения вверх</v>
      </c>
      <c r="F834" s="3" t="s">
        <v>637</v>
      </c>
      <c r="G834" s="3" t="s">
        <v>41</v>
      </c>
      <c r="H834" s="3" t="s">
        <v>2226</v>
      </c>
      <c r="I834" s="3" t="s">
        <v>41</v>
      </c>
      <c r="J834" s="3" t="s">
        <v>2226</v>
      </c>
      <c r="K834" s="3" t="s">
        <v>1901</v>
      </c>
      <c r="L834" s="3" t="s">
        <v>1450</v>
      </c>
      <c r="M834" s="3" t="s">
        <v>1901</v>
      </c>
      <c r="N834" s="3" t="s">
        <v>1425</v>
      </c>
      <c r="O834" s="3">
        <v>1.0</v>
      </c>
    </row>
    <row r="835" ht="15.75" customHeight="1">
      <c r="A835" s="3" t="s">
        <v>4928</v>
      </c>
      <c r="B835" s="3" t="s">
        <v>4929</v>
      </c>
      <c r="C835" s="3" t="s">
        <v>4930</v>
      </c>
      <c r="D835" s="3" t="s">
        <v>4931</v>
      </c>
      <c r="E835" s="3" t="str">
        <f>IFERROR(__xludf.DUMMYFUNCTION("GOOGLETRANSLATE($D835,""EN"",""RU"")")," Знак банкомата")</f>
        <v> Знак банкомата</v>
      </c>
      <c r="F835" s="3" t="s">
        <v>637</v>
      </c>
      <c r="G835" s="3" t="s">
        <v>41</v>
      </c>
      <c r="H835" s="3" t="s">
        <v>2226</v>
      </c>
      <c r="I835" s="3" t="s">
        <v>41</v>
      </c>
      <c r="J835" s="3" t="s">
        <v>2226</v>
      </c>
      <c r="K835" s="3" t="s">
        <v>1901</v>
      </c>
      <c r="L835" s="3" t="s">
        <v>1450</v>
      </c>
      <c r="M835" s="3" t="s">
        <v>1901</v>
      </c>
      <c r="N835" s="3" t="s">
        <v>1425</v>
      </c>
      <c r="O835" s="3">
        <v>1.0</v>
      </c>
    </row>
    <row r="836" ht="15.75" customHeight="1">
      <c r="A836" s="3" t="s">
        <v>4932</v>
      </c>
      <c r="B836" s="3" t="s">
        <v>4933</v>
      </c>
      <c r="C836" s="3" t="s">
        <v>4934</v>
      </c>
      <c r="D836" s="3" t="s">
        <v>4935</v>
      </c>
      <c r="E836" s="3" t="str">
        <f>IFERROR(__xludf.DUMMYFUNCTION("GOOGLETRANSLATE($D836,""EN"",""RU"")")," Овен")</f>
        <v> Овен</v>
      </c>
      <c r="F836" s="3" t="s">
        <v>637</v>
      </c>
      <c r="G836" s="3" t="s">
        <v>41</v>
      </c>
      <c r="H836" s="3" t="s">
        <v>2226</v>
      </c>
      <c r="I836" s="3" t="s">
        <v>2226</v>
      </c>
      <c r="J836" s="3" t="s">
        <v>41</v>
      </c>
      <c r="K836" s="3" t="s">
        <v>1901</v>
      </c>
      <c r="L836" s="3" t="s">
        <v>1901</v>
      </c>
      <c r="M836" s="3" t="s">
        <v>1450</v>
      </c>
      <c r="N836" s="3" t="s">
        <v>1675</v>
      </c>
      <c r="O836" s="3">
        <v>2.0</v>
      </c>
    </row>
    <row r="837" ht="15.75" customHeight="1">
      <c r="A837" s="3" t="s">
        <v>4936</v>
      </c>
      <c r="B837" s="3" t="s">
        <v>4937</v>
      </c>
      <c r="C837" s="3" t="s">
        <v>4938</v>
      </c>
      <c r="D837" s="3" t="s">
        <v>4939</v>
      </c>
      <c r="E837" s="3" t="str">
        <f>IFERROR(__xludf.DUMMYFUNCTION("GOOGLETRANSLATE($D837,""EN"",""RU"")")," Дети переходят")</f>
        <v> Дети переходят</v>
      </c>
      <c r="F837" s="3" t="s">
        <v>637</v>
      </c>
      <c r="G837" s="3" t="s">
        <v>41</v>
      </c>
      <c r="H837" s="3" t="s">
        <v>2226</v>
      </c>
      <c r="I837" s="3" t="s">
        <v>41</v>
      </c>
      <c r="J837" s="3" t="s">
        <v>2226</v>
      </c>
      <c r="K837" s="3" t="s">
        <v>1901</v>
      </c>
      <c r="L837" s="3" t="s">
        <v>1450</v>
      </c>
      <c r="M837" s="3" t="s">
        <v>1901</v>
      </c>
      <c r="N837" s="3" t="s">
        <v>1425</v>
      </c>
      <c r="O837" s="3">
        <v>1.0</v>
      </c>
    </row>
    <row r="838" ht="15.75" customHeight="1">
      <c r="A838" s="3" t="s">
        <v>4940</v>
      </c>
      <c r="B838" s="3" t="s">
        <v>4941</v>
      </c>
      <c r="C838" s="3" t="s">
        <v>4942</v>
      </c>
      <c r="D838" s="3" t="s">
        <v>4943</v>
      </c>
      <c r="E838" s="3" t="str">
        <f>IFERROR(__xludf.DUMMYFUNCTION("GOOGLETRANSLATE($D838,""EN"",""RU"")")," На! Стрелка")</f>
        <v> На! Стрелка</v>
      </c>
      <c r="F838" s="3" t="s">
        <v>637</v>
      </c>
      <c r="G838" s="3" t="s">
        <v>41</v>
      </c>
      <c r="H838" s="3" t="s">
        <v>2226</v>
      </c>
      <c r="I838" s="3" t="s">
        <v>41</v>
      </c>
      <c r="J838" s="3" t="s">
        <v>2226</v>
      </c>
      <c r="K838" s="3" t="s">
        <v>1901</v>
      </c>
      <c r="L838" s="3" t="s">
        <v>1450</v>
      </c>
      <c r="M838" s="3" t="s">
        <v>1901</v>
      </c>
      <c r="N838" s="3" t="s">
        <v>1425</v>
      </c>
      <c r="O838" s="3">
        <v>1.0</v>
      </c>
    </row>
    <row r="839" ht="15.75" customHeight="1">
      <c r="A839" s="3" t="s">
        <v>4944</v>
      </c>
      <c r="B839" s="3" t="s">
        <v>4945</v>
      </c>
      <c r="C839" s="3" t="s">
        <v>4946</v>
      </c>
      <c r="D839" s="3" t="s">
        <v>4947</v>
      </c>
      <c r="E839" s="3" t="str">
        <f>IFERROR(__xludf.DUMMYFUNCTION("GOOGLETRANSLATE($D839,""EN"",""RU"")")," Медвежья морда")</f>
        <v> Медвежья морда</v>
      </c>
      <c r="F839" s="3" t="s">
        <v>81</v>
      </c>
      <c r="G839" s="3" t="s">
        <v>41</v>
      </c>
      <c r="H839" s="3" t="s">
        <v>2226</v>
      </c>
      <c r="I839" s="3" t="s">
        <v>41</v>
      </c>
      <c r="J839" s="3" t="s">
        <v>2226</v>
      </c>
      <c r="K839" s="3" t="s">
        <v>1901</v>
      </c>
      <c r="L839" s="3" t="s">
        <v>1450</v>
      </c>
      <c r="M839" s="3" t="s">
        <v>1901</v>
      </c>
      <c r="N839" s="3" t="s">
        <v>1425</v>
      </c>
      <c r="O839" s="3">
        <v>1.0</v>
      </c>
    </row>
    <row r="840" ht="15.75" customHeight="1">
      <c r="A840" s="3" t="s">
        <v>4948</v>
      </c>
      <c r="B840" s="3" t="s">
        <v>4949</v>
      </c>
      <c r="C840" s="3" t="s">
        <v>4950</v>
      </c>
      <c r="D840" s="3" t="s">
        <v>4951</v>
      </c>
      <c r="E840" s="3" t="str">
        <f>IFERROR(__xludf.DUMMYFUNCTION("GOOGLETRANSLATE($D840,""EN"",""RU"")")," Новолуние")</f>
        <v> Новолуние</v>
      </c>
      <c r="F840" s="3" t="s">
        <v>81</v>
      </c>
      <c r="G840" s="3" t="s">
        <v>41</v>
      </c>
      <c r="H840" s="3" t="s">
        <v>2226</v>
      </c>
      <c r="I840" s="3" t="s">
        <v>15</v>
      </c>
      <c r="J840" s="3" t="s">
        <v>28</v>
      </c>
      <c r="K840" s="3" t="s">
        <v>1901</v>
      </c>
      <c r="L840" s="3" t="s">
        <v>2378</v>
      </c>
      <c r="M840" s="3" t="s">
        <v>1675</v>
      </c>
      <c r="N840" s="3" t="s">
        <v>2855</v>
      </c>
      <c r="O840" s="3">
        <v>2.0</v>
      </c>
    </row>
    <row r="841" ht="15.75" customHeight="1">
      <c r="A841" s="3" t="s">
        <v>4952</v>
      </c>
      <c r="B841" s="3" t="s">
        <v>4953</v>
      </c>
      <c r="C841" s="3" t="s">
        <v>4954</v>
      </c>
      <c r="D841" s="3" t="s">
        <v>4955</v>
      </c>
      <c r="E841" s="3" t="str">
        <f>IFERROR(__xludf.DUMMYFUNCTION("GOOGLETRANSLATE($D841,""EN"",""RU"")")," Спиральный блокнот")</f>
        <v> Спиральный блокнот</v>
      </c>
      <c r="F841" s="3" t="s">
        <v>358</v>
      </c>
      <c r="G841" s="3" t="s">
        <v>41</v>
      </c>
      <c r="H841" s="3" t="s">
        <v>2226</v>
      </c>
      <c r="I841" s="3" t="s">
        <v>28</v>
      </c>
      <c r="J841" s="3" t="s">
        <v>15</v>
      </c>
      <c r="K841" s="3" t="s">
        <v>1901</v>
      </c>
      <c r="L841" s="3" t="s">
        <v>1675</v>
      </c>
      <c r="M841" s="3" t="s">
        <v>2378</v>
      </c>
      <c r="N841" s="3" t="s">
        <v>1901</v>
      </c>
      <c r="O841" s="3">
        <v>2.0</v>
      </c>
    </row>
    <row r="842" ht="15.75" customHeight="1">
      <c r="A842" s="3" t="s">
        <v>4956</v>
      </c>
      <c r="B842" s="3" t="s">
        <v>4957</v>
      </c>
      <c r="C842" s="3" t="s">
        <v>4958</v>
      </c>
      <c r="D842" s="3" t="s">
        <v>4959</v>
      </c>
      <c r="E842" s="3" t="str">
        <f>IFERROR(__xludf.DUMMYFUNCTION("GOOGLETRANSLATE($D842,""EN"",""RU"")")," Рыбы")</f>
        <v> Рыбы</v>
      </c>
      <c r="F842" s="3" t="s">
        <v>637</v>
      </c>
      <c r="G842" s="3" t="s">
        <v>41</v>
      </c>
      <c r="H842" s="3" t="s">
        <v>2226</v>
      </c>
      <c r="I842" s="3" t="s">
        <v>15</v>
      </c>
      <c r="J842" s="3" t="s">
        <v>28</v>
      </c>
      <c r="K842" s="3" t="s">
        <v>1901</v>
      </c>
      <c r="L842" s="3" t="s">
        <v>2378</v>
      </c>
      <c r="M842" s="3" t="s">
        <v>1675</v>
      </c>
      <c r="N842" s="3" t="s">
        <v>2855</v>
      </c>
      <c r="O842" s="3">
        <v>2.0</v>
      </c>
    </row>
    <row r="843" ht="15.75" customHeight="1">
      <c r="A843" s="3" t="s">
        <v>727</v>
      </c>
      <c r="B843" s="3" t="s">
        <v>4960</v>
      </c>
      <c r="C843" s="3" t="s">
        <v>4961</v>
      </c>
      <c r="D843" s="3" t="s">
        <v>4962</v>
      </c>
      <c r="E843" s="3" t="str">
        <f>IFERROR(__xludf.DUMMYFUNCTION("GOOGLETRANSLATE($D843,""EN"",""RU"")")," Движение пешеходов запрещено")</f>
        <v> Движение пешеходов запрещено</v>
      </c>
      <c r="F843" s="3" t="s">
        <v>637</v>
      </c>
      <c r="G843" s="3" t="s">
        <v>41</v>
      </c>
      <c r="H843" s="3" t="s">
        <v>15</v>
      </c>
      <c r="I843" s="3" t="s">
        <v>28</v>
      </c>
      <c r="J843" s="3" t="s">
        <v>2226</v>
      </c>
      <c r="K843" s="3" t="s">
        <v>2378</v>
      </c>
      <c r="L843" s="3" t="s">
        <v>1675</v>
      </c>
      <c r="M843" s="3" t="s">
        <v>1901</v>
      </c>
      <c r="N843" s="3" t="s">
        <v>3475</v>
      </c>
      <c r="O843" s="3">
        <v>0.0</v>
      </c>
    </row>
    <row r="844" ht="15.75" customHeight="1">
      <c r="A844" s="3" t="s">
        <v>4963</v>
      </c>
      <c r="B844" s="3" t="s">
        <v>4964</v>
      </c>
      <c r="C844" s="3" t="s">
        <v>4965</v>
      </c>
      <c r="D844" s="3" t="s">
        <v>4966</v>
      </c>
      <c r="E844" s="3" t="str">
        <f>IFERROR(__xludf.DUMMYFUNCTION("GOOGLETRANSLATE($D844,""EN"",""RU"")")," Тяжелый знак плюс")</f>
        <v> Тяжелый знак плюс</v>
      </c>
      <c r="F844" s="3" t="s">
        <v>637</v>
      </c>
      <c r="G844" s="3" t="s">
        <v>41</v>
      </c>
      <c r="H844" s="3" t="s">
        <v>15</v>
      </c>
      <c r="I844" s="3" t="s">
        <v>28</v>
      </c>
      <c r="J844" s="3" t="s">
        <v>2226</v>
      </c>
      <c r="K844" s="3" t="s">
        <v>2378</v>
      </c>
      <c r="L844" s="3" t="s">
        <v>1675</v>
      </c>
      <c r="M844" s="3" t="s">
        <v>1901</v>
      </c>
      <c r="N844" s="3" t="s">
        <v>3475</v>
      </c>
      <c r="O844" s="3">
        <v>0.0</v>
      </c>
    </row>
    <row r="845" ht="15.75" customHeight="1">
      <c r="A845" s="3" t="s">
        <v>4967</v>
      </c>
      <c r="B845" s="3" t="s">
        <v>4968</v>
      </c>
      <c r="C845" s="3" t="s">
        <v>4969</v>
      </c>
      <c r="D845" s="3" t="s">
        <v>4970</v>
      </c>
      <c r="E845" s="3" t="str">
        <f>IFERROR(__xludf.DUMMYFUNCTION("GOOGLETRANSLATE($D845,""EN"",""RU"")")," Символ инвалидной коляски")</f>
        <v> Символ инвалидной коляски</v>
      </c>
      <c r="F845" s="3" t="s">
        <v>637</v>
      </c>
      <c r="G845" s="3" t="s">
        <v>41</v>
      </c>
      <c r="H845" s="3" t="s">
        <v>2226</v>
      </c>
      <c r="I845" s="3" t="s">
        <v>15</v>
      </c>
      <c r="J845" s="3" t="s">
        <v>28</v>
      </c>
      <c r="K845" s="3" t="s">
        <v>1901</v>
      </c>
      <c r="L845" s="3" t="s">
        <v>2378</v>
      </c>
      <c r="M845" s="3" t="s">
        <v>1675</v>
      </c>
      <c r="N845" s="3" t="s">
        <v>2855</v>
      </c>
      <c r="O845" s="3">
        <v>2.0</v>
      </c>
    </row>
    <row r="846" ht="15.75" customHeight="1">
      <c r="A846" s="3" t="s">
        <v>4971</v>
      </c>
      <c r="B846" s="3" t="s">
        <v>4972</v>
      </c>
      <c r="C846" s="3" t="s">
        <v>4973</v>
      </c>
      <c r="D846" s="3" t="s">
        <v>4974</v>
      </c>
      <c r="E846" s="3" t="str">
        <f>IFERROR(__xludf.DUMMYFUNCTION("GOOGLETRANSLATE($D846,""EN"",""RU"")")," Разблокировано")</f>
        <v> Разблокировано</v>
      </c>
      <c r="F846" s="3" t="s">
        <v>637</v>
      </c>
      <c r="G846" s="3" t="s">
        <v>41</v>
      </c>
      <c r="H846" s="3" t="s">
        <v>15</v>
      </c>
      <c r="I846" s="3" t="s">
        <v>15</v>
      </c>
      <c r="J846" s="3" t="s">
        <v>15</v>
      </c>
      <c r="K846" s="3" t="s">
        <v>2378</v>
      </c>
      <c r="L846" s="3" t="s">
        <v>2378</v>
      </c>
      <c r="M846" s="3" t="s">
        <v>2378</v>
      </c>
      <c r="N846" s="3" t="s">
        <v>1425</v>
      </c>
      <c r="O846" s="3">
        <v>1.0</v>
      </c>
    </row>
    <row r="847" ht="15.75" customHeight="1">
      <c r="A847" s="3" t="s">
        <v>4975</v>
      </c>
      <c r="B847" s="3" t="s">
        <v>4976</v>
      </c>
      <c r="C847" s="3" t="s">
        <v>4977</v>
      </c>
      <c r="D847" s="3" t="s">
        <v>4978</v>
      </c>
      <c r="E847" s="3" t="str">
        <f>IFERROR(__xludf.DUMMYFUNCTION("GOOGLETRANSLATE($D847,""EN"",""RU"")")," Курение запрещено")</f>
        <v> Курение запрещено</v>
      </c>
      <c r="F847" s="3" t="s">
        <v>637</v>
      </c>
      <c r="G847" s="3" t="s">
        <v>41</v>
      </c>
      <c r="H847" s="3" t="s">
        <v>28</v>
      </c>
      <c r="I847" s="3" t="s">
        <v>15</v>
      </c>
      <c r="J847" s="3" t="s">
        <v>2226</v>
      </c>
      <c r="K847" s="3" t="s">
        <v>1675</v>
      </c>
      <c r="L847" s="3" t="s">
        <v>2378</v>
      </c>
      <c r="M847" s="3" t="s">
        <v>1901</v>
      </c>
      <c r="N847" s="3" t="s">
        <v>3528</v>
      </c>
      <c r="O847" s="3">
        <v>0.0</v>
      </c>
    </row>
    <row r="848" ht="15.75" customHeight="1">
      <c r="A848" s="3" t="s">
        <v>4979</v>
      </c>
      <c r="B848" s="3" t="s">
        <v>4980</v>
      </c>
      <c r="C848" s="3" t="s">
        <v>4981</v>
      </c>
      <c r="D848" s="3" t="s">
        <v>4982</v>
      </c>
      <c r="E848" s="3" t="str">
        <f>IFERROR(__xludf.DUMMYFUNCTION("GOOGLETRANSLATE($D848,""EN"",""RU"")")," Коктейльный стакан")</f>
        <v> Коктейльный стакан</v>
      </c>
      <c r="F848" s="3" t="s">
        <v>1510</v>
      </c>
      <c r="G848" s="3" t="s">
        <v>41</v>
      </c>
      <c r="H848" s="3" t="s">
        <v>15</v>
      </c>
      <c r="I848" s="3" t="s">
        <v>2226</v>
      </c>
      <c r="J848" s="3" t="s">
        <v>28</v>
      </c>
      <c r="K848" s="3" t="s">
        <v>2378</v>
      </c>
      <c r="L848" s="3" t="s">
        <v>1901</v>
      </c>
      <c r="M848" s="3" t="s">
        <v>1675</v>
      </c>
      <c r="N848" s="3" t="s">
        <v>2632</v>
      </c>
      <c r="O848" s="3">
        <v>2.0</v>
      </c>
    </row>
    <row r="849" ht="15.75" customHeight="1">
      <c r="A849" s="3" t="s">
        <v>4983</v>
      </c>
      <c r="B849" s="3" t="s">
        <v>4984</v>
      </c>
      <c r="C849" s="3" t="s">
        <v>4985</v>
      </c>
      <c r="D849" s="3" t="s">
        <v>4986</v>
      </c>
      <c r="E849" s="3" t="str">
        <f>IFERROR(__xludf.DUMMYFUNCTION("GOOGLETRANSLATE($D849,""EN"",""RU"")")," Символ ребенка")</f>
        <v> Символ ребенка</v>
      </c>
      <c r="F849" s="3" t="s">
        <v>637</v>
      </c>
      <c r="G849" s="3" t="s">
        <v>41</v>
      </c>
      <c r="H849" s="3" t="s">
        <v>28</v>
      </c>
      <c r="I849" s="3" t="s">
        <v>15</v>
      </c>
      <c r="J849" s="3" t="s">
        <v>2226</v>
      </c>
      <c r="K849" s="3" t="s">
        <v>1675</v>
      </c>
      <c r="L849" s="3" t="s">
        <v>2378</v>
      </c>
      <c r="M849" s="3" t="s">
        <v>1901</v>
      </c>
      <c r="N849" s="3" t="s">
        <v>3528</v>
      </c>
      <c r="O849" s="3">
        <v>0.0</v>
      </c>
    </row>
    <row r="850" ht="15.75" customHeight="1">
      <c r="A850" s="3" t="s">
        <v>4987</v>
      </c>
      <c r="B850" s="3" t="s">
        <v>4988</v>
      </c>
      <c r="C850" s="3" t="s">
        <v>4989</v>
      </c>
      <c r="D850" s="3" t="s">
        <v>4990</v>
      </c>
      <c r="E850" s="3" t="str">
        <f>IFERROR(__xludf.DUMMYFUNCTION("GOOGLETRANSLATE($D850,""EN"",""RU"")")," Пассажирское судно")</f>
        <v> Пассажирское судно</v>
      </c>
      <c r="F850" s="3" t="s">
        <v>358</v>
      </c>
      <c r="G850" s="3" t="s">
        <v>28</v>
      </c>
      <c r="H850" s="3" t="s">
        <v>28</v>
      </c>
      <c r="I850" s="3" t="s">
        <v>2226</v>
      </c>
      <c r="J850" s="3" t="s">
        <v>2226</v>
      </c>
      <c r="K850" s="3" t="s">
        <v>786</v>
      </c>
      <c r="L850" s="3" t="s">
        <v>940</v>
      </c>
      <c r="M850" s="3" t="s">
        <v>940</v>
      </c>
      <c r="N850" s="3" t="s">
        <v>3429</v>
      </c>
      <c r="O850" s="3">
        <v>0.0</v>
      </c>
    </row>
    <row r="851" ht="15.75" customHeight="1">
      <c r="A851" s="3" t="s">
        <v>4991</v>
      </c>
      <c r="B851" s="3" t="s">
        <v>4992</v>
      </c>
      <c r="C851" s="3" t="s">
        <v>4993</v>
      </c>
      <c r="D851" s="3" t="s">
        <v>4994</v>
      </c>
      <c r="E851" s="3" t="str">
        <f>IFERROR(__xludf.DUMMYFUNCTION("GOOGLETRANSLATE($D851,""EN"",""RU"")")," Стакан стакана")</f>
        <v> Стакан стакана</v>
      </c>
      <c r="F851" s="3" t="s">
        <v>1510</v>
      </c>
      <c r="G851" s="3" t="s">
        <v>28</v>
      </c>
      <c r="H851" s="3" t="s">
        <v>28</v>
      </c>
      <c r="I851" s="3" t="s">
        <v>2226</v>
      </c>
      <c r="J851" s="3" t="s">
        <v>2226</v>
      </c>
      <c r="K851" s="3" t="s">
        <v>786</v>
      </c>
      <c r="L851" s="3" t="s">
        <v>940</v>
      </c>
      <c r="M851" s="3" t="s">
        <v>940</v>
      </c>
      <c r="N851" s="3" t="s">
        <v>3429</v>
      </c>
      <c r="O851" s="3">
        <v>0.0</v>
      </c>
    </row>
    <row r="852" ht="15.75" customHeight="1">
      <c r="A852" s="3" t="s">
        <v>4995</v>
      </c>
      <c r="B852" s="3" t="s">
        <v>4996</v>
      </c>
      <c r="C852" s="3" t="s">
        <v>4997</v>
      </c>
      <c r="D852" s="3" t="s">
        <v>4998</v>
      </c>
      <c r="E852" s="3" t="str">
        <f>IFERROR(__xludf.DUMMYFUNCTION("GOOGLETRANSLATE($D852,""EN"",""RU"")")," Груша")</f>
        <v> Груша</v>
      </c>
      <c r="F852" s="3" t="s">
        <v>1510</v>
      </c>
      <c r="G852" s="3" t="s">
        <v>28</v>
      </c>
      <c r="H852" s="3" t="s">
        <v>2226</v>
      </c>
      <c r="I852" s="3" t="s">
        <v>2226</v>
      </c>
      <c r="J852" s="3" t="s">
        <v>28</v>
      </c>
      <c r="K852" s="3" t="s">
        <v>940</v>
      </c>
      <c r="L852" s="3" t="s">
        <v>940</v>
      </c>
      <c r="M852" s="3" t="s">
        <v>786</v>
      </c>
      <c r="N852" s="3" t="s">
        <v>2176</v>
      </c>
      <c r="O852" s="3">
        <v>2.0</v>
      </c>
    </row>
    <row r="853" ht="15.75" customHeight="1">
      <c r="A853" s="3" t="s">
        <v>4999</v>
      </c>
      <c r="B853" s="3" t="s">
        <v>5000</v>
      </c>
      <c r="C853" s="3" t="s">
        <v>5001</v>
      </c>
      <c r="D853" s="3" t="s">
        <v>5002</v>
      </c>
      <c r="E853" s="3" t="str">
        <f>IFERROR(__xludf.DUMMYFUNCTION("GOOGLETRANSLATE($D853,""EN"",""RU"")")," Символ регионального индикатора, буква Z")</f>
        <v> Символ регионального индикатора, буква Z</v>
      </c>
      <c r="F853" s="3" t="s">
        <v>637</v>
      </c>
      <c r="G853" s="3" t="s">
        <v>28</v>
      </c>
      <c r="H853" s="3" t="s">
        <v>15</v>
      </c>
      <c r="I853" s="3" t="s">
        <v>2226</v>
      </c>
      <c r="J853" s="3" t="s">
        <v>15</v>
      </c>
      <c r="K853" s="3" t="s">
        <v>2176</v>
      </c>
      <c r="L853" s="3" t="s">
        <v>940</v>
      </c>
      <c r="M853" s="3" t="s">
        <v>2176</v>
      </c>
      <c r="N853" s="3" t="s">
        <v>1425</v>
      </c>
      <c r="O853" s="3">
        <v>1.0</v>
      </c>
    </row>
    <row r="854" ht="15.75" customHeight="1">
      <c r="A854" s="3" t="s">
        <v>5003</v>
      </c>
      <c r="B854" s="3" t="s">
        <v>5004</v>
      </c>
      <c r="C854" s="3" t="s">
        <v>5005</v>
      </c>
      <c r="D854" s="3" t="s">
        <v>5006</v>
      </c>
      <c r="E854" s="3" t="str">
        <f>IFERROR(__xludf.DUMMYFUNCTION("GOOGLETRANSLATE($D854,""EN"",""RU"")")," Норвегия")</f>
        <v> Норвегия</v>
      </c>
      <c r="F854" s="3" t="s">
        <v>559</v>
      </c>
      <c r="G854" s="3" t="s">
        <v>28</v>
      </c>
      <c r="H854" s="3" t="s">
        <v>2226</v>
      </c>
      <c r="I854" s="3" t="s">
        <v>28</v>
      </c>
      <c r="J854" s="3" t="s">
        <v>2226</v>
      </c>
      <c r="K854" s="3" t="s">
        <v>940</v>
      </c>
      <c r="L854" s="3" t="s">
        <v>786</v>
      </c>
      <c r="M854" s="3" t="s">
        <v>940</v>
      </c>
      <c r="N854" s="3" t="s">
        <v>1425</v>
      </c>
      <c r="O854" s="3">
        <v>1.0</v>
      </c>
    </row>
    <row r="855" ht="15.75" customHeight="1">
      <c r="A855" s="3" t="s">
        <v>5007</v>
      </c>
      <c r="B855" s="3" t="s">
        <v>5008</v>
      </c>
      <c r="C855" s="3" t="s">
        <v>5009</v>
      </c>
      <c r="D855" s="3" t="s">
        <v>5010</v>
      </c>
      <c r="E855" s="3" t="str">
        <f>IFERROR(__xludf.DUMMYFUNCTION("GOOGLETRANSLATE($D855,""EN"",""RU"")")," Остров Вознесения")</f>
        <v> Остров Вознесения</v>
      </c>
      <c r="F855" s="3" t="s">
        <v>559</v>
      </c>
      <c r="G855" s="3" t="s">
        <v>28</v>
      </c>
      <c r="H855" s="3" t="s">
        <v>2226</v>
      </c>
      <c r="I855" s="3" t="s">
        <v>28</v>
      </c>
      <c r="J855" s="3" t="s">
        <v>2226</v>
      </c>
      <c r="K855" s="3" t="s">
        <v>940</v>
      </c>
      <c r="L855" s="3" t="s">
        <v>786</v>
      </c>
      <c r="M855" s="3" t="s">
        <v>940</v>
      </c>
      <c r="N855" s="3" t="s">
        <v>1425</v>
      </c>
      <c r="O855" s="3">
        <v>1.0</v>
      </c>
    </row>
    <row r="856" ht="15.75" customHeight="1">
      <c r="A856" s="3" t="s">
        <v>490</v>
      </c>
      <c r="B856" s="3" t="s">
        <v>5011</v>
      </c>
      <c r="C856" s="3" t="s">
        <v>5012</v>
      </c>
      <c r="D856" s="3" t="s">
        <v>5013</v>
      </c>
      <c r="E856" s="3" t="str">
        <f>IFERROR(__xludf.DUMMYFUNCTION("GOOGLETRANSLATE($D856,""EN"",""RU"")")," Конго - Киншаса")</f>
        <v> Конго - Киншаса</v>
      </c>
      <c r="F856" s="3" t="s">
        <v>559</v>
      </c>
      <c r="G856" s="3" t="s">
        <v>28</v>
      </c>
      <c r="H856" s="3" t="s">
        <v>15</v>
      </c>
      <c r="I856" s="3" t="s">
        <v>15</v>
      </c>
      <c r="J856" s="3" t="s">
        <v>2226</v>
      </c>
      <c r="K856" s="3" t="s">
        <v>2176</v>
      </c>
      <c r="L856" s="3" t="s">
        <v>2176</v>
      </c>
      <c r="M856" s="3" t="s">
        <v>940</v>
      </c>
      <c r="N856" s="3" t="s">
        <v>4182</v>
      </c>
      <c r="O856" s="3">
        <v>0.0</v>
      </c>
    </row>
    <row r="857" ht="15.75" customHeight="1">
      <c r="A857" s="3" t="s">
        <v>5014</v>
      </c>
      <c r="B857" s="3" t="s">
        <v>5015</v>
      </c>
      <c r="C857" s="3" t="s">
        <v>5016</v>
      </c>
      <c r="D857" s="3" t="s">
        <v>5017</v>
      </c>
      <c r="E857" s="3" t="str">
        <f>IFERROR(__xludf.DUMMYFUNCTION("GOOGLETRANSLATE($D857,""EN"",""RU"")")," Уганда")</f>
        <v> Уганда</v>
      </c>
      <c r="F857" s="3" t="s">
        <v>559</v>
      </c>
      <c r="G857" s="3" t="s">
        <v>28</v>
      </c>
      <c r="H857" s="3" t="s">
        <v>2226</v>
      </c>
      <c r="I857" s="3" t="s">
        <v>28</v>
      </c>
      <c r="J857" s="3" t="s">
        <v>2226</v>
      </c>
      <c r="K857" s="3" t="s">
        <v>940</v>
      </c>
      <c r="L857" s="3" t="s">
        <v>786</v>
      </c>
      <c r="M857" s="3" t="s">
        <v>940</v>
      </c>
      <c r="N857" s="3" t="s">
        <v>1425</v>
      </c>
      <c r="O857" s="3">
        <v>1.0</v>
      </c>
    </row>
    <row r="858" ht="15.75" customHeight="1">
      <c r="A858" s="3" t="s">
        <v>5018</v>
      </c>
      <c r="B858" s="3" t="s">
        <v>5019</v>
      </c>
      <c r="C858" s="3" t="s">
        <v>5020</v>
      </c>
      <c r="D858" s="3" t="s">
        <v>5021</v>
      </c>
      <c r="E858" s="3" t="str">
        <f>IFERROR(__xludf.DUMMYFUNCTION("GOOGLETRANSLATE($D858,""EN"",""RU"")")," Конго - Браззавиль")</f>
        <v> Конго - Браззавиль</v>
      </c>
      <c r="F858" s="3" t="s">
        <v>559</v>
      </c>
      <c r="G858" s="3" t="s">
        <v>28</v>
      </c>
      <c r="H858" s="3" t="s">
        <v>2226</v>
      </c>
      <c r="I858" s="3" t="s">
        <v>28</v>
      </c>
      <c r="J858" s="3" t="s">
        <v>2226</v>
      </c>
      <c r="K858" s="3" t="s">
        <v>940</v>
      </c>
      <c r="L858" s="3" t="s">
        <v>786</v>
      </c>
      <c r="M858" s="3" t="s">
        <v>940</v>
      </c>
      <c r="N858" s="3" t="s">
        <v>1425</v>
      </c>
      <c r="O858" s="3">
        <v>1.0</v>
      </c>
    </row>
    <row r="859" ht="15.75" customHeight="1">
      <c r="A859" s="3" t="s">
        <v>5022</v>
      </c>
      <c r="B859" s="3" t="s">
        <v>5023</v>
      </c>
      <c r="C859" s="3" t="s">
        <v>5024</v>
      </c>
      <c r="D859" s="3" t="s">
        <v>5025</v>
      </c>
      <c r="E859" s="3" t="str">
        <f>IFERROR(__xludf.DUMMYFUNCTION("GOOGLETRANSLATE($D859,""EN"",""RU"")")," Буркина-Фасо")</f>
        <v> Буркина-Фасо</v>
      </c>
      <c r="F859" s="3" t="s">
        <v>559</v>
      </c>
      <c r="G859" s="3" t="s">
        <v>28</v>
      </c>
      <c r="H859" s="3" t="s">
        <v>2226</v>
      </c>
      <c r="I859" s="3" t="s">
        <v>28</v>
      </c>
      <c r="J859" s="3" t="s">
        <v>2226</v>
      </c>
      <c r="K859" s="3" t="s">
        <v>940</v>
      </c>
      <c r="L859" s="3" t="s">
        <v>786</v>
      </c>
      <c r="M859" s="3" t="s">
        <v>940</v>
      </c>
      <c r="N859" s="3" t="s">
        <v>1425</v>
      </c>
      <c r="O859" s="3">
        <v>1.0</v>
      </c>
    </row>
    <row r="860" ht="15.75" customHeight="1">
      <c r="A860" s="3" t="s">
        <v>5026</v>
      </c>
      <c r="B860" s="3" t="s">
        <v>5027</v>
      </c>
      <c r="C860" s="3" t="s">
        <v>5028</v>
      </c>
      <c r="D860" s="3" t="s">
        <v>5029</v>
      </c>
      <c r="E860" s="3" t="str">
        <f>IFERROR(__xludf.DUMMYFUNCTION("GOOGLETRANSLATE($D860,""EN"",""RU"")")," Перекрещенные флаги")</f>
        <v> Перекрещенные флаги</v>
      </c>
      <c r="F860" s="3" t="s">
        <v>559</v>
      </c>
      <c r="G860" s="3" t="s">
        <v>28</v>
      </c>
      <c r="H860" s="3" t="s">
        <v>2226</v>
      </c>
      <c r="I860" s="3" t="s">
        <v>15</v>
      </c>
      <c r="J860" s="3" t="s">
        <v>15</v>
      </c>
      <c r="K860" s="3" t="s">
        <v>940</v>
      </c>
      <c r="L860" s="3" t="s">
        <v>2176</v>
      </c>
      <c r="M860" s="3" t="s">
        <v>2176</v>
      </c>
      <c r="N860" s="3" t="s">
        <v>940</v>
      </c>
      <c r="O860" s="3">
        <v>2.0</v>
      </c>
    </row>
    <row r="861" ht="15.75" customHeight="1">
      <c r="A861" s="3" t="s">
        <v>5030</v>
      </c>
      <c r="B861" s="3" t="s">
        <v>5031</v>
      </c>
      <c r="C861" s="3" t="s">
        <v>5032</v>
      </c>
      <c r="D861" s="3" t="s">
        <v>5033</v>
      </c>
      <c r="E861" s="3" t="str">
        <f>IFERROR(__xludf.DUMMYFUNCTION("GOOGLETRANSLATE($D861,""EN"",""RU"")")," Южная Корея")</f>
        <v> Южная Корея</v>
      </c>
      <c r="F861" s="3" t="s">
        <v>559</v>
      </c>
      <c r="G861" s="3" t="s">
        <v>28</v>
      </c>
      <c r="H861" s="3" t="s">
        <v>15</v>
      </c>
      <c r="I861" s="3" t="s">
        <v>2226</v>
      </c>
      <c r="J861" s="3" t="s">
        <v>15</v>
      </c>
      <c r="K861" s="3" t="s">
        <v>2176</v>
      </c>
      <c r="L861" s="3" t="s">
        <v>940</v>
      </c>
      <c r="M861" s="3" t="s">
        <v>2176</v>
      </c>
      <c r="N861" s="3" t="s">
        <v>1425</v>
      </c>
      <c r="O861" s="3">
        <v>1.0</v>
      </c>
    </row>
    <row r="862" ht="15.75" customHeight="1">
      <c r="A862" s="3" t="s">
        <v>5034</v>
      </c>
      <c r="B862" s="3" t="s">
        <v>5035</v>
      </c>
      <c r="C862" s="3" t="s">
        <v>5036</v>
      </c>
      <c r="D862" s="3" t="s">
        <v>5037</v>
      </c>
      <c r="E862" s="3" t="str">
        <f>IFERROR(__xludf.DUMMYFUNCTION("GOOGLETRANSLATE($D862,""EN"",""RU"")")," Правая стрелка")</f>
        <v> Правая стрелка</v>
      </c>
      <c r="F862" s="3" t="s">
        <v>637</v>
      </c>
      <c r="G862" s="3" t="s">
        <v>28</v>
      </c>
      <c r="H862" s="3" t="s">
        <v>2226</v>
      </c>
      <c r="I862" s="3" t="s">
        <v>28</v>
      </c>
      <c r="J862" s="3" t="s">
        <v>2226</v>
      </c>
      <c r="K862" s="3" t="s">
        <v>940</v>
      </c>
      <c r="L862" s="3" t="s">
        <v>786</v>
      </c>
      <c r="M862" s="3" t="s">
        <v>940</v>
      </c>
      <c r="N862" s="3" t="s">
        <v>1425</v>
      </c>
      <c r="O862" s="3">
        <v>1.0</v>
      </c>
    </row>
    <row r="863" ht="15.75" customHeight="1">
      <c r="A863" s="3" t="s">
        <v>5038</v>
      </c>
      <c r="B863" s="3" t="s">
        <v>5039</v>
      </c>
      <c r="C863" s="3" t="s">
        <v>5040</v>
      </c>
      <c r="D863" s="3" t="s">
        <v>5041</v>
      </c>
      <c r="E863" s="3" t="str">
        <f>IFERROR(__xludf.DUMMYFUNCTION("GOOGLETRANSLATE($D863,""EN"",""RU"")")," Инь Янь")</f>
        <v> Инь Янь</v>
      </c>
      <c r="F863" s="3" t="s">
        <v>637</v>
      </c>
      <c r="G863" s="3" t="s">
        <v>28</v>
      </c>
      <c r="H863" s="3" t="s">
        <v>2226</v>
      </c>
      <c r="I863" s="3" t="s">
        <v>15</v>
      </c>
      <c r="J863" s="3" t="s">
        <v>15</v>
      </c>
      <c r="K863" s="3" t="s">
        <v>940</v>
      </c>
      <c r="L863" s="3" t="s">
        <v>2176</v>
      </c>
      <c r="M863" s="3" t="s">
        <v>2176</v>
      </c>
      <c r="N863" s="3" t="s">
        <v>940</v>
      </c>
      <c r="O863" s="3">
        <v>2.0</v>
      </c>
    </row>
    <row r="864" ht="15.75" customHeight="1">
      <c r="A864" s="3" t="s">
        <v>5042</v>
      </c>
      <c r="B864" s="3" t="s">
        <v>5043</v>
      </c>
      <c r="C864" s="3" t="s">
        <v>5044</v>
      </c>
      <c r="D864" s="3" t="s">
        <v>5045</v>
      </c>
      <c r="E864" s="3" t="str">
        <f>IFERROR(__xludf.DUMMYFUNCTION("GOOGLETRANSLATE($D864,""EN"",""RU"")")," Карта мира")</f>
        <v> Карта мира</v>
      </c>
      <c r="F864" s="3" t="s">
        <v>81</v>
      </c>
      <c r="G864" s="3" t="s">
        <v>28</v>
      </c>
      <c r="H864" s="3" t="s">
        <v>15</v>
      </c>
      <c r="I864" s="3" t="s">
        <v>2226</v>
      </c>
      <c r="J864" s="3" t="s">
        <v>15</v>
      </c>
      <c r="K864" s="3" t="s">
        <v>2176</v>
      </c>
      <c r="L864" s="3" t="s">
        <v>940</v>
      </c>
      <c r="M864" s="3" t="s">
        <v>2176</v>
      </c>
      <c r="N864" s="3" t="s">
        <v>1425</v>
      </c>
      <c r="O864" s="3">
        <v>1.0</v>
      </c>
    </row>
    <row r="865" ht="15.75" customHeight="1">
      <c r="A865" s="3" t="s">
        <v>5046</v>
      </c>
      <c r="B865" s="3" t="s">
        <v>5047</v>
      </c>
      <c r="C865" s="3" t="s">
        <v>5048</v>
      </c>
      <c r="D865" s="3" t="s">
        <v>5049</v>
      </c>
      <c r="E865" s="3" t="str">
        <f>IFERROR(__xludf.DUMMYFUNCTION("GOOGLETRANSLATE($D865,""EN"",""RU"")")," Арахис")</f>
        <v> Арахис</v>
      </c>
      <c r="F865" s="3" t="s">
        <v>1510</v>
      </c>
      <c r="G865" s="3" t="s">
        <v>28</v>
      </c>
      <c r="H865" s="3" t="s">
        <v>2226</v>
      </c>
      <c r="I865" s="3" t="s">
        <v>15</v>
      </c>
      <c r="J865" s="3" t="s">
        <v>15</v>
      </c>
      <c r="K865" s="3" t="s">
        <v>940</v>
      </c>
      <c r="L865" s="3" t="s">
        <v>2176</v>
      </c>
      <c r="M865" s="3" t="s">
        <v>2176</v>
      </c>
      <c r="N865" s="3" t="s">
        <v>940</v>
      </c>
      <c r="O865" s="3">
        <v>2.0</v>
      </c>
    </row>
    <row r="866" ht="15.75" customHeight="1">
      <c r="A866" s="3" t="s">
        <v>5050</v>
      </c>
      <c r="B866" s="3" t="s">
        <v>5051</v>
      </c>
      <c r="C866" s="3" t="s">
        <v>5052</v>
      </c>
      <c r="D866" s="3" t="s">
        <v>5053</v>
      </c>
      <c r="E866" s="3" t="str">
        <f>IFERROR(__xludf.DUMMYFUNCTION("GOOGLETRANSLATE($D866,""EN"",""RU"")")," Острый перец")</f>
        <v> Острый перец</v>
      </c>
      <c r="F866" s="3" t="s">
        <v>1510</v>
      </c>
      <c r="G866" s="3" t="s">
        <v>28</v>
      </c>
      <c r="H866" s="3" t="s">
        <v>15</v>
      </c>
      <c r="I866" s="3" t="s">
        <v>2226</v>
      </c>
      <c r="J866" s="3" t="s">
        <v>15</v>
      </c>
      <c r="K866" s="3" t="s">
        <v>2176</v>
      </c>
      <c r="L866" s="3" t="s">
        <v>940</v>
      </c>
      <c r="M866" s="3" t="s">
        <v>2176</v>
      </c>
      <c r="N866" s="3" t="s">
        <v>1425</v>
      </c>
      <c r="O866" s="3">
        <v>1.0</v>
      </c>
    </row>
    <row r="867" ht="15.75" customHeight="1">
      <c r="A867" s="3" t="s">
        <v>5054</v>
      </c>
      <c r="B867" s="3" t="s">
        <v>5055</v>
      </c>
      <c r="C867" s="3" t="s">
        <v>5056</v>
      </c>
      <c r="D867" s="3" t="s">
        <v>5057</v>
      </c>
      <c r="E867" s="3" t="str">
        <f>IFERROR(__xludf.DUMMYFUNCTION("GOOGLETRANSLATE($D867,""EN"",""RU"")")," Женский знак")</f>
        <v> Женский знак</v>
      </c>
      <c r="F867" s="3" t="s">
        <v>637</v>
      </c>
      <c r="G867" s="3" t="s">
        <v>28</v>
      </c>
      <c r="H867" s="3" t="s">
        <v>2226</v>
      </c>
      <c r="I867" s="3" t="s">
        <v>2226</v>
      </c>
      <c r="J867" s="3" t="s">
        <v>28</v>
      </c>
      <c r="K867" s="3" t="s">
        <v>940</v>
      </c>
      <c r="L867" s="3" t="s">
        <v>940</v>
      </c>
      <c r="M867" s="3" t="s">
        <v>786</v>
      </c>
      <c r="N867" s="3" t="s">
        <v>2176</v>
      </c>
      <c r="O867" s="3">
        <v>2.0</v>
      </c>
    </row>
    <row r="868" ht="15.75" customHeight="1">
      <c r="A868" s="3" t="s">
        <v>5058</v>
      </c>
      <c r="B868" s="3" t="s">
        <v>5059</v>
      </c>
      <c r="C868" s="3" t="s">
        <v>5060</v>
      </c>
      <c r="D868" s="3" t="s">
        <v>5061</v>
      </c>
      <c r="E868" s="3" t="str">
        <f>IFERROR(__xludf.DUMMYFUNCTION("GOOGLETRANSLATE($D868,""EN"",""RU"")")," Динамик средней громкости")</f>
        <v> Динамик средней громкости</v>
      </c>
      <c r="F868" s="3" t="s">
        <v>637</v>
      </c>
      <c r="G868" s="3" t="s">
        <v>28</v>
      </c>
      <c r="H868" s="3" t="s">
        <v>28</v>
      </c>
      <c r="I868" s="3" t="s">
        <v>2226</v>
      </c>
      <c r="J868" s="3" t="s">
        <v>2226</v>
      </c>
      <c r="K868" s="3" t="s">
        <v>786</v>
      </c>
      <c r="L868" s="3" t="s">
        <v>940</v>
      </c>
      <c r="M868" s="3" t="s">
        <v>940</v>
      </c>
      <c r="N868" s="3" t="s">
        <v>3429</v>
      </c>
      <c r="O868" s="3">
        <v>0.0</v>
      </c>
    </row>
    <row r="869" ht="15.75" customHeight="1">
      <c r="A869" s="3" t="s">
        <v>5062</v>
      </c>
      <c r="B869" s="3" t="s">
        <v>5063</v>
      </c>
      <c r="C869" s="3" t="s">
        <v>5064</v>
      </c>
      <c r="D869" s="3" t="s">
        <v>5065</v>
      </c>
      <c r="E869" s="3" t="str">
        <f>IFERROR(__xludf.DUMMYFUNCTION("GOOGLETRANSLATE($D869,""EN"",""RU"")")," Новая кнопка")</f>
        <v> Новая кнопка</v>
      </c>
      <c r="F869" s="3" t="s">
        <v>637</v>
      </c>
      <c r="G869" s="3" t="s">
        <v>28</v>
      </c>
      <c r="H869" s="3" t="s">
        <v>2226</v>
      </c>
      <c r="I869" s="3" t="s">
        <v>28</v>
      </c>
      <c r="J869" s="3" t="s">
        <v>2226</v>
      </c>
      <c r="K869" s="3" t="s">
        <v>940</v>
      </c>
      <c r="L869" s="3" t="s">
        <v>786</v>
      </c>
      <c r="M869" s="3" t="s">
        <v>940</v>
      </c>
      <c r="N869" s="3" t="s">
        <v>1425</v>
      </c>
      <c r="O869" s="3">
        <v>1.0</v>
      </c>
    </row>
    <row r="870" ht="15.75" customHeight="1">
      <c r="A870" s="3" t="s">
        <v>5066</v>
      </c>
      <c r="B870" s="3" t="s">
        <v>5067</v>
      </c>
      <c r="C870" s="3" t="s">
        <v>5068</v>
      </c>
      <c r="D870" s="3" t="s">
        <v>5069</v>
      </c>
      <c r="E870" s="3" t="str">
        <f>IFERROR(__xludf.DUMMYFUNCTION("GOOGLETRANSLATE($D870,""EN"",""RU"")")," Белая квадратная кнопка")</f>
        <v> Белая квадратная кнопка</v>
      </c>
      <c r="F870" s="3" t="s">
        <v>637</v>
      </c>
      <c r="G870" s="3" t="s">
        <v>28</v>
      </c>
      <c r="H870" s="3" t="s">
        <v>2226</v>
      </c>
      <c r="I870" s="3" t="s">
        <v>28</v>
      </c>
      <c r="J870" s="3" t="s">
        <v>2226</v>
      </c>
      <c r="K870" s="3" t="s">
        <v>940</v>
      </c>
      <c r="L870" s="3" t="s">
        <v>786</v>
      </c>
      <c r="M870" s="3" t="s">
        <v>940</v>
      </c>
      <c r="N870" s="3" t="s">
        <v>1425</v>
      </c>
      <c r="O870" s="3">
        <v>1.0</v>
      </c>
    </row>
    <row r="871" ht="15.75" customHeight="1">
      <c r="A871" s="3" t="s">
        <v>5070</v>
      </c>
      <c r="B871" s="3" t="s">
        <v>5071</v>
      </c>
      <c r="C871" s="3" t="s">
        <v>5072</v>
      </c>
      <c r="D871" s="3" t="s">
        <v>5073</v>
      </c>
      <c r="E871" s="3" t="str">
        <f>IFERROR(__xludf.DUMMYFUNCTION("GOOGLETRANSLATE($D871,""EN"",""RU"")")," Кнопка перемотки вперед")</f>
        <v> Кнопка перемотки вперед</v>
      </c>
      <c r="F871" s="3" t="s">
        <v>637</v>
      </c>
      <c r="G871" s="3" t="s">
        <v>28</v>
      </c>
      <c r="H871" s="3" t="s">
        <v>2226</v>
      </c>
      <c r="I871" s="3" t="s">
        <v>28</v>
      </c>
      <c r="J871" s="3" t="s">
        <v>2226</v>
      </c>
      <c r="K871" s="3" t="s">
        <v>940</v>
      </c>
      <c r="L871" s="3" t="s">
        <v>786</v>
      </c>
      <c r="M871" s="3" t="s">
        <v>940</v>
      </c>
      <c r="N871" s="3" t="s">
        <v>1425</v>
      </c>
      <c r="O871" s="3">
        <v>1.0</v>
      </c>
    </row>
    <row r="872" ht="15.75" customHeight="1">
      <c r="A872" s="3" t="s">
        <v>131</v>
      </c>
      <c r="B872" s="3" t="s">
        <v>5074</v>
      </c>
      <c r="C872" s="3" t="s">
        <v>5075</v>
      </c>
      <c r="D872" s="3" t="s">
        <v>5076</v>
      </c>
      <c r="E872" s="3" t="str">
        <f>IFERROR(__xludf.DUMMYFUNCTION("GOOGLETRANSLATE($D872,""EN"",""RU"")")," Звезда и Полумесяц")</f>
        <v> Звезда и Полумесяц</v>
      </c>
      <c r="F872" s="3" t="s">
        <v>637</v>
      </c>
      <c r="G872" s="3" t="s">
        <v>28</v>
      </c>
      <c r="H872" s="3" t="s">
        <v>15</v>
      </c>
      <c r="I872" s="3" t="s">
        <v>2226</v>
      </c>
      <c r="J872" s="3" t="s">
        <v>15</v>
      </c>
      <c r="K872" s="3" t="s">
        <v>2176</v>
      </c>
      <c r="L872" s="3" t="s">
        <v>940</v>
      </c>
      <c r="M872" s="3" t="s">
        <v>2176</v>
      </c>
      <c r="N872" s="3" t="s">
        <v>1425</v>
      </c>
      <c r="O872" s="3">
        <v>1.0</v>
      </c>
    </row>
    <row r="873" ht="15.75" customHeight="1">
      <c r="A873" s="3" t="s">
        <v>5077</v>
      </c>
      <c r="B873" s="3" t="s">
        <v>5078</v>
      </c>
      <c r="C873" s="3" t="s">
        <v>5079</v>
      </c>
      <c r="D873" s="3" t="s">
        <v>5080</v>
      </c>
      <c r="E873" s="3" t="str">
        <f>IFERROR(__xludf.DUMMYFUNCTION("GOOGLETRANSLATE($D873,""EN"",""RU"")")," Стрелка вправо, изгибающаяся вверх")</f>
        <v> Стрелка вправо, изгибающаяся вверх</v>
      </c>
      <c r="F873" s="3" t="s">
        <v>637</v>
      </c>
      <c r="G873" s="3" t="s">
        <v>28</v>
      </c>
      <c r="H873" s="3" t="s">
        <v>2226</v>
      </c>
      <c r="I873" s="3" t="s">
        <v>15</v>
      </c>
      <c r="J873" s="3" t="s">
        <v>15</v>
      </c>
      <c r="K873" s="3" t="s">
        <v>940</v>
      </c>
      <c r="L873" s="3" t="s">
        <v>2176</v>
      </c>
      <c r="M873" s="3" t="s">
        <v>2176</v>
      </c>
      <c r="N873" s="3" t="s">
        <v>940</v>
      </c>
      <c r="O873" s="3">
        <v>2.0</v>
      </c>
    </row>
    <row r="874" ht="15.75" customHeight="1">
      <c r="A874" s="3" t="s">
        <v>5081</v>
      </c>
      <c r="B874" s="3" t="s">
        <v>5082</v>
      </c>
      <c r="C874" s="3" t="s">
        <v>5083</v>
      </c>
      <c r="D874" s="3" t="s">
        <v>5084</v>
      </c>
      <c r="E874" s="3" t="str">
        <f>IFERROR(__xludf.DUMMYFUNCTION("GOOGLETRANSLATE($D874,""EN"",""RU"")")," Кнопка O (группа крови)")</f>
        <v> Кнопка O (группа крови)</v>
      </c>
      <c r="F874" s="3" t="s">
        <v>637</v>
      </c>
      <c r="G874" s="3" t="s">
        <v>28</v>
      </c>
      <c r="H874" s="3" t="s">
        <v>15</v>
      </c>
      <c r="I874" s="3" t="s">
        <v>15</v>
      </c>
      <c r="J874" s="3" t="s">
        <v>2226</v>
      </c>
      <c r="K874" s="3" t="s">
        <v>2176</v>
      </c>
      <c r="L874" s="3" t="s">
        <v>2176</v>
      </c>
      <c r="M874" s="3" t="s">
        <v>940</v>
      </c>
      <c r="N874" s="3" t="s">
        <v>4182</v>
      </c>
      <c r="O874" s="3">
        <v>0.0</v>
      </c>
    </row>
    <row r="875" ht="15.75" customHeight="1">
      <c r="A875" s="3" t="s">
        <v>716</v>
      </c>
      <c r="B875" s="3" t="s">
        <v>5085</v>
      </c>
      <c r="C875" s="3" t="s">
        <v>5086</v>
      </c>
      <c r="D875" s="3" t="s">
        <v>5087</v>
      </c>
      <c r="E875" s="3" t="str">
        <f>IFERROR(__xludf.DUMMYFUNCTION("GOOGLETRANSLATE($D875,""EN"",""RU"")")," Водолей")</f>
        <v> Водолей</v>
      </c>
      <c r="F875" s="3" t="s">
        <v>637</v>
      </c>
      <c r="G875" s="3" t="s">
        <v>28</v>
      </c>
      <c r="H875" s="3" t="s">
        <v>2226</v>
      </c>
      <c r="I875" s="3" t="s">
        <v>15</v>
      </c>
      <c r="J875" s="3" t="s">
        <v>15</v>
      </c>
      <c r="K875" s="3" t="s">
        <v>940</v>
      </c>
      <c r="L875" s="3" t="s">
        <v>2176</v>
      </c>
      <c r="M875" s="3" t="s">
        <v>2176</v>
      </c>
      <c r="N875" s="3" t="s">
        <v>940</v>
      </c>
      <c r="O875" s="3">
        <v>2.0</v>
      </c>
    </row>
    <row r="876" ht="15.75" customHeight="1">
      <c r="A876" s="3" t="s">
        <v>5088</v>
      </c>
      <c r="B876" s="3" t="s">
        <v>5089</v>
      </c>
      <c r="C876" s="3" t="s">
        <v>5090</v>
      </c>
      <c r="D876" s="3" t="s">
        <v>5091</v>
      </c>
      <c r="E876" s="3" t="str">
        <f>IFERROR(__xludf.DUMMYFUNCTION("GOOGLETRANSLATE($D876,""EN"",""RU"")")," Стрелка вверх-вправо")</f>
        <v> Стрелка вверх-вправо</v>
      </c>
      <c r="F876" s="3" t="s">
        <v>637</v>
      </c>
      <c r="G876" s="3" t="s">
        <v>28</v>
      </c>
      <c r="H876" s="3" t="s">
        <v>2226</v>
      </c>
      <c r="I876" s="3" t="s">
        <v>28</v>
      </c>
      <c r="J876" s="3" t="s">
        <v>2226</v>
      </c>
      <c r="K876" s="3" t="s">
        <v>940</v>
      </c>
      <c r="L876" s="3" t="s">
        <v>786</v>
      </c>
      <c r="M876" s="3" t="s">
        <v>940</v>
      </c>
      <c r="N876" s="3" t="s">
        <v>1425</v>
      </c>
      <c r="O876" s="3">
        <v>1.0</v>
      </c>
    </row>
    <row r="877" ht="15.75" customHeight="1">
      <c r="A877" s="3" t="s">
        <v>5092</v>
      </c>
      <c r="B877" s="3" t="s">
        <v>5093</v>
      </c>
      <c r="C877" s="3" t="s">
        <v>5094</v>
      </c>
      <c r="D877" s="3" t="s">
        <v>5095</v>
      </c>
      <c r="E877" s="3" t="str">
        <f>IFERROR(__xludf.DUMMYFUNCTION("GOOGLETRANSLATE($D877,""EN"",""RU"")")," Бесконечность")</f>
        <v> Бесконечность</v>
      </c>
      <c r="F877" s="3" t="s">
        <v>637</v>
      </c>
      <c r="G877" s="3" t="s">
        <v>28</v>
      </c>
      <c r="H877" s="3" t="s">
        <v>15</v>
      </c>
      <c r="I877" s="3" t="s">
        <v>2226</v>
      </c>
      <c r="J877" s="3" t="s">
        <v>15</v>
      </c>
      <c r="K877" s="3" t="s">
        <v>2176</v>
      </c>
      <c r="L877" s="3" t="s">
        <v>940</v>
      </c>
      <c r="M877" s="3" t="s">
        <v>2176</v>
      </c>
      <c r="N877" s="3" t="s">
        <v>1425</v>
      </c>
      <c r="O877" s="3">
        <v>1.0</v>
      </c>
    </row>
    <row r="878" ht="15.75" customHeight="1">
      <c r="A878" s="3" t="s">
        <v>5096</v>
      </c>
      <c r="B878" s="3" t="s">
        <v>5097</v>
      </c>
      <c r="C878" s="3" t="s">
        <v>5098</v>
      </c>
      <c r="D878" s="3" t="s">
        <v>5099</v>
      </c>
      <c r="E878" s="3" t="str">
        <f>IFERROR(__xludf.DUMMYFUNCTION("GOOGLETRANSLATE($D878,""EN"",""RU"")")," Кнопка Cl")</f>
        <v> Кнопка Cl</v>
      </c>
      <c r="F878" s="3" t="s">
        <v>637</v>
      </c>
      <c r="G878" s="3" t="s">
        <v>28</v>
      </c>
      <c r="H878" s="3" t="s">
        <v>2226</v>
      </c>
      <c r="I878" s="3" t="s">
        <v>28</v>
      </c>
      <c r="J878" s="3" t="s">
        <v>2226</v>
      </c>
      <c r="K878" s="3" t="s">
        <v>940</v>
      </c>
      <c r="L878" s="3" t="s">
        <v>786</v>
      </c>
      <c r="M878" s="3" t="s">
        <v>940</v>
      </c>
      <c r="N878" s="3" t="s">
        <v>1425</v>
      </c>
      <c r="O878" s="3">
        <v>1.0</v>
      </c>
    </row>
    <row r="879" ht="15.75" customHeight="1">
      <c r="A879" s="3" t="s">
        <v>5100</v>
      </c>
      <c r="B879" s="3" t="s">
        <v>5101</v>
      </c>
      <c r="C879" s="3" t="s">
        <v>5102</v>
      </c>
      <c r="D879" s="3" t="s">
        <v>5103</v>
      </c>
      <c r="E879" s="3" t="str">
        <f>IFERROR(__xludf.DUMMYFUNCTION("GOOGLETRANSLATE($D879,""EN"",""RU"")")," Механизм")</f>
        <v> Механизм</v>
      </c>
      <c r="F879" s="3" t="s">
        <v>637</v>
      </c>
      <c r="G879" s="3" t="s">
        <v>28</v>
      </c>
      <c r="H879" s="3" t="s">
        <v>15</v>
      </c>
      <c r="I879" s="3" t="s">
        <v>15</v>
      </c>
      <c r="J879" s="3" t="s">
        <v>2226</v>
      </c>
      <c r="K879" s="3" t="s">
        <v>2176</v>
      </c>
      <c r="L879" s="3" t="s">
        <v>2176</v>
      </c>
      <c r="M879" s="3" t="s">
        <v>940</v>
      </c>
      <c r="N879" s="3" t="s">
        <v>4182</v>
      </c>
      <c r="O879" s="3">
        <v>0.0</v>
      </c>
    </row>
    <row r="880" ht="15.75" customHeight="1">
      <c r="A880" s="3" t="s">
        <v>5104</v>
      </c>
      <c r="B880" s="3" t="s">
        <v>5105</v>
      </c>
      <c r="C880" s="3" t="s">
        <v>5106</v>
      </c>
      <c r="D880" s="3" t="s">
        <v>5107</v>
      </c>
      <c r="E880" s="3" t="str">
        <f>IFERROR(__xludf.DUMMYFUNCTION("GOOGLETRANSLATE($D880,""EN"",""RU"")")," Оден")</f>
        <v> Оден</v>
      </c>
      <c r="F880" s="3" t="s">
        <v>1510</v>
      </c>
      <c r="G880" s="3" t="s">
        <v>28</v>
      </c>
      <c r="H880" s="3" t="s">
        <v>2226</v>
      </c>
      <c r="I880" s="3" t="s">
        <v>15</v>
      </c>
      <c r="J880" s="3" t="s">
        <v>15</v>
      </c>
      <c r="K880" s="3" t="s">
        <v>940</v>
      </c>
      <c r="L880" s="3" t="s">
        <v>2176</v>
      </c>
      <c r="M880" s="3" t="s">
        <v>2176</v>
      </c>
      <c r="N880" s="3" t="s">
        <v>940</v>
      </c>
      <c r="O880" s="3">
        <v>2.0</v>
      </c>
    </row>
    <row r="881" ht="15.75" customHeight="1">
      <c r="A881" s="3" t="s">
        <v>5108</v>
      </c>
      <c r="B881" s="3" t="s">
        <v>5109</v>
      </c>
      <c r="C881" s="3" t="s">
        <v>5110</v>
      </c>
      <c r="D881" s="3" t="s">
        <v>5111</v>
      </c>
      <c r="E881" s="3" t="str">
        <f>IFERROR(__xludf.DUMMYFUNCTION("GOOGLETRANSLATE($D881,""EN"",""RU"")")," Сиденье")</f>
        <v> Сиденье</v>
      </c>
      <c r="F881" s="3" t="s">
        <v>358</v>
      </c>
      <c r="G881" s="3" t="s">
        <v>28</v>
      </c>
      <c r="H881" s="3" t="s">
        <v>15</v>
      </c>
      <c r="I881" s="3" t="s">
        <v>15</v>
      </c>
      <c r="J881" s="3" t="s">
        <v>2226</v>
      </c>
      <c r="K881" s="3" t="s">
        <v>2176</v>
      </c>
      <c r="L881" s="3" t="s">
        <v>2176</v>
      </c>
      <c r="M881" s="3" t="s">
        <v>940</v>
      </c>
      <c r="N881" s="3" t="s">
        <v>4182</v>
      </c>
      <c r="O881" s="3">
        <v>0.0</v>
      </c>
    </row>
    <row r="882" ht="15.75" customHeight="1">
      <c r="A882" s="3" t="s">
        <v>5112</v>
      </c>
      <c r="B882" s="3" t="s">
        <v>5113</v>
      </c>
      <c r="C882" s="3" t="s">
        <v>5114</v>
      </c>
      <c r="D882" s="3" t="s">
        <v>5115</v>
      </c>
      <c r="E882" s="3" t="str">
        <f>IFERROR(__xludf.DUMMYFUNCTION("GOOGLETRANSLATE($D882,""EN"",""RU"")")," Черепаха")</f>
        <v> Черепаха</v>
      </c>
      <c r="F882" s="3" t="s">
        <v>81</v>
      </c>
      <c r="G882" s="3" t="s">
        <v>28</v>
      </c>
      <c r="H882" s="3" t="s">
        <v>28</v>
      </c>
      <c r="I882" s="3" t="s">
        <v>2226</v>
      </c>
      <c r="J882" s="3" t="s">
        <v>2226</v>
      </c>
      <c r="K882" s="3" t="s">
        <v>786</v>
      </c>
      <c r="L882" s="3" t="s">
        <v>940</v>
      </c>
      <c r="M882" s="3" t="s">
        <v>940</v>
      </c>
      <c r="N882" s="3" t="s">
        <v>3429</v>
      </c>
      <c r="O882" s="3">
        <v>0.0</v>
      </c>
    </row>
    <row r="883" ht="15.75" customHeight="1">
      <c r="A883" s="3" t="s">
        <v>5116</v>
      </c>
      <c r="B883" s="3" t="s">
        <v>5117</v>
      </c>
      <c r="C883" s="3" t="s">
        <v>5118</v>
      </c>
      <c r="D883" s="3" t="s">
        <v>5119</v>
      </c>
      <c r="E883" s="3" t="str">
        <f>IFERROR(__xludf.DUMMYFUNCTION("GOOGLETRANSLATE($D883,""EN"",""RU"")")," Щит")</f>
        <v> Щит</v>
      </c>
      <c r="F883" s="3" t="s">
        <v>358</v>
      </c>
      <c r="G883" s="3" t="s">
        <v>28</v>
      </c>
      <c r="H883" s="3" t="s">
        <v>2226</v>
      </c>
      <c r="I883" s="3" t="s">
        <v>28</v>
      </c>
      <c r="J883" s="3" t="s">
        <v>2226</v>
      </c>
      <c r="K883" s="3" t="s">
        <v>940</v>
      </c>
      <c r="L883" s="3" t="s">
        <v>786</v>
      </c>
      <c r="M883" s="3" t="s">
        <v>940</v>
      </c>
      <c r="N883" s="3" t="s">
        <v>1425</v>
      </c>
      <c r="O883" s="3">
        <v>1.0</v>
      </c>
    </row>
    <row r="884" ht="15.75" customHeight="1">
      <c r="A884" s="3" t="s">
        <v>5120</v>
      </c>
      <c r="B884" s="3" t="s">
        <v>5121</v>
      </c>
      <c r="C884" s="3" t="s">
        <v>5122</v>
      </c>
      <c r="D884" s="3" t="s">
        <v>5123</v>
      </c>
      <c r="E884" s="3" t="str">
        <f>IFERROR(__xludf.DUMMYFUNCTION("GOOGLETRANSLATE($D884,""EN"",""RU"")")," Пул 8 мяч")</f>
        <v> Пул 8 мяч</v>
      </c>
      <c r="F884" s="3" t="s">
        <v>358</v>
      </c>
      <c r="G884" s="3" t="s">
        <v>28</v>
      </c>
      <c r="H884" s="3" t="s">
        <v>15</v>
      </c>
      <c r="I884" s="3" t="s">
        <v>15</v>
      </c>
      <c r="J884" s="3" t="s">
        <v>2226</v>
      </c>
      <c r="K884" s="3" t="s">
        <v>2176</v>
      </c>
      <c r="L884" s="3" t="s">
        <v>2176</v>
      </c>
      <c r="M884" s="3" t="s">
        <v>940</v>
      </c>
      <c r="N884" s="3" t="s">
        <v>4182</v>
      </c>
      <c r="O884" s="3">
        <v>0.0</v>
      </c>
    </row>
    <row r="885" ht="15.75" customHeight="1">
      <c r="A885" s="3" t="s">
        <v>5124</v>
      </c>
      <c r="B885" s="3" t="s">
        <v>5125</v>
      </c>
      <c r="C885" s="3" t="s">
        <v>5126</v>
      </c>
      <c r="D885" s="3" t="s">
        <v>5127</v>
      </c>
      <c r="E885" s="3" t="str">
        <f>IFERROR(__xludf.DUMMYFUNCTION("GOOGLETRANSLATE($D885,""EN"",""RU"")")," Похоронная урна")</f>
        <v> Похоронная урна</v>
      </c>
      <c r="F885" s="3" t="s">
        <v>358</v>
      </c>
      <c r="G885" s="3" t="s">
        <v>28</v>
      </c>
      <c r="H885" s="3" t="s">
        <v>2226</v>
      </c>
      <c r="I885" s="3" t="s">
        <v>2226</v>
      </c>
      <c r="J885" s="3" t="s">
        <v>28</v>
      </c>
      <c r="K885" s="3" t="s">
        <v>940</v>
      </c>
      <c r="L885" s="3" t="s">
        <v>940</v>
      </c>
      <c r="M885" s="3" t="s">
        <v>786</v>
      </c>
      <c r="N885" s="3" t="s">
        <v>2176</v>
      </c>
      <c r="O885" s="3">
        <v>2.0</v>
      </c>
    </row>
    <row r="886" ht="15.75" customHeight="1">
      <c r="A886" s="3" t="s">
        <v>5128</v>
      </c>
      <c r="B886" s="3" t="s">
        <v>5129</v>
      </c>
      <c r="C886" s="3" t="s">
        <v>5130</v>
      </c>
      <c r="D886" s="3" t="s">
        <v>5131</v>
      </c>
      <c r="E886" s="3" t="str">
        <f>IFERROR(__xludf.DUMMYFUNCTION("GOOGLETRANSLATE($D886,""EN"",""RU"")")," Высокоскоростной поезд")</f>
        <v> Высокоскоростной поезд</v>
      </c>
      <c r="F886" s="3" t="s">
        <v>358</v>
      </c>
      <c r="G886" s="3" t="s">
        <v>28</v>
      </c>
      <c r="H886" s="3" t="s">
        <v>2226</v>
      </c>
      <c r="I886" s="3" t="s">
        <v>2226</v>
      </c>
      <c r="J886" s="3" t="s">
        <v>28</v>
      </c>
      <c r="K886" s="3" t="s">
        <v>940</v>
      </c>
      <c r="L886" s="3" t="s">
        <v>940</v>
      </c>
      <c r="M886" s="3" t="s">
        <v>786</v>
      </c>
      <c r="N886" s="3" t="s">
        <v>2176</v>
      </c>
      <c r="O886" s="3">
        <v>2.0</v>
      </c>
    </row>
    <row r="887" ht="15.75" customHeight="1">
      <c r="A887" s="3" t="s">
        <v>5132</v>
      </c>
      <c r="B887" s="3" t="s">
        <v>5133</v>
      </c>
      <c r="C887" s="3" t="s">
        <v>5134</v>
      </c>
      <c r="D887" s="3" t="s">
        <v>5135</v>
      </c>
      <c r="E887" s="3" t="str">
        <f>IFERROR(__xludf.DUMMYFUNCTION("GOOGLETRANSLATE($D887,""EN"",""RU"")")," Медаль за 2-е место")</f>
        <v> Медаль за 2-е место</v>
      </c>
      <c r="F887" s="3" t="s">
        <v>358</v>
      </c>
      <c r="G887" s="3" t="s">
        <v>28</v>
      </c>
      <c r="H887" s="3" t="s">
        <v>2226</v>
      </c>
      <c r="I887" s="3" t="s">
        <v>15</v>
      </c>
      <c r="J887" s="3" t="s">
        <v>15</v>
      </c>
      <c r="K887" s="3" t="s">
        <v>940</v>
      </c>
      <c r="L887" s="3" t="s">
        <v>2176</v>
      </c>
      <c r="M887" s="3" t="s">
        <v>2176</v>
      </c>
      <c r="N887" s="3" t="s">
        <v>940</v>
      </c>
      <c r="O887" s="3">
        <v>2.0</v>
      </c>
    </row>
    <row r="888" ht="15.75" customHeight="1">
      <c r="A888" s="3" t="s">
        <v>5136</v>
      </c>
      <c r="B888" s="3" t="s">
        <v>5137</v>
      </c>
      <c r="C888" s="3" t="s">
        <v>5138</v>
      </c>
      <c r="D888" s="3" t="s">
        <v>5139</v>
      </c>
      <c r="E888" s="3" t="str">
        <f>IFERROR(__xludf.DUMMYFUNCTION("GOOGLETRANSLATE($D888,""EN"",""RU"")")," DVD")</f>
        <v> DVD</v>
      </c>
      <c r="F888" s="3" t="s">
        <v>358</v>
      </c>
      <c r="G888" s="3" t="s">
        <v>28</v>
      </c>
      <c r="H888" s="3" t="s">
        <v>15</v>
      </c>
      <c r="I888" s="3" t="s">
        <v>2226</v>
      </c>
      <c r="J888" s="3" t="s">
        <v>15</v>
      </c>
      <c r="K888" s="3" t="s">
        <v>2176</v>
      </c>
      <c r="L888" s="3" t="s">
        <v>940</v>
      </c>
      <c r="M888" s="3" t="s">
        <v>2176</v>
      </c>
      <c r="N888" s="3" t="s">
        <v>1425</v>
      </c>
      <c r="O888" s="3">
        <v>1.0</v>
      </c>
    </row>
    <row r="889" ht="15.75" customHeight="1">
      <c r="A889" s="3" t="s">
        <v>5140</v>
      </c>
      <c r="B889" s="3" t="s">
        <v>5141</v>
      </c>
      <c r="C889" s="3" t="s">
        <v>5142</v>
      </c>
      <c r="D889" s="3" t="s">
        <v>5143</v>
      </c>
      <c r="E889" s="3" t="str">
        <f>IFERROR(__xludf.DUMMYFUNCTION("GOOGLETRANSLATE($D889,""EN"",""RU"")")," Корабль")</f>
        <v> Корабль</v>
      </c>
      <c r="F889" s="3" t="s">
        <v>358</v>
      </c>
      <c r="G889" s="3" t="s">
        <v>28</v>
      </c>
      <c r="H889" s="3" t="s">
        <v>15</v>
      </c>
      <c r="I889" s="3" t="s">
        <v>2226</v>
      </c>
      <c r="J889" s="3" t="s">
        <v>15</v>
      </c>
      <c r="K889" s="3" t="s">
        <v>2176</v>
      </c>
      <c r="L889" s="3" t="s">
        <v>940</v>
      </c>
      <c r="M889" s="3" t="s">
        <v>2176</v>
      </c>
      <c r="N889" s="3" t="s">
        <v>1425</v>
      </c>
      <c r="O889" s="3">
        <v>1.0</v>
      </c>
    </row>
    <row r="890" ht="15.75" customHeight="1">
      <c r="A890" s="3" t="s">
        <v>5144</v>
      </c>
      <c r="B890" s="3" t="s">
        <v>5145</v>
      </c>
      <c r="C890" s="3" t="s">
        <v>5146</v>
      </c>
      <c r="D890" s="3" t="s">
        <v>5147</v>
      </c>
      <c r="E890" s="3" t="str">
        <f>IFERROR(__xludf.DUMMYFUNCTION("GOOGLETRANSLATE($D890,""EN"",""RU"")")," Оптический диск")</f>
        <v> Оптический диск</v>
      </c>
      <c r="F890" s="3" t="s">
        <v>358</v>
      </c>
      <c r="G890" s="3" t="s">
        <v>28</v>
      </c>
      <c r="H890" s="3" t="s">
        <v>2226</v>
      </c>
      <c r="I890" s="3" t="s">
        <v>28</v>
      </c>
      <c r="J890" s="3" t="s">
        <v>2226</v>
      </c>
      <c r="K890" s="3" t="s">
        <v>940</v>
      </c>
      <c r="L890" s="3" t="s">
        <v>786</v>
      </c>
      <c r="M890" s="3" t="s">
        <v>940</v>
      </c>
      <c r="N890" s="3" t="s">
        <v>1425</v>
      </c>
      <c r="O890" s="3">
        <v>1.0</v>
      </c>
    </row>
    <row r="891" ht="15.75" customHeight="1">
      <c r="A891" s="3" t="s">
        <v>5148</v>
      </c>
      <c r="B891" s="3" t="s">
        <v>5149</v>
      </c>
      <c r="C891" s="3" t="s">
        <v>5150</v>
      </c>
      <c r="D891" s="3" t="s">
        <v>5151</v>
      </c>
      <c r="E891" s="3" t="str">
        <f>IFERROR(__xludf.DUMMYFUNCTION("GOOGLETRANSLATE($D891,""EN"",""RU"")")," Бадминтон")</f>
        <v> Бадминтон</v>
      </c>
      <c r="F891" s="3" t="s">
        <v>358</v>
      </c>
      <c r="G891" s="3" t="s">
        <v>28</v>
      </c>
      <c r="H891" s="3" t="s">
        <v>2226</v>
      </c>
      <c r="I891" s="3" t="s">
        <v>28</v>
      </c>
      <c r="J891" s="3" t="s">
        <v>2226</v>
      </c>
      <c r="K891" s="3" t="s">
        <v>940</v>
      </c>
      <c r="L891" s="3" t="s">
        <v>786</v>
      </c>
      <c r="M891" s="3" t="s">
        <v>940</v>
      </c>
      <c r="N891" s="3" t="s">
        <v>1425</v>
      </c>
      <c r="O891" s="3">
        <v>1.0</v>
      </c>
    </row>
    <row r="892" ht="15.75" customHeight="1">
      <c r="A892" s="3" t="s">
        <v>5152</v>
      </c>
      <c r="B892" s="3" t="s">
        <v>5153</v>
      </c>
      <c r="C892" s="3" t="s">
        <v>5154</v>
      </c>
      <c r="D892" s="3" t="s">
        <v>5155</v>
      </c>
      <c r="E892" s="3" t="str">
        <f>IFERROR(__xludf.DUMMYFUNCTION("GOOGLETRANSLATE($D892,""EN"",""RU"")")," Топливный насос")</f>
        <v> Топливный насос</v>
      </c>
      <c r="F892" s="3" t="s">
        <v>358</v>
      </c>
      <c r="G892" s="3" t="s">
        <v>28</v>
      </c>
      <c r="H892" s="3" t="s">
        <v>28</v>
      </c>
      <c r="I892" s="3" t="s">
        <v>2226</v>
      </c>
      <c r="J892" s="3" t="s">
        <v>2226</v>
      </c>
      <c r="K892" s="3" t="s">
        <v>786</v>
      </c>
      <c r="L892" s="3" t="s">
        <v>940</v>
      </c>
      <c r="M892" s="3" t="s">
        <v>940</v>
      </c>
      <c r="N892" s="3" t="s">
        <v>3429</v>
      </c>
      <c r="O892" s="3">
        <v>0.0</v>
      </c>
    </row>
    <row r="893" ht="15.75" customHeight="1">
      <c r="A893" s="3" t="s">
        <v>5156</v>
      </c>
      <c r="B893" s="3" t="s">
        <v>5157</v>
      </c>
      <c r="C893" s="3" t="s">
        <v>5158</v>
      </c>
      <c r="D893" s="3" t="s">
        <v>5159</v>
      </c>
      <c r="E893" s="3" t="str">
        <f>IFERROR(__xludf.DUMMYFUNCTION("GOOGLETRANSLATE($D893,""EN"",""RU"")")," Джокер")</f>
        <v> Джокер</v>
      </c>
      <c r="F893" s="3" t="s">
        <v>358</v>
      </c>
      <c r="G893" s="3" t="s">
        <v>28</v>
      </c>
      <c r="H893" s="3" t="s">
        <v>2226</v>
      </c>
      <c r="I893" s="3" t="s">
        <v>15</v>
      </c>
      <c r="J893" s="3" t="s">
        <v>15</v>
      </c>
      <c r="K893" s="3" t="s">
        <v>940</v>
      </c>
      <c r="L893" s="3" t="s">
        <v>2176</v>
      </c>
      <c r="M893" s="3" t="s">
        <v>2176</v>
      </c>
      <c r="N893" s="3" t="s">
        <v>940</v>
      </c>
      <c r="O893" s="3">
        <v>2.0</v>
      </c>
    </row>
    <row r="894" ht="15.75" customHeight="1">
      <c r="A894" s="3" t="s">
        <v>5160</v>
      </c>
      <c r="B894" s="3" t="s">
        <v>5161</v>
      </c>
      <c r="C894" s="3" t="s">
        <v>5162</v>
      </c>
      <c r="D894" s="3" t="s">
        <v>5163</v>
      </c>
      <c r="E894" s="3" t="str">
        <f>IFERROR(__xludf.DUMMYFUNCTION("GOOGLETRANSLATE($D894,""EN"",""RU"")")," Бык")</f>
        <v> Бык</v>
      </c>
      <c r="F894" s="3" t="s">
        <v>81</v>
      </c>
      <c r="G894" s="3" t="s">
        <v>28</v>
      </c>
      <c r="H894" s="3" t="s">
        <v>28</v>
      </c>
      <c r="I894" s="3" t="s">
        <v>2226</v>
      </c>
      <c r="J894" s="3" t="s">
        <v>2226</v>
      </c>
      <c r="K894" s="3" t="s">
        <v>786</v>
      </c>
      <c r="L894" s="3" t="s">
        <v>940</v>
      </c>
      <c r="M894" s="3" t="s">
        <v>940</v>
      </c>
      <c r="N894" s="3" t="s">
        <v>3429</v>
      </c>
      <c r="O894" s="3">
        <v>0.0</v>
      </c>
    </row>
    <row r="895" ht="15.75" customHeight="1">
      <c r="A895" s="3" t="s">
        <v>5164</v>
      </c>
      <c r="B895" s="3" t="s">
        <v>5165</v>
      </c>
      <c r="C895" s="3" t="s">
        <v>5166</v>
      </c>
      <c r="D895" s="3" t="s">
        <v>5167</v>
      </c>
      <c r="E895" s="3" t="str">
        <f>IFERROR(__xludf.DUMMYFUNCTION("GOOGLETRANSLATE($D895,""EN"",""RU"")")," Пожарная машина")</f>
        <v> Пожарная машина</v>
      </c>
      <c r="F895" s="3" t="s">
        <v>358</v>
      </c>
      <c r="G895" s="3" t="s">
        <v>28</v>
      </c>
      <c r="H895" s="3" t="s">
        <v>2226</v>
      </c>
      <c r="I895" s="3" t="s">
        <v>15</v>
      </c>
      <c r="J895" s="3" t="s">
        <v>15</v>
      </c>
      <c r="K895" s="3" t="s">
        <v>940</v>
      </c>
      <c r="L895" s="3" t="s">
        <v>2176</v>
      </c>
      <c r="M895" s="3" t="s">
        <v>2176</v>
      </c>
      <c r="N895" s="3" t="s">
        <v>940</v>
      </c>
      <c r="O895" s="3">
        <v>2.0</v>
      </c>
    </row>
    <row r="896" ht="15.75" customHeight="1">
      <c r="A896" s="3" t="s">
        <v>5168</v>
      </c>
      <c r="B896" s="3" t="s">
        <v>5169</v>
      </c>
      <c r="C896" s="3" t="s">
        <v>5170</v>
      </c>
      <c r="D896" s="3" t="s">
        <v>5171</v>
      </c>
      <c r="E896" s="3" t="str">
        <f>IFERROR(__xludf.DUMMYFUNCTION("GOOGLETRANSLATE($D896,""EN"",""RU"")")," Грузовик доставки")</f>
        <v> Грузовик доставки</v>
      </c>
      <c r="F896" s="3" t="s">
        <v>358</v>
      </c>
      <c r="G896" s="3" t="s">
        <v>28</v>
      </c>
      <c r="H896" s="3" t="s">
        <v>2226</v>
      </c>
      <c r="I896" s="3" t="s">
        <v>2226</v>
      </c>
      <c r="J896" s="3" t="s">
        <v>28</v>
      </c>
      <c r="K896" s="3" t="s">
        <v>940</v>
      </c>
      <c r="L896" s="3" t="s">
        <v>940</v>
      </c>
      <c r="M896" s="3" t="s">
        <v>786</v>
      </c>
      <c r="N896" s="3" t="s">
        <v>2176</v>
      </c>
      <c r="O896" s="3">
        <v>2.0</v>
      </c>
    </row>
    <row r="897" ht="15.75" customHeight="1">
      <c r="A897" s="3" t="s">
        <v>5172</v>
      </c>
      <c r="B897" s="3" t="s">
        <v>5173</v>
      </c>
      <c r="C897" s="3" t="s">
        <v>5174</v>
      </c>
      <c r="D897" s="3" t="s">
        <v>5175</v>
      </c>
      <c r="E897" s="3" t="str">
        <f>IFERROR(__xludf.DUMMYFUNCTION("GOOGLETRANSLATE($D897,""EN"",""RU"")")," Блокнот с декоративной обложкой")</f>
        <v> Блокнот с декоративной обложкой</v>
      </c>
      <c r="F897" s="3" t="s">
        <v>358</v>
      </c>
      <c r="G897" s="3" t="s">
        <v>28</v>
      </c>
      <c r="H897" s="3" t="s">
        <v>15</v>
      </c>
      <c r="I897" s="3" t="s">
        <v>2226</v>
      </c>
      <c r="J897" s="3" t="s">
        <v>15</v>
      </c>
      <c r="K897" s="3" t="s">
        <v>2176</v>
      </c>
      <c r="L897" s="3" t="s">
        <v>940</v>
      </c>
      <c r="M897" s="3" t="s">
        <v>2176</v>
      </c>
      <c r="N897" s="3" t="s">
        <v>1425</v>
      </c>
      <c r="O897" s="3">
        <v>1.0</v>
      </c>
    </row>
    <row r="898" ht="15.75" customHeight="1">
      <c r="A898" s="3" t="s">
        <v>5176</v>
      </c>
      <c r="B898" s="3" t="s">
        <v>5177</v>
      </c>
      <c r="C898" s="3" t="s">
        <v>5178</v>
      </c>
      <c r="D898" s="3" t="s">
        <v>5179</v>
      </c>
      <c r="E898" s="3" t="str">
        <f>IFERROR(__xludf.DUMMYFUNCTION("GOOGLETRANSLATE($D898,""EN"",""RU"")")," Урна для голосования с бюллетенем")</f>
        <v> Урна для голосования с бюллетенем</v>
      </c>
      <c r="F898" s="3" t="s">
        <v>358</v>
      </c>
      <c r="G898" s="3" t="s">
        <v>28</v>
      </c>
      <c r="H898" s="3" t="s">
        <v>15</v>
      </c>
      <c r="I898" s="3" t="s">
        <v>15</v>
      </c>
      <c r="J898" s="3" t="s">
        <v>2226</v>
      </c>
      <c r="K898" s="3" t="s">
        <v>2176</v>
      </c>
      <c r="L898" s="3" t="s">
        <v>2176</v>
      </c>
      <c r="M898" s="3" t="s">
        <v>940</v>
      </c>
      <c r="N898" s="3" t="s">
        <v>4182</v>
      </c>
      <c r="O898" s="3">
        <v>0.0</v>
      </c>
    </row>
    <row r="899" ht="15.75" customHeight="1">
      <c r="A899" s="3" t="s">
        <v>5180</v>
      </c>
      <c r="B899" s="3" t="s">
        <v>5181</v>
      </c>
      <c r="C899" s="3" t="s">
        <v>5182</v>
      </c>
      <c r="D899" s="3" t="s">
        <v>5183</v>
      </c>
      <c r="E899" s="3" t="str">
        <f>IFERROR(__xludf.DUMMYFUNCTION("GOOGLETRANSLATE($D899,""EN"",""RU"")")," Встречное такси")</f>
        <v> Встречное такси</v>
      </c>
      <c r="F899" s="3" t="s">
        <v>358</v>
      </c>
      <c r="G899" s="3" t="s">
        <v>28</v>
      </c>
      <c r="H899" s="3" t="s">
        <v>15</v>
      </c>
      <c r="I899" s="3" t="s">
        <v>2226</v>
      </c>
      <c r="J899" s="3" t="s">
        <v>15</v>
      </c>
      <c r="K899" s="3" t="s">
        <v>2176</v>
      </c>
      <c r="L899" s="3" t="s">
        <v>940</v>
      </c>
      <c r="M899" s="3" t="s">
        <v>2176</v>
      </c>
      <c r="N899" s="3" t="s">
        <v>1425</v>
      </c>
      <c r="O899" s="3">
        <v>1.0</v>
      </c>
    </row>
    <row r="900" ht="15.75" customHeight="1">
      <c r="A900" s="3" t="s">
        <v>5184</v>
      </c>
      <c r="B900" s="3" t="s">
        <v>5185</v>
      </c>
      <c r="C900" s="3" t="s">
        <v>5186</v>
      </c>
      <c r="D900" s="3" t="s">
        <v>5187</v>
      </c>
      <c r="E900" s="3" t="str">
        <f>IFERROR(__xludf.DUMMYFUNCTION("GOOGLETRANSLATE($D900,""EN"",""RU"")")," Прямая линейка")</f>
        <v> Прямая линейка</v>
      </c>
      <c r="F900" s="3" t="s">
        <v>358</v>
      </c>
      <c r="G900" s="3" t="s">
        <v>28</v>
      </c>
      <c r="H900" s="3" t="s">
        <v>2226</v>
      </c>
      <c r="I900" s="3" t="s">
        <v>15</v>
      </c>
      <c r="J900" s="3" t="s">
        <v>15</v>
      </c>
      <c r="K900" s="3" t="s">
        <v>940</v>
      </c>
      <c r="L900" s="3" t="s">
        <v>2176</v>
      </c>
      <c r="M900" s="3" t="s">
        <v>2176</v>
      </c>
      <c r="N900" s="3" t="s">
        <v>940</v>
      </c>
      <c r="O900" s="3">
        <v>2.0</v>
      </c>
    </row>
    <row r="901" ht="15.75" customHeight="1">
      <c r="A901" s="3" t="s">
        <v>5188</v>
      </c>
      <c r="B901" s="3" t="s">
        <v>5189</v>
      </c>
      <c r="C901" s="3" t="s">
        <v>5190</v>
      </c>
      <c r="D901" s="3" t="s">
        <v>5191</v>
      </c>
      <c r="E901" s="3" t="str">
        <f>IFERROR(__xludf.DUMMYFUNCTION("GOOGLETRANSLATE($D901,""EN"",""RU"")")," Кроссовки")</f>
        <v> Кроссовки</v>
      </c>
      <c r="F901" s="3" t="s">
        <v>358</v>
      </c>
      <c r="G901" s="3" t="s">
        <v>28</v>
      </c>
      <c r="H901" s="3" t="s">
        <v>15</v>
      </c>
      <c r="I901" s="3" t="s">
        <v>2226</v>
      </c>
      <c r="J901" s="3" t="s">
        <v>15</v>
      </c>
      <c r="K901" s="3" t="s">
        <v>2176</v>
      </c>
      <c r="L901" s="3" t="s">
        <v>940</v>
      </c>
      <c r="M901" s="3" t="s">
        <v>2176</v>
      </c>
      <c r="N901" s="3" t="s">
        <v>1425</v>
      </c>
      <c r="O901" s="3">
        <v>1.0</v>
      </c>
    </row>
    <row r="902" ht="15.75" customHeight="1">
      <c r="A902" s="3" t="s">
        <v>5192</v>
      </c>
      <c r="B902" s="3" t="s">
        <v>5193</v>
      </c>
      <c r="C902" s="3" t="s">
        <v>5194</v>
      </c>
      <c r="D902" s="3" t="s">
        <v>5195</v>
      </c>
      <c r="E902" s="3" t="str">
        <f>IFERROR(__xludf.DUMMYFUNCTION("GOOGLETRANSLATE($D902,""EN"",""RU"")")," Открыть папку с файлами")</f>
        <v> Открыть папку с файлами</v>
      </c>
      <c r="F902" s="3" t="s">
        <v>358</v>
      </c>
      <c r="G902" s="3" t="s">
        <v>28</v>
      </c>
      <c r="H902" s="3" t="s">
        <v>2226</v>
      </c>
      <c r="I902" s="3" t="s">
        <v>15</v>
      </c>
      <c r="J902" s="3" t="s">
        <v>15</v>
      </c>
      <c r="K902" s="3" t="s">
        <v>940</v>
      </c>
      <c r="L902" s="3" t="s">
        <v>2176</v>
      </c>
      <c r="M902" s="3" t="s">
        <v>2176</v>
      </c>
      <c r="N902" s="3" t="s">
        <v>940</v>
      </c>
      <c r="O902" s="3">
        <v>2.0</v>
      </c>
    </row>
    <row r="903" ht="15.75" customHeight="1">
      <c r="A903" s="3" t="s">
        <v>5196</v>
      </c>
      <c r="B903" s="3" t="s">
        <v>5197</v>
      </c>
      <c r="C903" s="3" t="s">
        <v>5198</v>
      </c>
      <c r="D903" s="3" t="s">
        <v>5199</v>
      </c>
      <c r="E903" s="3" t="str">
        <f>IFERROR(__xludf.DUMMYFUNCTION("GOOGLETRANSLATE($D903,""EN"",""RU"")")," Микроавтобус")</f>
        <v> Микроавтобус</v>
      </c>
      <c r="F903" s="3" t="s">
        <v>358</v>
      </c>
      <c r="G903" s="3" t="s">
        <v>28</v>
      </c>
      <c r="H903" s="3" t="s">
        <v>2226</v>
      </c>
      <c r="I903" s="3" t="s">
        <v>2226</v>
      </c>
      <c r="J903" s="3" t="s">
        <v>28</v>
      </c>
      <c r="K903" s="3" t="s">
        <v>940</v>
      </c>
      <c r="L903" s="3" t="s">
        <v>940</v>
      </c>
      <c r="M903" s="3" t="s">
        <v>786</v>
      </c>
      <c r="N903" s="3" t="s">
        <v>2176</v>
      </c>
      <c r="O903" s="3">
        <v>2.0</v>
      </c>
    </row>
    <row r="904" ht="15.75" customHeight="1">
      <c r="A904" s="3" t="s">
        <v>5200</v>
      </c>
      <c r="B904" s="3" t="s">
        <v>5201</v>
      </c>
      <c r="C904" s="3" t="s">
        <v>5202</v>
      </c>
      <c r="D904" s="3" t="s">
        <v>5203</v>
      </c>
      <c r="E904" s="3" t="str">
        <f>IFERROR(__xludf.DUMMYFUNCTION("GOOGLETRANSLATE($D904,""EN"",""RU"")")," Сосновые украшения")</f>
        <v> Сосновые украшения</v>
      </c>
      <c r="F904" s="3" t="s">
        <v>81</v>
      </c>
      <c r="G904" s="3" t="s">
        <v>28</v>
      </c>
      <c r="H904" s="3" t="s">
        <v>2226</v>
      </c>
      <c r="I904" s="3" t="s">
        <v>2226</v>
      </c>
      <c r="J904" s="3" t="s">
        <v>28</v>
      </c>
      <c r="K904" s="3" t="s">
        <v>940</v>
      </c>
      <c r="L904" s="3" t="s">
        <v>940</v>
      </c>
      <c r="M904" s="3" t="s">
        <v>786</v>
      </c>
      <c r="N904" s="3" t="s">
        <v>2176</v>
      </c>
      <c r="O904" s="3">
        <v>2.0</v>
      </c>
    </row>
    <row r="905" ht="15.75" customHeight="1">
      <c r="A905" s="3" t="s">
        <v>5204</v>
      </c>
      <c r="B905" s="3" t="s">
        <v>5205</v>
      </c>
      <c r="C905" s="3" t="s">
        <v>5206</v>
      </c>
      <c r="D905" s="3" t="s">
        <v>5207</v>
      </c>
      <c r="E905" s="3" t="str">
        <f>IFERROR(__xludf.DUMMYFUNCTION("GOOGLETRANSLATE($D905,""EN"",""RU"")")," Жареный сладкий картофель")</f>
        <v> Жареный сладкий картофель</v>
      </c>
      <c r="F905" s="3" t="s">
        <v>1510</v>
      </c>
      <c r="G905" s="3" t="s">
        <v>28</v>
      </c>
      <c r="H905" s="3" t="s">
        <v>2226</v>
      </c>
      <c r="I905" s="3" t="s">
        <v>28</v>
      </c>
      <c r="J905" s="3" t="s">
        <v>2226</v>
      </c>
      <c r="K905" s="3" t="s">
        <v>940</v>
      </c>
      <c r="L905" s="3" t="s">
        <v>786</v>
      </c>
      <c r="M905" s="3" t="s">
        <v>940</v>
      </c>
      <c r="N905" s="3" t="s">
        <v>1425</v>
      </c>
      <c r="O905" s="3">
        <v>1.0</v>
      </c>
    </row>
    <row r="906" ht="15.75" customHeight="1">
      <c r="A906" s="3" t="s">
        <v>5208</v>
      </c>
      <c r="B906" s="3" t="s">
        <v>5209</v>
      </c>
      <c r="C906" s="3" t="s">
        <v>5210</v>
      </c>
      <c r="D906" s="3" t="s">
        <v>5211</v>
      </c>
      <c r="E906" s="3" t="str">
        <f>IFERROR(__xludf.DUMMYFUNCTION("GOOGLETRANSLATE($D906,""EN"",""RU"")")," Свиной нос")</f>
        <v> Свиной нос</v>
      </c>
      <c r="F906" s="3" t="s">
        <v>81</v>
      </c>
      <c r="G906" s="3" t="s">
        <v>28</v>
      </c>
      <c r="H906" s="3" t="s">
        <v>2226</v>
      </c>
      <c r="I906" s="3" t="s">
        <v>2226</v>
      </c>
      <c r="J906" s="3" t="s">
        <v>28</v>
      </c>
      <c r="K906" s="3" t="s">
        <v>940</v>
      </c>
      <c r="L906" s="3" t="s">
        <v>940</v>
      </c>
      <c r="M906" s="3" t="s">
        <v>786</v>
      </c>
      <c r="N906" s="3" t="s">
        <v>2176</v>
      </c>
      <c r="O906" s="3">
        <v>2.0</v>
      </c>
    </row>
    <row r="907" ht="15.75" customHeight="1">
      <c r="A907" s="3" t="s">
        <v>5212</v>
      </c>
      <c r="B907" s="3" t="s">
        <v>5213</v>
      </c>
      <c r="C907" s="3" t="s">
        <v>5214</v>
      </c>
      <c r="D907" s="3" t="s">
        <v>5215</v>
      </c>
      <c r="E907" s="3" t="str">
        <f>IFERROR(__xludf.DUMMYFUNCTION("GOOGLETRANSLATE($D907,""EN"",""RU"")")," Кемпинг")</f>
        <v> Кемпинг</v>
      </c>
      <c r="F907" s="3" t="s">
        <v>81</v>
      </c>
      <c r="G907" s="3" t="s">
        <v>28</v>
      </c>
      <c r="H907" s="3" t="s">
        <v>28</v>
      </c>
      <c r="I907" s="3" t="s">
        <v>2226</v>
      </c>
      <c r="J907" s="3" t="s">
        <v>2226</v>
      </c>
      <c r="K907" s="3" t="s">
        <v>786</v>
      </c>
      <c r="L907" s="3" t="s">
        <v>940</v>
      </c>
      <c r="M907" s="3" t="s">
        <v>940</v>
      </c>
      <c r="N907" s="3" t="s">
        <v>3429</v>
      </c>
      <c r="O907" s="3">
        <v>0.0</v>
      </c>
    </row>
    <row r="908" ht="15.75" customHeight="1">
      <c r="A908" s="3" t="s">
        <v>5216</v>
      </c>
      <c r="B908" s="3" t="s">
        <v>5217</v>
      </c>
      <c r="C908" s="3" t="s">
        <v>5218</v>
      </c>
      <c r="D908" s="3" t="s">
        <v>5219</v>
      </c>
      <c r="E908" s="3" t="str">
        <f>IFERROR(__xludf.DUMMYFUNCTION("GOOGLETRANSLATE($D908,""EN"",""RU"")")," спутник")</f>
        <v> спутник</v>
      </c>
      <c r="F908" s="3" t="s">
        <v>358</v>
      </c>
      <c r="G908" s="3" t="s">
        <v>28</v>
      </c>
      <c r="H908" s="3" t="s">
        <v>2226</v>
      </c>
      <c r="I908" s="3" t="s">
        <v>2226</v>
      </c>
      <c r="J908" s="3" t="s">
        <v>28</v>
      </c>
      <c r="K908" s="3" t="s">
        <v>940</v>
      </c>
      <c r="L908" s="3" t="s">
        <v>940</v>
      </c>
      <c r="M908" s="3" t="s">
        <v>786</v>
      </c>
      <c r="N908" s="3" t="s">
        <v>2176</v>
      </c>
      <c r="O908" s="3">
        <v>2.0</v>
      </c>
    </row>
    <row r="909" ht="15.75" customHeight="1">
      <c r="A909" s="3" t="s">
        <v>5220</v>
      </c>
      <c r="B909" s="3" t="s">
        <v>5221</v>
      </c>
      <c r="C909" s="3" t="s">
        <v>5222</v>
      </c>
      <c r="D909" s="3" t="s">
        <v>5223</v>
      </c>
      <c r="E909" s="3" t="str">
        <f>IFERROR(__xludf.DUMMYFUNCTION("GOOGLETRANSLATE($D909,""EN"",""RU"")")," Джойстик")</f>
        <v> Джойстик</v>
      </c>
      <c r="F909" s="3" t="s">
        <v>358</v>
      </c>
      <c r="G909" s="3" t="s">
        <v>28</v>
      </c>
      <c r="H909" s="3" t="s">
        <v>2226</v>
      </c>
      <c r="I909" s="3" t="s">
        <v>2226</v>
      </c>
      <c r="J909" s="3" t="s">
        <v>28</v>
      </c>
      <c r="K909" s="3" t="s">
        <v>940</v>
      </c>
      <c r="L909" s="3" t="s">
        <v>940</v>
      </c>
      <c r="M909" s="3" t="s">
        <v>786</v>
      </c>
      <c r="N909" s="3" t="s">
        <v>2176</v>
      </c>
      <c r="O909" s="3">
        <v>2.0</v>
      </c>
    </row>
    <row r="910" ht="15.75" customHeight="1">
      <c r="A910" s="3" t="s">
        <v>5224</v>
      </c>
      <c r="B910" s="3" t="s">
        <v>5225</v>
      </c>
      <c r="C910" s="3" t="s">
        <v>5226</v>
      </c>
      <c r="D910" s="3" t="s">
        <v>5227</v>
      </c>
      <c r="E910" s="3" t="str">
        <f>IFERROR(__xludf.DUMMYFUNCTION("GOOGLETRANSLATE($D910,""EN"",""RU"")")," Паук")</f>
        <v> Паук</v>
      </c>
      <c r="F910" s="3" t="s">
        <v>81</v>
      </c>
      <c r="G910" s="3" t="s">
        <v>28</v>
      </c>
      <c r="H910" s="3" t="s">
        <v>2226</v>
      </c>
      <c r="I910" s="3" t="s">
        <v>28</v>
      </c>
      <c r="J910" s="3" t="s">
        <v>2226</v>
      </c>
      <c r="K910" s="3" t="s">
        <v>940</v>
      </c>
      <c r="L910" s="3" t="s">
        <v>786</v>
      </c>
      <c r="M910" s="3" t="s">
        <v>940</v>
      </c>
      <c r="N910" s="3" t="s">
        <v>1425</v>
      </c>
      <c r="O910" s="3">
        <v>1.0</v>
      </c>
    </row>
    <row r="911" ht="15.75" customHeight="1">
      <c r="A911" s="3" t="s">
        <v>704</v>
      </c>
      <c r="B911" s="3" t="s">
        <v>5228</v>
      </c>
      <c r="C911" s="3" t="s">
        <v>5229</v>
      </c>
      <c r="D911" s="3" t="s">
        <v>5230</v>
      </c>
      <c r="E911" s="3" t="str">
        <f>IFERROR(__xludf.DUMMYFUNCTION("GOOGLETRANSLATE($D911,""EN"",""RU"")")," Гостиница")</f>
        <v> Гостиница</v>
      </c>
      <c r="F911" s="3" t="s">
        <v>2127</v>
      </c>
      <c r="G911" s="3" t="s">
        <v>28</v>
      </c>
      <c r="H911" s="3" t="s">
        <v>2226</v>
      </c>
      <c r="I911" s="3" t="s">
        <v>28</v>
      </c>
      <c r="J911" s="3" t="s">
        <v>2226</v>
      </c>
      <c r="K911" s="3" t="s">
        <v>940</v>
      </c>
      <c r="L911" s="3" t="s">
        <v>786</v>
      </c>
      <c r="M911" s="3" t="s">
        <v>940</v>
      </c>
      <c r="N911" s="3" t="s">
        <v>1425</v>
      </c>
      <c r="O911" s="3">
        <v>1.0</v>
      </c>
    </row>
    <row r="912" ht="15.75" customHeight="1">
      <c r="A912" s="3" t="s">
        <v>144</v>
      </c>
      <c r="B912" s="3" t="s">
        <v>5231</v>
      </c>
      <c r="C912" s="3" t="s">
        <v>5232</v>
      </c>
      <c r="D912" s="3" t="s">
        <v>5233</v>
      </c>
      <c r="E912" s="3" t="str">
        <f>IFERROR(__xludf.DUMMYFUNCTION("GOOGLETRANSLATE($D912,""EN"",""RU"")")," Банк")</f>
        <v> Банк</v>
      </c>
      <c r="F912" s="3" t="s">
        <v>2127</v>
      </c>
      <c r="G912" s="3" t="s">
        <v>28</v>
      </c>
      <c r="H912" s="3" t="s">
        <v>15</v>
      </c>
      <c r="I912" s="3" t="s">
        <v>2226</v>
      </c>
      <c r="J912" s="3" t="s">
        <v>15</v>
      </c>
      <c r="K912" s="3" t="s">
        <v>2176</v>
      </c>
      <c r="L912" s="3" t="s">
        <v>940</v>
      </c>
      <c r="M912" s="3" t="s">
        <v>2176</v>
      </c>
      <c r="N912" s="3" t="s">
        <v>1425</v>
      </c>
      <c r="O912" s="3">
        <v>1.0</v>
      </c>
    </row>
    <row r="913" ht="15.75" customHeight="1">
      <c r="A913" s="3" t="s">
        <v>5234</v>
      </c>
      <c r="B913" s="3" t="s">
        <v>5235</v>
      </c>
      <c r="C913" s="3" t="s">
        <v>5236</v>
      </c>
      <c r="D913" s="3" t="s">
        <v>5237</v>
      </c>
      <c r="E913" s="3" t="str">
        <f>IFERROR(__xludf.DUMMYFUNCTION("GOOGLETRANSLATE($D913,""EN"",""RU"")")," Токийская башня")</f>
        <v> Токийская башня</v>
      </c>
      <c r="F913" s="3" t="s">
        <v>2127</v>
      </c>
      <c r="G913" s="3" t="s">
        <v>28</v>
      </c>
      <c r="H913" s="3" t="s">
        <v>28</v>
      </c>
      <c r="I913" s="3" t="s">
        <v>2226</v>
      </c>
      <c r="J913" s="3" t="s">
        <v>2226</v>
      </c>
      <c r="K913" s="3" t="s">
        <v>786</v>
      </c>
      <c r="L913" s="3" t="s">
        <v>940</v>
      </c>
      <c r="M913" s="3" t="s">
        <v>940</v>
      </c>
      <c r="N913" s="3" t="s">
        <v>3429</v>
      </c>
      <c r="O913" s="3">
        <v>0.0</v>
      </c>
    </row>
    <row r="914" ht="15.75" customHeight="1">
      <c r="A914" s="3" t="s">
        <v>5238</v>
      </c>
      <c r="B914" s="3" t="s">
        <v>5239</v>
      </c>
      <c r="C914" s="3" t="s">
        <v>5240</v>
      </c>
      <c r="D914" s="3" t="s">
        <v>5241</v>
      </c>
      <c r="E914" s="3" t="str">
        <f>IFERROR(__xludf.DUMMYFUNCTION("GOOGLETRANSLATE($D914,""EN"",""RU"")")," Быстроходный катер")</f>
        <v> Быстроходный катер</v>
      </c>
      <c r="F914" s="3" t="s">
        <v>358</v>
      </c>
      <c r="G914" s="3" t="s">
        <v>28</v>
      </c>
      <c r="H914" s="3" t="s">
        <v>28</v>
      </c>
      <c r="I914" s="3" t="s">
        <v>2226</v>
      </c>
      <c r="J914" s="3" t="s">
        <v>2226</v>
      </c>
      <c r="K914" s="3" t="s">
        <v>786</v>
      </c>
      <c r="L914" s="3" t="s">
        <v>940</v>
      </c>
      <c r="M914" s="3" t="s">
        <v>940</v>
      </c>
      <c r="N914" s="3" t="s">
        <v>3429</v>
      </c>
      <c r="O914" s="3">
        <v>0.0</v>
      </c>
    </row>
    <row r="915" ht="15.75" customHeight="1">
      <c r="A915" s="3" t="s">
        <v>5242</v>
      </c>
      <c r="B915" s="3" t="s">
        <v>5243</v>
      </c>
      <c r="C915" s="3" t="s">
        <v>5244</v>
      </c>
      <c r="D915" s="3" t="s">
        <v>5245</v>
      </c>
      <c r="E915" s="3" t="str">
        <f>IFERROR(__xludf.DUMMYFUNCTION("GOOGLETRANSLATE($D915,""EN"",""RU"")")," Троллейбус")</f>
        <v> Троллейбус</v>
      </c>
      <c r="F915" s="3" t="s">
        <v>358</v>
      </c>
      <c r="G915" s="3" t="s">
        <v>28</v>
      </c>
      <c r="H915" s="3" t="s">
        <v>28</v>
      </c>
      <c r="I915" s="3" t="s">
        <v>2226</v>
      </c>
      <c r="J915" s="3" t="s">
        <v>2226</v>
      </c>
      <c r="K915" s="3" t="s">
        <v>786</v>
      </c>
      <c r="L915" s="3" t="s">
        <v>940</v>
      </c>
      <c r="M915" s="3" t="s">
        <v>940</v>
      </c>
      <c r="N915" s="3" t="s">
        <v>3429</v>
      </c>
      <c r="O915" s="3">
        <v>0.0</v>
      </c>
    </row>
    <row r="916" ht="15.75" customHeight="1">
      <c r="A916" s="3" t="s">
        <v>5246</v>
      </c>
      <c r="B916" s="3" t="s">
        <v>5247</v>
      </c>
      <c r="C916" s="3" t="s">
        <v>5248</v>
      </c>
      <c r="D916" s="3" t="s">
        <v>5249</v>
      </c>
      <c r="E916" s="3" t="str">
        <f>IFERROR(__xludf.DUMMYFUNCTION("GOOGLETRANSLATE($D916,""EN"",""RU"")")," Креветка")</f>
        <v> Креветка</v>
      </c>
      <c r="F916" s="3" t="s">
        <v>81</v>
      </c>
      <c r="G916" s="3" t="s">
        <v>28</v>
      </c>
      <c r="H916" s="3" t="s">
        <v>2226</v>
      </c>
      <c r="I916" s="3" t="s">
        <v>15</v>
      </c>
      <c r="J916" s="3" t="s">
        <v>15</v>
      </c>
      <c r="K916" s="3" t="s">
        <v>940</v>
      </c>
      <c r="L916" s="3" t="s">
        <v>2176</v>
      </c>
      <c r="M916" s="3" t="s">
        <v>2176</v>
      </c>
      <c r="N916" s="3" t="s">
        <v>940</v>
      </c>
      <c r="O916" s="3">
        <v>2.0</v>
      </c>
    </row>
    <row r="917" ht="15.75" customHeight="1">
      <c r="A917" s="3" t="s">
        <v>5250</v>
      </c>
      <c r="B917" s="3" t="s">
        <v>5251</v>
      </c>
      <c r="C917" s="3" t="s">
        <v>5252</v>
      </c>
      <c r="D917" s="3" t="s">
        <v>5253</v>
      </c>
      <c r="E917" s="3" t="str">
        <f>IFERROR(__xludf.DUMMYFUNCTION("GOOGLETRANSLATE($D917,""EN"",""RU"")")," Лицо Дракона")</f>
        <v> Лицо Дракона</v>
      </c>
      <c r="F917" s="3" t="s">
        <v>81</v>
      </c>
      <c r="G917" s="3" t="s">
        <v>28</v>
      </c>
      <c r="H917" s="3" t="s">
        <v>15</v>
      </c>
      <c r="I917" s="3" t="s">
        <v>2226</v>
      </c>
      <c r="J917" s="3" t="s">
        <v>15</v>
      </c>
      <c r="K917" s="3" t="s">
        <v>2176</v>
      </c>
      <c r="L917" s="3" t="s">
        <v>940</v>
      </c>
      <c r="M917" s="3" t="s">
        <v>2176</v>
      </c>
      <c r="N917" s="3" t="s">
        <v>1425</v>
      </c>
      <c r="O917" s="3">
        <v>1.0</v>
      </c>
    </row>
    <row r="918" ht="15.75" customHeight="1">
      <c r="A918" s="3" t="s">
        <v>5254</v>
      </c>
      <c r="B918" s="3" t="s">
        <v>5255</v>
      </c>
      <c r="C918" s="3" t="s">
        <v>5256</v>
      </c>
      <c r="D918" s="3" t="s">
        <v>5257</v>
      </c>
      <c r="E918" s="3" t="str">
        <f>IFERROR(__xludf.DUMMYFUNCTION("GOOGLETRANSLATE($D918,""EN"",""RU"")")," Лицо Тигра")</f>
        <v> Лицо Тигра</v>
      </c>
      <c r="F918" s="3" t="s">
        <v>81</v>
      </c>
      <c r="G918" s="3" t="s">
        <v>28</v>
      </c>
      <c r="H918" s="3" t="s">
        <v>15</v>
      </c>
      <c r="I918" s="3" t="s">
        <v>2226</v>
      </c>
      <c r="J918" s="3" t="s">
        <v>15</v>
      </c>
      <c r="K918" s="3" t="s">
        <v>2176</v>
      </c>
      <c r="L918" s="3" t="s">
        <v>940</v>
      </c>
      <c r="M918" s="3" t="s">
        <v>2176</v>
      </c>
      <c r="N918" s="3" t="s">
        <v>1425</v>
      </c>
      <c r="O918" s="3">
        <v>1.0</v>
      </c>
    </row>
    <row r="919" ht="15.75" customHeight="1">
      <c r="A919" s="3" t="s">
        <v>5258</v>
      </c>
      <c r="B919" s="3" t="s">
        <v>5259</v>
      </c>
      <c r="C919" s="3" t="s">
        <v>5260</v>
      </c>
      <c r="D919" s="3" t="s">
        <v>5261</v>
      </c>
      <c r="E919" s="3" t="str">
        <f>IFERROR(__xludf.DUMMYFUNCTION("GOOGLETRANSLATE($D919,""EN"",""RU"")")," Лицо единорога")</f>
        <v> Лицо единорога</v>
      </c>
      <c r="F919" s="3" t="s">
        <v>81</v>
      </c>
      <c r="G919" s="3" t="s">
        <v>28</v>
      </c>
      <c r="H919" s="3" t="s">
        <v>28</v>
      </c>
      <c r="I919" s="3" t="s">
        <v>2226</v>
      </c>
      <c r="J919" s="3" t="s">
        <v>2226</v>
      </c>
      <c r="K919" s="3" t="s">
        <v>786</v>
      </c>
      <c r="L919" s="3" t="s">
        <v>940</v>
      </c>
      <c r="M919" s="3" t="s">
        <v>940</v>
      </c>
      <c r="N919" s="3" t="s">
        <v>3429</v>
      </c>
      <c r="O919" s="3">
        <v>0.0</v>
      </c>
    </row>
    <row r="920" ht="15.75" customHeight="1">
      <c r="A920" s="3" t="s">
        <v>5262</v>
      </c>
      <c r="B920" s="3" t="s">
        <v>5263</v>
      </c>
      <c r="C920" s="3" t="s">
        <v>5264</v>
      </c>
      <c r="D920" s="3" t="s">
        <v>5265</v>
      </c>
      <c r="E920" s="3" t="str">
        <f>IFERROR(__xludf.DUMMYFUNCTION("GOOGLETRANSLATE($D920,""EN"",""RU"")")," Городской пейзаж")</f>
        <v> Городской пейзаж</v>
      </c>
      <c r="F920" s="3" t="s">
        <v>2127</v>
      </c>
      <c r="G920" s="3" t="s">
        <v>28</v>
      </c>
      <c r="H920" s="3" t="s">
        <v>15</v>
      </c>
      <c r="I920" s="3" t="s">
        <v>15</v>
      </c>
      <c r="J920" s="3" t="s">
        <v>2226</v>
      </c>
      <c r="K920" s="3" t="s">
        <v>2176</v>
      </c>
      <c r="L920" s="3" t="s">
        <v>2176</v>
      </c>
      <c r="M920" s="3" t="s">
        <v>940</v>
      </c>
      <c r="N920" s="3" t="s">
        <v>4182</v>
      </c>
      <c r="O920" s="3">
        <v>0.0</v>
      </c>
    </row>
    <row r="921" ht="15.75" customHeight="1">
      <c r="A921" s="3" t="s">
        <v>5266</v>
      </c>
      <c r="B921" s="3" t="s">
        <v>5267</v>
      </c>
      <c r="C921" s="3" t="s">
        <v>5268</v>
      </c>
      <c r="D921" s="3" t="s">
        <v>5269</v>
      </c>
      <c r="E921" s="3" t="str">
        <f>IFERROR(__xludf.DUMMYFUNCTION("GOOGLETRANSLATE($D921,""EN"",""RU"")")," Классическое здание")</f>
        <v> Классическое здание</v>
      </c>
      <c r="F921" s="3" t="s">
        <v>2127</v>
      </c>
      <c r="G921" s="3" t="s">
        <v>28</v>
      </c>
      <c r="H921" s="3" t="s">
        <v>2226</v>
      </c>
      <c r="I921" s="3" t="s">
        <v>15</v>
      </c>
      <c r="J921" s="3" t="s">
        <v>15</v>
      </c>
      <c r="K921" s="3" t="s">
        <v>940</v>
      </c>
      <c r="L921" s="3" t="s">
        <v>2176</v>
      </c>
      <c r="M921" s="3" t="s">
        <v>2176</v>
      </c>
      <c r="N921" s="3" t="s">
        <v>940</v>
      </c>
      <c r="O921" s="3">
        <v>2.0</v>
      </c>
    </row>
    <row r="922" ht="15.75" customHeight="1">
      <c r="A922" s="3" t="s">
        <v>5270</v>
      </c>
      <c r="B922" s="3" t="s">
        <v>5271</v>
      </c>
      <c r="C922" s="3" t="s">
        <v>5272</v>
      </c>
      <c r="D922" s="3" t="s">
        <v>5273</v>
      </c>
      <c r="E922" s="3" t="str">
        <f>IFERROR(__xludf.DUMMYFUNCTION("GOOGLETRANSLATE($D922,""EN"",""RU"")")," Венесуэла")</f>
        <v> Венесуэла</v>
      </c>
      <c r="F922" s="3" t="s">
        <v>559</v>
      </c>
      <c r="G922" s="3" t="s">
        <v>15</v>
      </c>
      <c r="H922" s="3" t="s">
        <v>2226</v>
      </c>
      <c r="I922" s="3" t="s">
        <v>15</v>
      </c>
      <c r="J922" s="3" t="s">
        <v>2226</v>
      </c>
      <c r="K922" s="3" t="s">
        <v>1798</v>
      </c>
      <c r="L922" s="3" t="s">
        <v>1675</v>
      </c>
      <c r="M922" s="3" t="s">
        <v>1798</v>
      </c>
      <c r="N922" s="3" t="s">
        <v>1425</v>
      </c>
      <c r="O922" s="3">
        <v>1.0</v>
      </c>
    </row>
    <row r="923" ht="15.75" customHeight="1">
      <c r="A923" s="3" t="s">
        <v>5274</v>
      </c>
      <c r="B923" s="3" t="s">
        <v>5275</v>
      </c>
      <c r="C923" s="3" t="s">
        <v>5276</v>
      </c>
      <c r="D923" s="3" t="s">
        <v>5277</v>
      </c>
      <c r="E923" s="3" t="str">
        <f>IFERROR(__xludf.DUMMYFUNCTION("GOOGLETRANSLATE($D923,""EN"",""RU"")")," Азербайджан")</f>
        <v> Азербайджан</v>
      </c>
      <c r="F923" s="3" t="s">
        <v>559</v>
      </c>
      <c r="G923" s="3" t="s">
        <v>15</v>
      </c>
      <c r="H923" s="3" t="s">
        <v>2226</v>
      </c>
      <c r="I923" s="3" t="s">
        <v>2226</v>
      </c>
      <c r="J923" s="3" t="s">
        <v>15</v>
      </c>
      <c r="K923" s="3" t="s">
        <v>1798</v>
      </c>
      <c r="L923" s="3" t="s">
        <v>1798</v>
      </c>
      <c r="M923" s="3" t="s">
        <v>1675</v>
      </c>
      <c r="N923" s="3" t="s">
        <v>1798</v>
      </c>
      <c r="O923" s="3">
        <v>2.0</v>
      </c>
    </row>
    <row r="924" ht="15.75" customHeight="1">
      <c r="A924" s="3" t="s">
        <v>5278</v>
      </c>
      <c r="B924" s="3" t="s">
        <v>5279</v>
      </c>
      <c r="C924" s="3" t="s">
        <v>5280</v>
      </c>
      <c r="D924" s="3" t="s">
        <v>5281</v>
      </c>
      <c r="E924" s="3" t="str">
        <f>IFERROR(__xludf.DUMMYFUNCTION("GOOGLETRANSLATE($D924,""EN"",""RU"")")," Гернси")</f>
        <v> Гернси</v>
      </c>
      <c r="F924" s="3" t="s">
        <v>559</v>
      </c>
      <c r="G924" s="3" t="s">
        <v>15</v>
      </c>
      <c r="H924" s="3" t="s">
        <v>2226</v>
      </c>
      <c r="I924" s="3" t="s">
        <v>15</v>
      </c>
      <c r="J924" s="3" t="s">
        <v>2226</v>
      </c>
      <c r="K924" s="3" t="s">
        <v>1798</v>
      </c>
      <c r="L924" s="3" t="s">
        <v>1675</v>
      </c>
      <c r="M924" s="3" t="s">
        <v>1798</v>
      </c>
      <c r="N924" s="3" t="s">
        <v>1425</v>
      </c>
      <c r="O924" s="3">
        <v>1.0</v>
      </c>
    </row>
    <row r="925" ht="15.75" customHeight="1">
      <c r="A925" s="3" t="s">
        <v>5282</v>
      </c>
      <c r="B925" s="3" t="s">
        <v>5283</v>
      </c>
      <c r="C925" s="3" t="s">
        <v>5284</v>
      </c>
      <c r="D925" s="3" t="s">
        <v>5285</v>
      </c>
      <c r="E925" s="3" t="str">
        <f>IFERROR(__xludf.DUMMYFUNCTION("GOOGLETRANSLATE($D925,""EN"",""RU"")")," Чад")</f>
        <v> Чад</v>
      </c>
      <c r="F925" s="3" t="s">
        <v>559</v>
      </c>
      <c r="G925" s="3" t="s">
        <v>15</v>
      </c>
      <c r="H925" s="3" t="s">
        <v>15</v>
      </c>
      <c r="I925" s="3" t="s">
        <v>2226</v>
      </c>
      <c r="J925" s="3" t="s">
        <v>2226</v>
      </c>
      <c r="K925" s="3" t="s">
        <v>1675</v>
      </c>
      <c r="L925" s="3" t="s">
        <v>1798</v>
      </c>
      <c r="M925" s="3" t="s">
        <v>1798</v>
      </c>
      <c r="N925" s="3" t="s">
        <v>4410</v>
      </c>
      <c r="O925" s="3">
        <v>0.0</v>
      </c>
    </row>
    <row r="926" ht="15.75" customHeight="1">
      <c r="A926" s="3" t="s">
        <v>5286</v>
      </c>
      <c r="B926" s="3" t="s">
        <v>5287</v>
      </c>
      <c r="C926" s="3" t="s">
        <v>5288</v>
      </c>
      <c r="D926" s="3" t="s">
        <v>5289</v>
      </c>
      <c r="E926" s="3" t="str">
        <f>IFERROR(__xludf.DUMMYFUNCTION("GOOGLETRANSLATE($D926,""EN"",""RU"")")," Намибия")</f>
        <v> Намибия</v>
      </c>
      <c r="F926" s="3" t="s">
        <v>559</v>
      </c>
      <c r="G926" s="3" t="s">
        <v>15</v>
      </c>
      <c r="H926" s="3" t="s">
        <v>2226</v>
      </c>
      <c r="I926" s="3" t="s">
        <v>15</v>
      </c>
      <c r="J926" s="3" t="s">
        <v>2226</v>
      </c>
      <c r="K926" s="3" t="s">
        <v>1798</v>
      </c>
      <c r="L926" s="3" t="s">
        <v>1675</v>
      </c>
      <c r="M926" s="3" t="s">
        <v>1798</v>
      </c>
      <c r="N926" s="3" t="s">
        <v>1425</v>
      </c>
      <c r="O926" s="3">
        <v>1.0</v>
      </c>
    </row>
    <row r="927" ht="15.75" customHeight="1">
      <c r="A927" s="3" t="s">
        <v>5290</v>
      </c>
      <c r="B927" s="3" t="s">
        <v>5291</v>
      </c>
      <c r="C927" s="3" t="s">
        <v>5292</v>
      </c>
      <c r="D927" s="3" t="s">
        <v>5293</v>
      </c>
      <c r="E927" s="3" t="str">
        <f>IFERROR(__xludf.DUMMYFUNCTION("GOOGLETRANSLATE($D927,""EN"",""RU"")")," Армения")</f>
        <v> Армения</v>
      </c>
      <c r="F927" s="3" t="s">
        <v>559</v>
      </c>
      <c r="G927" s="3" t="s">
        <v>15</v>
      </c>
      <c r="H927" s="3" t="s">
        <v>2226</v>
      </c>
      <c r="I927" s="3" t="s">
        <v>2226</v>
      </c>
      <c r="J927" s="3" t="s">
        <v>15</v>
      </c>
      <c r="K927" s="3" t="s">
        <v>1798</v>
      </c>
      <c r="L927" s="3" t="s">
        <v>1798</v>
      </c>
      <c r="M927" s="3" t="s">
        <v>1675</v>
      </c>
      <c r="N927" s="3" t="s">
        <v>1798</v>
      </c>
      <c r="O927" s="3">
        <v>2.0</v>
      </c>
    </row>
    <row r="928" ht="15.75" customHeight="1">
      <c r="A928" s="3" t="s">
        <v>5294</v>
      </c>
      <c r="B928" s="3" t="s">
        <v>5295</v>
      </c>
      <c r="C928" s="3" t="s">
        <v>5296</v>
      </c>
      <c r="D928" s="3" t="s">
        <v>5297</v>
      </c>
      <c r="E928" s="3" t="str">
        <f>IFERROR(__xludf.DUMMYFUNCTION("GOOGLETRANSLATE($D928,""EN"",""RU"")")," Украина")</f>
        <v> Украина</v>
      </c>
      <c r="F928" s="3" t="s">
        <v>559</v>
      </c>
      <c r="G928" s="3" t="s">
        <v>15</v>
      </c>
      <c r="H928" s="3" t="s">
        <v>2226</v>
      </c>
      <c r="I928" s="3" t="s">
        <v>2226</v>
      </c>
      <c r="J928" s="3" t="s">
        <v>15</v>
      </c>
      <c r="K928" s="3" t="s">
        <v>1798</v>
      </c>
      <c r="L928" s="3" t="s">
        <v>1798</v>
      </c>
      <c r="M928" s="3" t="s">
        <v>1675</v>
      </c>
      <c r="N928" s="3" t="s">
        <v>1798</v>
      </c>
      <c r="O928" s="3">
        <v>2.0</v>
      </c>
    </row>
    <row r="929" ht="15.75" customHeight="1">
      <c r="A929" s="3" t="s">
        <v>5298</v>
      </c>
      <c r="B929" s="3" t="s">
        <v>5299</v>
      </c>
      <c r="C929" s="3" t="s">
        <v>5300</v>
      </c>
      <c r="D929" s="3" t="s">
        <v>5301</v>
      </c>
      <c r="E929" s="3" t="str">
        <f>IFERROR(__xludf.DUMMYFUNCTION("GOOGLETRANSLATE($D929,""EN"",""RU"")")," Южная Георгия и Южные Сандвичевы острова")</f>
        <v> Южная Георгия и Южные Сандвичевы острова</v>
      </c>
      <c r="F929" s="3" t="s">
        <v>559</v>
      </c>
      <c r="G929" s="3" t="s">
        <v>15</v>
      </c>
      <c r="H929" s="3" t="s">
        <v>2226</v>
      </c>
      <c r="I929" s="3" t="s">
        <v>15</v>
      </c>
      <c r="J929" s="3" t="s">
        <v>2226</v>
      </c>
      <c r="K929" s="3" t="s">
        <v>1798</v>
      </c>
      <c r="L929" s="3" t="s">
        <v>1675</v>
      </c>
      <c r="M929" s="3" t="s">
        <v>1798</v>
      </c>
      <c r="N929" s="3" t="s">
        <v>1425</v>
      </c>
      <c r="O929" s="3">
        <v>1.0</v>
      </c>
    </row>
    <row r="930" ht="15.75" customHeight="1">
      <c r="A930" s="3" t="s">
        <v>573</v>
      </c>
      <c r="B930" s="3" t="s">
        <v>5302</v>
      </c>
      <c r="C930" s="3" t="s">
        <v>5303</v>
      </c>
      <c r="D930" s="3" t="s">
        <v>5304</v>
      </c>
      <c r="E930" s="3" t="str">
        <f>IFERROR(__xludf.DUMMYFUNCTION("GOOGLETRANSLATE($D930,""EN"",""RU"")")," Индия")</f>
        <v> Индия</v>
      </c>
      <c r="F930" s="3" t="s">
        <v>559</v>
      </c>
      <c r="G930" s="3" t="s">
        <v>15</v>
      </c>
      <c r="H930" s="3" t="s">
        <v>15</v>
      </c>
      <c r="I930" s="3" t="s">
        <v>2226</v>
      </c>
      <c r="J930" s="3" t="s">
        <v>2226</v>
      </c>
      <c r="K930" s="3" t="s">
        <v>1675</v>
      </c>
      <c r="L930" s="3" t="s">
        <v>1798</v>
      </c>
      <c r="M930" s="3" t="s">
        <v>1798</v>
      </c>
      <c r="N930" s="3" t="s">
        <v>4410</v>
      </c>
      <c r="O930" s="3">
        <v>0.0</v>
      </c>
    </row>
    <row r="931" ht="15.75" customHeight="1">
      <c r="A931" s="3" t="s">
        <v>5305</v>
      </c>
      <c r="B931" s="3" t="s">
        <v>5306</v>
      </c>
      <c r="C931" s="3" t="s">
        <v>5307</v>
      </c>
      <c r="D931" s="3" t="s">
        <v>5308</v>
      </c>
      <c r="E931" s="3" t="str">
        <f>IFERROR(__xludf.DUMMYFUNCTION("GOOGLETRANSLATE($D931,""EN"",""RU"")")," Остров Клиппертон")</f>
        <v> Остров Клиппертон</v>
      </c>
      <c r="F931" s="3" t="s">
        <v>559</v>
      </c>
      <c r="G931" s="3" t="s">
        <v>15</v>
      </c>
      <c r="H931" s="3" t="s">
        <v>15</v>
      </c>
      <c r="I931" s="3" t="s">
        <v>2226</v>
      </c>
      <c r="J931" s="3" t="s">
        <v>2226</v>
      </c>
      <c r="K931" s="3" t="s">
        <v>1675</v>
      </c>
      <c r="L931" s="3" t="s">
        <v>1798</v>
      </c>
      <c r="M931" s="3" t="s">
        <v>1798</v>
      </c>
      <c r="N931" s="3" t="s">
        <v>4410</v>
      </c>
      <c r="O931" s="3">
        <v>0.0</v>
      </c>
    </row>
    <row r="932" ht="15.75" customHeight="1">
      <c r="A932" s="3" t="s">
        <v>5309</v>
      </c>
      <c r="B932" s="3" t="s">
        <v>5310</v>
      </c>
      <c r="C932" s="3" t="s">
        <v>5311</v>
      </c>
      <c r="D932" s="3" t="s">
        <v>5312</v>
      </c>
      <c r="E932" s="3" t="str">
        <f>IFERROR(__xludf.DUMMYFUNCTION("GOOGLETRANSLATE($D932,""EN"",""RU"")")," Японские куклы")</f>
        <v> Японские куклы</v>
      </c>
      <c r="F932" s="3" t="s">
        <v>358</v>
      </c>
      <c r="G932" s="3" t="s">
        <v>15</v>
      </c>
      <c r="H932" s="3" t="s">
        <v>2226</v>
      </c>
      <c r="I932" s="3" t="s">
        <v>15</v>
      </c>
      <c r="J932" s="3" t="s">
        <v>2226</v>
      </c>
      <c r="K932" s="3" t="s">
        <v>1798</v>
      </c>
      <c r="L932" s="3" t="s">
        <v>1675</v>
      </c>
      <c r="M932" s="3" t="s">
        <v>1798</v>
      </c>
      <c r="N932" s="3" t="s">
        <v>1425</v>
      </c>
      <c r="O932" s="3">
        <v>1.0</v>
      </c>
    </row>
    <row r="933" ht="15.75" customHeight="1">
      <c r="A933" s="3" t="s">
        <v>5313</v>
      </c>
      <c r="B933" s="3" t="s">
        <v>5314</v>
      </c>
      <c r="C933" s="3" t="s">
        <v>5315</v>
      </c>
      <c r="D933" s="3" t="s">
        <v>5316</v>
      </c>
      <c r="E933" s="3" t="str">
        <f>IFERROR(__xludf.DUMMYFUNCTION("GOOGLETRANSLATE($D933,""EN"",""RU"")")," Мужчина в костюме левитирует")</f>
        <v> Мужчина в костюме левитирует</v>
      </c>
      <c r="F933" s="3" t="s">
        <v>178</v>
      </c>
      <c r="G933" s="3" t="s">
        <v>15</v>
      </c>
      <c r="H933" s="3" t="s">
        <v>2226</v>
      </c>
      <c r="I933" s="3" t="s">
        <v>15</v>
      </c>
      <c r="J933" s="3" t="s">
        <v>2226</v>
      </c>
      <c r="K933" s="3" t="s">
        <v>1798</v>
      </c>
      <c r="L933" s="3" t="s">
        <v>1675</v>
      </c>
      <c r="M933" s="3" t="s">
        <v>1798</v>
      </c>
      <c r="N933" s="3" t="s">
        <v>1425</v>
      </c>
      <c r="O933" s="3">
        <v>1.0</v>
      </c>
    </row>
    <row r="934" ht="15.75" customHeight="1">
      <c r="A934" s="3" t="s">
        <v>5317</v>
      </c>
      <c r="B934" s="3" t="s">
        <v>5318</v>
      </c>
      <c r="C934" s="3" t="s">
        <v>5319</v>
      </c>
      <c r="D934" s="3" t="s">
        <v>5320</v>
      </c>
      <c r="E934" s="3" t="str">
        <f>IFERROR(__xludf.DUMMYFUNCTION("GOOGLETRANSLATE($D934,""EN"",""RU"")")," Японский замок")</f>
        <v> Японский замок</v>
      </c>
      <c r="F934" s="3" t="s">
        <v>2127</v>
      </c>
      <c r="G934" s="3" t="s">
        <v>15</v>
      </c>
      <c r="H934" s="3" t="s">
        <v>2226</v>
      </c>
      <c r="I934" s="3" t="s">
        <v>15</v>
      </c>
      <c r="J934" s="3" t="s">
        <v>2226</v>
      </c>
      <c r="K934" s="3" t="s">
        <v>1798</v>
      </c>
      <c r="L934" s="3" t="s">
        <v>1675</v>
      </c>
      <c r="M934" s="3" t="s">
        <v>1798</v>
      </c>
      <c r="N934" s="3" t="s">
        <v>1425</v>
      </c>
      <c r="O934" s="3">
        <v>1.0</v>
      </c>
    </row>
    <row r="935" ht="15.75" customHeight="1">
      <c r="A935" s="3" t="s">
        <v>5321</v>
      </c>
      <c r="B935" s="3" t="s">
        <v>5322</v>
      </c>
      <c r="C935" s="3" t="s">
        <v>5323</v>
      </c>
      <c r="D935" s="3" t="s">
        <v>5324</v>
      </c>
      <c r="E935" s="3" t="str">
        <f>IFERROR(__xludf.DUMMYFUNCTION("GOOGLETRANSLATE($D935,""EN"",""RU"")")," Не мусорить")</f>
        <v> Не мусорить</v>
      </c>
      <c r="F935" s="3" t="s">
        <v>637</v>
      </c>
      <c r="G935" s="3" t="s">
        <v>15</v>
      </c>
      <c r="H935" s="3" t="s">
        <v>2226</v>
      </c>
      <c r="I935" s="3" t="s">
        <v>15</v>
      </c>
      <c r="J935" s="3" t="s">
        <v>2226</v>
      </c>
      <c r="K935" s="3" t="s">
        <v>1798</v>
      </c>
      <c r="L935" s="3" t="s">
        <v>1675</v>
      </c>
      <c r="M935" s="3" t="s">
        <v>1798</v>
      </c>
      <c r="N935" s="3" t="s">
        <v>1425</v>
      </c>
      <c r="O935" s="3">
        <v>1.0</v>
      </c>
    </row>
    <row r="936" ht="15.75" customHeight="1">
      <c r="A936" s="3" t="s">
        <v>5325</v>
      </c>
      <c r="B936" s="3" t="s">
        <v>5326</v>
      </c>
      <c r="C936" s="3" t="s">
        <v>5327</v>
      </c>
      <c r="D936" s="3" t="s">
        <v>5328</v>
      </c>
      <c r="E936" s="3" t="str">
        <f>IFERROR(__xludf.DUMMYFUNCTION("GOOGLETRANSLATE($D936,""EN"",""RU"")")," Женская комната")</f>
        <v> Женская комната</v>
      </c>
      <c r="F936" s="3" t="s">
        <v>637</v>
      </c>
      <c r="G936" s="3" t="s">
        <v>15</v>
      </c>
      <c r="H936" s="3" t="s">
        <v>2226</v>
      </c>
      <c r="I936" s="3" t="s">
        <v>15</v>
      </c>
      <c r="J936" s="3" t="s">
        <v>2226</v>
      </c>
      <c r="K936" s="3" t="s">
        <v>1798</v>
      </c>
      <c r="L936" s="3" t="s">
        <v>1675</v>
      </c>
      <c r="M936" s="3" t="s">
        <v>1798</v>
      </c>
      <c r="N936" s="3" t="s">
        <v>1425</v>
      </c>
      <c r="O936" s="3">
        <v>1.0</v>
      </c>
    </row>
    <row r="937" ht="15.75" customHeight="1">
      <c r="A937" s="3" t="s">
        <v>5329</v>
      </c>
      <c r="B937" s="3" t="s">
        <v>5330</v>
      </c>
      <c r="C937" s="3" t="s">
        <v>5331</v>
      </c>
      <c r="D937" s="3" t="s">
        <v>5332</v>
      </c>
      <c r="E937" s="3" t="str">
        <f>IFERROR(__xludf.DUMMYFUNCTION("GOOGLETRANSLATE($D937,""EN"",""RU"")")," Японская секретная кнопка")</f>
        <v> Японская секретная кнопка</v>
      </c>
      <c r="F937" s="3" t="s">
        <v>637</v>
      </c>
      <c r="G937" s="3" t="s">
        <v>15</v>
      </c>
      <c r="H937" s="3" t="s">
        <v>2226</v>
      </c>
      <c r="I937" s="3" t="s">
        <v>15</v>
      </c>
      <c r="J937" s="3" t="s">
        <v>2226</v>
      </c>
      <c r="K937" s="3" t="s">
        <v>1798</v>
      </c>
      <c r="L937" s="3" t="s">
        <v>1675</v>
      </c>
      <c r="M937" s="3" t="s">
        <v>1798</v>
      </c>
      <c r="N937" s="3" t="s">
        <v>1425</v>
      </c>
      <c r="O937" s="3">
        <v>1.0</v>
      </c>
    </row>
    <row r="938" ht="15.75" customHeight="1">
      <c r="A938" s="3" t="s">
        <v>5333</v>
      </c>
      <c r="B938" s="3" t="s">
        <v>5334</v>
      </c>
      <c r="C938" s="3" t="s">
        <v>5335</v>
      </c>
      <c r="D938" s="3" t="s">
        <v>5336</v>
      </c>
      <c r="E938" s="3" t="str">
        <f>IFERROR(__xludf.DUMMYFUNCTION("GOOGLETRANSLATE($D938,""EN"",""RU"")")," Козерог")</f>
        <v> Козерог</v>
      </c>
      <c r="F938" s="3" t="s">
        <v>637</v>
      </c>
      <c r="G938" s="3" t="s">
        <v>15</v>
      </c>
      <c r="H938" s="3" t="s">
        <v>2226</v>
      </c>
      <c r="I938" s="3" t="s">
        <v>2226</v>
      </c>
      <c r="J938" s="3" t="s">
        <v>15</v>
      </c>
      <c r="K938" s="3" t="s">
        <v>1798</v>
      </c>
      <c r="L938" s="3" t="s">
        <v>1798</v>
      </c>
      <c r="M938" s="3" t="s">
        <v>1675</v>
      </c>
      <c r="N938" s="3" t="s">
        <v>1798</v>
      </c>
      <c r="O938" s="3">
        <v>2.0</v>
      </c>
    </row>
    <row r="939" ht="15.75" customHeight="1">
      <c r="A939" s="3" t="s">
        <v>5337</v>
      </c>
      <c r="B939" s="3" t="s">
        <v>5338</v>
      </c>
      <c r="C939" s="3" t="s">
        <v>5339</v>
      </c>
      <c r="D939" s="3" t="s">
        <v>5340</v>
      </c>
      <c r="E939" s="3" t="str">
        <f>IFERROR(__xludf.DUMMYFUNCTION("GOOGLETRANSLATE($D939,""EN"",""RU"")")," Питьевая вода")</f>
        <v> Питьевая вода</v>
      </c>
      <c r="F939" s="3" t="s">
        <v>637</v>
      </c>
      <c r="G939" s="3" t="s">
        <v>15</v>
      </c>
      <c r="H939" s="3" t="s">
        <v>2226</v>
      </c>
      <c r="I939" s="3" t="s">
        <v>2226</v>
      </c>
      <c r="J939" s="3" t="s">
        <v>15</v>
      </c>
      <c r="K939" s="3" t="s">
        <v>1798</v>
      </c>
      <c r="L939" s="3" t="s">
        <v>1798</v>
      </c>
      <c r="M939" s="3" t="s">
        <v>1675</v>
      </c>
      <c r="N939" s="3" t="s">
        <v>1798</v>
      </c>
      <c r="O939" s="3">
        <v>2.0</v>
      </c>
    </row>
    <row r="940" ht="15.75" customHeight="1">
      <c r="A940" s="3" t="s">
        <v>5341</v>
      </c>
      <c r="B940" s="3" t="s">
        <v>5342</v>
      </c>
      <c r="C940" s="3" t="s">
        <v>5343</v>
      </c>
      <c r="D940" s="3" t="s">
        <v>5344</v>
      </c>
      <c r="E940" s="3" t="str">
        <f>IFERROR(__xludf.DUMMYFUNCTION("GOOGLETRANSLATE($D940,""EN"",""RU"")")," Клавиатура 2")</f>
        <v> Клавиатура 2</v>
      </c>
      <c r="F940" s="3" t="s">
        <v>637</v>
      </c>
      <c r="G940" s="3" t="s">
        <v>15</v>
      </c>
      <c r="H940" s="3" t="s">
        <v>15</v>
      </c>
      <c r="I940" s="3" t="s">
        <v>2226</v>
      </c>
      <c r="J940" s="3" t="s">
        <v>2226</v>
      </c>
      <c r="K940" s="3" t="s">
        <v>1675</v>
      </c>
      <c r="L940" s="3" t="s">
        <v>1798</v>
      </c>
      <c r="M940" s="3" t="s">
        <v>1798</v>
      </c>
      <c r="N940" s="3" t="s">
        <v>4410</v>
      </c>
      <c r="O940" s="3">
        <v>0.0</v>
      </c>
    </row>
    <row r="941" ht="15.75" customHeight="1">
      <c r="A941" s="3" t="s">
        <v>5345</v>
      </c>
      <c r="B941" s="3" t="s">
        <v>5346</v>
      </c>
      <c r="C941" s="3" t="s">
        <v>5347</v>
      </c>
      <c r="D941" s="3" t="s">
        <v>5348</v>
      </c>
      <c r="E941" s="3" t="str">
        <f>IFERROR(__xludf.DUMMYFUNCTION("GOOGLETRANSLATE($D941,""EN"",""RU"")")," Цирковая палатка")</f>
        <v> Цирковая палатка</v>
      </c>
      <c r="F941" s="3" t="s">
        <v>2127</v>
      </c>
      <c r="G941" s="3" t="s">
        <v>15</v>
      </c>
      <c r="H941" s="3" t="s">
        <v>2226</v>
      </c>
      <c r="I941" s="3" t="s">
        <v>15</v>
      </c>
      <c r="J941" s="3" t="s">
        <v>2226</v>
      </c>
      <c r="K941" s="3" t="s">
        <v>1798</v>
      </c>
      <c r="L941" s="3" t="s">
        <v>1675</v>
      </c>
      <c r="M941" s="3" t="s">
        <v>1798</v>
      </c>
      <c r="N941" s="3" t="s">
        <v>1425</v>
      </c>
      <c r="O941" s="3">
        <v>1.0</v>
      </c>
    </row>
    <row r="942" ht="15.75" customHeight="1">
      <c r="A942" s="3" t="s">
        <v>193</v>
      </c>
      <c r="B942" s="3" t="s">
        <v>5349</v>
      </c>
      <c r="C942" s="3" t="s">
        <v>5350</v>
      </c>
      <c r="D942" s="3" t="s">
        <v>5351</v>
      </c>
      <c r="E942" s="3" t="str">
        <f>IFERROR(__xludf.DUMMYFUNCTION("GOOGLETRANSLATE($D942,""EN"",""RU"")")," Больница")</f>
        <v> Больница</v>
      </c>
      <c r="F942" s="3" t="s">
        <v>2127</v>
      </c>
      <c r="G942" s="3" t="s">
        <v>15</v>
      </c>
      <c r="H942" s="3" t="s">
        <v>15</v>
      </c>
      <c r="I942" s="3" t="s">
        <v>2226</v>
      </c>
      <c r="J942" s="3" t="s">
        <v>2226</v>
      </c>
      <c r="K942" s="3" t="s">
        <v>1675</v>
      </c>
      <c r="L942" s="3" t="s">
        <v>1798</v>
      </c>
      <c r="M942" s="3" t="s">
        <v>1798</v>
      </c>
      <c r="N942" s="3" t="s">
        <v>4410</v>
      </c>
      <c r="O942" s="3">
        <v>0.0</v>
      </c>
    </row>
    <row r="943" ht="15.75" customHeight="1">
      <c r="A943" s="3" t="s">
        <v>5352</v>
      </c>
      <c r="B943" s="3" t="s">
        <v>5353</v>
      </c>
      <c r="C943" s="3" t="s">
        <v>5354</v>
      </c>
      <c r="D943" s="3" t="s">
        <v>5355</v>
      </c>
      <c r="E943" s="3" t="str">
        <f>IFERROR(__xludf.DUMMYFUNCTION("GOOGLETRANSLATE($D943,""EN"",""RU"")")," Универмаг")</f>
        <v> Универмаг</v>
      </c>
      <c r="F943" s="3" t="s">
        <v>2127</v>
      </c>
      <c r="G943" s="3" t="s">
        <v>15</v>
      </c>
      <c r="H943" s="3" t="s">
        <v>2226</v>
      </c>
      <c r="I943" s="3" t="s">
        <v>2226</v>
      </c>
      <c r="J943" s="3" t="s">
        <v>15</v>
      </c>
      <c r="K943" s="3" t="s">
        <v>1798</v>
      </c>
      <c r="L943" s="3" t="s">
        <v>1798</v>
      </c>
      <c r="M943" s="3" t="s">
        <v>1675</v>
      </c>
      <c r="N943" s="3" t="s">
        <v>1798</v>
      </c>
      <c r="O943" s="3">
        <v>2.0</v>
      </c>
    </row>
    <row r="944" ht="15.75" customHeight="1">
      <c r="A944" s="3" t="s">
        <v>5356</v>
      </c>
      <c r="B944" s="3" t="s">
        <v>5357</v>
      </c>
      <c r="C944" s="3" t="s">
        <v>5358</v>
      </c>
      <c r="D944" s="3" t="s">
        <v>5359</v>
      </c>
      <c r="E944" s="3" t="str">
        <f>IFERROR(__xludf.DUMMYFUNCTION("GOOGLETRANSLATE($D944,""EN"",""RU"")")," Автомагистраль")</f>
        <v> Автомагистраль</v>
      </c>
      <c r="F944" s="3" t="s">
        <v>2127</v>
      </c>
      <c r="G944" s="3" t="s">
        <v>15</v>
      </c>
      <c r="H944" s="3" t="s">
        <v>2226</v>
      </c>
      <c r="I944" s="3" t="s">
        <v>2226</v>
      </c>
      <c r="J944" s="3" t="s">
        <v>15</v>
      </c>
      <c r="K944" s="3" t="s">
        <v>1798</v>
      </c>
      <c r="L944" s="3" t="s">
        <v>1798</v>
      </c>
      <c r="M944" s="3" t="s">
        <v>1675</v>
      </c>
      <c r="N944" s="3" t="s">
        <v>1798</v>
      </c>
      <c r="O944" s="3">
        <v>2.0</v>
      </c>
    </row>
    <row r="945" ht="15.75" customHeight="1">
      <c r="A945" s="3" t="s">
        <v>5360</v>
      </c>
      <c r="B945" s="3" t="s">
        <v>5361</v>
      </c>
      <c r="C945" s="3" t="s">
        <v>5362</v>
      </c>
      <c r="D945" s="3" t="s">
        <v>5363</v>
      </c>
      <c r="E945" s="3" t="str">
        <f>IFERROR(__xludf.DUMMYFUNCTION("GOOGLETRANSLATE($D945,""EN"",""RU"")")," Такси")</f>
        <v> Такси</v>
      </c>
      <c r="F945" s="3" t="s">
        <v>358</v>
      </c>
      <c r="G945" s="3" t="s">
        <v>15</v>
      </c>
      <c r="H945" s="3" t="s">
        <v>15</v>
      </c>
      <c r="I945" s="3" t="s">
        <v>2226</v>
      </c>
      <c r="J945" s="3" t="s">
        <v>2226</v>
      </c>
      <c r="K945" s="3" t="s">
        <v>1675</v>
      </c>
      <c r="L945" s="3" t="s">
        <v>1798</v>
      </c>
      <c r="M945" s="3" t="s">
        <v>1798</v>
      </c>
      <c r="N945" s="3" t="s">
        <v>4410</v>
      </c>
      <c r="O945" s="3">
        <v>0.0</v>
      </c>
    </row>
    <row r="946" ht="15.75" customHeight="1">
      <c r="A946" s="3" t="s">
        <v>5364</v>
      </c>
      <c r="B946" s="3" t="s">
        <v>5365</v>
      </c>
      <c r="C946" s="3" t="s">
        <v>5366</v>
      </c>
      <c r="D946" s="3" t="s">
        <v>5367</v>
      </c>
      <c r="E946" s="3" t="str">
        <f>IFERROR(__xludf.DUMMYFUNCTION("GOOGLETRANSLATE($D946,""EN"",""RU"")")," Клавиатура 10")</f>
        <v> Клавиатура 10</v>
      </c>
      <c r="F946" s="3" t="s">
        <v>637</v>
      </c>
      <c r="G946" s="3" t="s">
        <v>15</v>
      </c>
      <c r="H946" s="3" t="s">
        <v>2226</v>
      </c>
      <c r="I946" s="3" t="s">
        <v>15</v>
      </c>
      <c r="J946" s="3" t="s">
        <v>2226</v>
      </c>
      <c r="K946" s="3" t="s">
        <v>1798</v>
      </c>
      <c r="L946" s="3" t="s">
        <v>1675</v>
      </c>
      <c r="M946" s="3" t="s">
        <v>1798</v>
      </c>
      <c r="N946" s="3" t="s">
        <v>1425</v>
      </c>
      <c r="O946" s="3">
        <v>1.0</v>
      </c>
    </row>
    <row r="947" ht="15.75" customHeight="1">
      <c r="A947" s="3" t="s">
        <v>5368</v>
      </c>
      <c r="B947" s="3" t="s">
        <v>5369</v>
      </c>
      <c r="C947" s="3" t="s">
        <v>5370</v>
      </c>
      <c r="D947" s="3" t="s">
        <v>5371</v>
      </c>
      <c r="E947" s="3" t="str">
        <f>IFERROR(__xludf.DUMMYFUNCTION("GOOGLETRANSLATE($D947,""EN"",""RU"")")," Свернутая газета")</f>
        <v> Свернутая газета</v>
      </c>
      <c r="F947" s="3" t="s">
        <v>358</v>
      </c>
      <c r="G947" s="3" t="s">
        <v>15</v>
      </c>
      <c r="H947" s="3" t="s">
        <v>2226</v>
      </c>
      <c r="I947" s="3" t="s">
        <v>15</v>
      </c>
      <c r="J947" s="3" t="s">
        <v>2226</v>
      </c>
      <c r="K947" s="3" t="s">
        <v>1798</v>
      </c>
      <c r="L947" s="3" t="s">
        <v>1675</v>
      </c>
      <c r="M947" s="3" t="s">
        <v>1798</v>
      </c>
      <c r="N947" s="3" t="s">
        <v>1425</v>
      </c>
      <c r="O947" s="3">
        <v>1.0</v>
      </c>
    </row>
    <row r="948" ht="15.75" customHeight="1">
      <c r="A948" s="3" t="s">
        <v>5372</v>
      </c>
      <c r="B948" s="3" t="s">
        <v>5373</v>
      </c>
      <c r="C948" s="3" t="s">
        <v>5374</v>
      </c>
      <c r="D948" s="3" t="s">
        <v>5375</v>
      </c>
      <c r="E948" s="3" t="str">
        <f>IFERROR(__xludf.DUMMYFUNCTION("GOOGLETRANSLATE($D948,""EN"",""RU"")")," Семь тридцать")</f>
        <v> Семь тридцать</v>
      </c>
      <c r="F948" s="3" t="s">
        <v>358</v>
      </c>
      <c r="G948" s="3" t="s">
        <v>15</v>
      </c>
      <c r="H948" s="3" t="s">
        <v>2226</v>
      </c>
      <c r="I948" s="3" t="s">
        <v>15</v>
      </c>
      <c r="J948" s="3" t="s">
        <v>2226</v>
      </c>
      <c r="K948" s="3" t="s">
        <v>1798</v>
      </c>
      <c r="L948" s="3" t="s">
        <v>1675</v>
      </c>
      <c r="M948" s="3" t="s">
        <v>1798</v>
      </c>
      <c r="N948" s="3" t="s">
        <v>1425</v>
      </c>
      <c r="O948" s="3">
        <v>1.0</v>
      </c>
    </row>
    <row r="949" ht="15.75" customHeight="1">
      <c r="A949" s="3" t="s">
        <v>5376</v>
      </c>
      <c r="B949" s="3" t="s">
        <v>5377</v>
      </c>
      <c r="C949" s="3" t="s">
        <v>5378</v>
      </c>
      <c r="D949" s="3" t="s">
        <v>5379</v>
      </c>
      <c r="E949" s="3" t="str">
        <f>IFERROR(__xludf.DUMMYFUNCTION("GOOGLETRANSLATE($D949,""EN"",""RU"")")," Вертолет")</f>
        <v> Вертолет</v>
      </c>
      <c r="F949" s="3" t="s">
        <v>358</v>
      </c>
      <c r="G949" s="3" t="s">
        <v>15</v>
      </c>
      <c r="H949" s="3" t="s">
        <v>2226</v>
      </c>
      <c r="I949" s="3" t="s">
        <v>2226</v>
      </c>
      <c r="J949" s="3" t="s">
        <v>15</v>
      </c>
      <c r="K949" s="3" t="s">
        <v>1798</v>
      </c>
      <c r="L949" s="3" t="s">
        <v>1798</v>
      </c>
      <c r="M949" s="3" t="s">
        <v>1675</v>
      </c>
      <c r="N949" s="3" t="s">
        <v>1798</v>
      </c>
      <c r="O949" s="3">
        <v>2.0</v>
      </c>
    </row>
    <row r="950" ht="15.75" customHeight="1">
      <c r="A950" s="3" t="s">
        <v>5380</v>
      </c>
      <c r="B950" s="3" t="s">
        <v>5381</v>
      </c>
      <c r="C950" s="3" t="s">
        <v>5382</v>
      </c>
      <c r="D950" s="3" t="s">
        <v>5383</v>
      </c>
      <c r="E950" s="3" t="str">
        <f>IFERROR(__xludf.DUMMYFUNCTION("GOOGLETRANSLATE($D950,""EN"",""RU"")")," Закрытый зонтик")</f>
        <v> Закрытый зонтик</v>
      </c>
      <c r="F950" s="3" t="s">
        <v>358</v>
      </c>
      <c r="G950" s="3" t="s">
        <v>15</v>
      </c>
      <c r="H950" s="3" t="s">
        <v>2226</v>
      </c>
      <c r="I950" s="3" t="s">
        <v>15</v>
      </c>
      <c r="J950" s="3" t="s">
        <v>2226</v>
      </c>
      <c r="K950" s="3" t="s">
        <v>1798</v>
      </c>
      <c r="L950" s="3" t="s">
        <v>1675</v>
      </c>
      <c r="M950" s="3" t="s">
        <v>1798</v>
      </c>
      <c r="N950" s="3" t="s">
        <v>1425</v>
      </c>
      <c r="O950" s="3">
        <v>1.0</v>
      </c>
    </row>
    <row r="951" ht="15.75" customHeight="1">
      <c r="A951" s="3" t="s">
        <v>5384</v>
      </c>
      <c r="B951" s="3" t="s">
        <v>5385</v>
      </c>
      <c r="C951" s="3" t="s">
        <v>5386</v>
      </c>
      <c r="D951" s="3" t="s">
        <v>5387</v>
      </c>
      <c r="E951" s="3" t="str">
        <f>IFERROR(__xludf.DUMMYFUNCTION("GOOGLETRANSLATE($D951,""EN"",""RU"")")," Боулинг")</f>
        <v> Боулинг</v>
      </c>
      <c r="F951" s="3" t="s">
        <v>358</v>
      </c>
      <c r="G951" s="3" t="s">
        <v>15</v>
      </c>
      <c r="H951" s="3" t="s">
        <v>2226</v>
      </c>
      <c r="I951" s="3" t="s">
        <v>15</v>
      </c>
      <c r="J951" s="3" t="s">
        <v>2226</v>
      </c>
      <c r="K951" s="3" t="s">
        <v>1798</v>
      </c>
      <c r="L951" s="3" t="s">
        <v>1675</v>
      </c>
      <c r="M951" s="3" t="s">
        <v>1798</v>
      </c>
      <c r="N951" s="3" t="s">
        <v>1425</v>
      </c>
      <c r="O951" s="3">
        <v>1.0</v>
      </c>
    </row>
    <row r="952" ht="15.75" customHeight="1">
      <c r="A952" s="3" t="s">
        <v>5388</v>
      </c>
      <c r="B952" s="3" t="s">
        <v>5389</v>
      </c>
      <c r="C952" s="3" t="s">
        <v>5390</v>
      </c>
      <c r="D952" s="3" t="s">
        <v>5391</v>
      </c>
      <c r="E952" s="3" t="str">
        <f>IFERROR(__xludf.DUMMYFUNCTION("GOOGLETRANSLATE($D952,""EN"",""RU"")")," Воздушный трамвай")</f>
        <v> Воздушный трамвай</v>
      </c>
      <c r="F952" s="3" t="s">
        <v>358</v>
      </c>
      <c r="G952" s="3" t="s">
        <v>15</v>
      </c>
      <c r="H952" s="3" t="s">
        <v>2226</v>
      </c>
      <c r="I952" s="3" t="s">
        <v>15</v>
      </c>
      <c r="J952" s="3" t="s">
        <v>2226</v>
      </c>
      <c r="K952" s="3" t="s">
        <v>1798</v>
      </c>
      <c r="L952" s="3" t="s">
        <v>1675</v>
      </c>
      <c r="M952" s="3" t="s">
        <v>1798</v>
      </c>
      <c r="N952" s="3" t="s">
        <v>1425</v>
      </c>
      <c r="O952" s="3">
        <v>1.0</v>
      </c>
    </row>
    <row r="953" ht="15.75" customHeight="1">
      <c r="A953" s="3" t="s">
        <v>5392</v>
      </c>
      <c r="B953" s="3" t="s">
        <v>5393</v>
      </c>
      <c r="C953" s="3" t="s">
        <v>5394</v>
      </c>
      <c r="D953" s="3" t="s">
        <v>5395</v>
      </c>
      <c r="E953" s="3" t="str">
        <f>IFERROR(__xludf.DUMMYFUNCTION("GOOGLETRANSLATE($D953,""EN"",""RU"")")," Термометр")</f>
        <v> Термометр</v>
      </c>
      <c r="F953" s="3" t="s">
        <v>358</v>
      </c>
      <c r="G953" s="3" t="s">
        <v>15</v>
      </c>
      <c r="H953" s="3" t="s">
        <v>2226</v>
      </c>
      <c r="I953" s="3" t="s">
        <v>2226</v>
      </c>
      <c r="J953" s="3" t="s">
        <v>15</v>
      </c>
      <c r="K953" s="3" t="s">
        <v>1798</v>
      </c>
      <c r="L953" s="3" t="s">
        <v>1798</v>
      </c>
      <c r="M953" s="3" t="s">
        <v>1675</v>
      </c>
      <c r="N953" s="3" t="s">
        <v>1798</v>
      </c>
      <c r="O953" s="3">
        <v>2.0</v>
      </c>
    </row>
    <row r="954" ht="15.75" customHeight="1">
      <c r="A954" s="3" t="s">
        <v>5396</v>
      </c>
      <c r="B954" s="3" t="s">
        <v>5397</v>
      </c>
      <c r="C954" s="3" t="s">
        <v>5398</v>
      </c>
      <c r="D954" s="3" t="s">
        <v>5399</v>
      </c>
      <c r="E954" s="3" t="str">
        <f>IFERROR(__xludf.DUMMYFUNCTION("GOOGLETRANSLATE($D954,""EN"",""RU"")")," Девять тридцать")</f>
        <v> Девять тридцать</v>
      </c>
      <c r="F954" s="3" t="s">
        <v>358</v>
      </c>
      <c r="G954" s="3" t="s">
        <v>15</v>
      </c>
      <c r="H954" s="3" t="s">
        <v>2226</v>
      </c>
      <c r="I954" s="3" t="s">
        <v>15</v>
      </c>
      <c r="J954" s="3" t="s">
        <v>2226</v>
      </c>
      <c r="K954" s="3" t="s">
        <v>1798</v>
      </c>
      <c r="L954" s="3" t="s">
        <v>1675</v>
      </c>
      <c r="M954" s="3" t="s">
        <v>1798</v>
      </c>
      <c r="N954" s="3" t="s">
        <v>1425</v>
      </c>
      <c r="O954" s="3">
        <v>1.0</v>
      </c>
    </row>
    <row r="955" ht="15.75" customHeight="1">
      <c r="A955" s="3" t="s">
        <v>5400</v>
      </c>
      <c r="B955" s="3" t="s">
        <v>5401</v>
      </c>
      <c r="C955" s="3" t="s">
        <v>5402</v>
      </c>
      <c r="D955" s="3" t="s">
        <v>5403</v>
      </c>
      <c r="E955" s="3" t="str">
        <f>IFERROR(__xludf.DUMMYFUNCTION("GOOGLETRANSLATE($D955,""EN"",""RU"")")," Время час")</f>
        <v> Время час</v>
      </c>
      <c r="F955" s="3" t="s">
        <v>358</v>
      </c>
      <c r="G955" s="3" t="s">
        <v>15</v>
      </c>
      <c r="H955" s="3" t="s">
        <v>2226</v>
      </c>
      <c r="I955" s="3" t="s">
        <v>2226</v>
      </c>
      <c r="J955" s="3" t="s">
        <v>15</v>
      </c>
      <c r="K955" s="3" t="s">
        <v>1798</v>
      </c>
      <c r="L955" s="3" t="s">
        <v>1798</v>
      </c>
      <c r="M955" s="3" t="s">
        <v>1675</v>
      </c>
      <c r="N955" s="3" t="s">
        <v>1798</v>
      </c>
      <c r="O955" s="3">
        <v>2.0</v>
      </c>
    </row>
    <row r="956" ht="15.75" customHeight="1">
      <c r="A956" s="3" t="s">
        <v>5404</v>
      </c>
      <c r="B956" s="3" t="s">
        <v>5405</v>
      </c>
      <c r="C956" s="3" t="s">
        <v>5406</v>
      </c>
      <c r="D956" s="3" t="s">
        <v>5407</v>
      </c>
      <c r="E956" s="3" t="str">
        <f>IFERROR(__xludf.DUMMYFUNCTION("GOOGLETRANSLATE($D956,""EN"",""RU"")")," Одиннадцать часов")</f>
        <v> Одиннадцать часов</v>
      </c>
      <c r="F956" s="3" t="s">
        <v>358</v>
      </c>
      <c r="G956" s="3" t="s">
        <v>15</v>
      </c>
      <c r="H956" s="3" t="s">
        <v>2226</v>
      </c>
      <c r="I956" s="3" t="s">
        <v>2226</v>
      </c>
      <c r="J956" s="3" t="s">
        <v>15</v>
      </c>
      <c r="K956" s="3" t="s">
        <v>1798</v>
      </c>
      <c r="L956" s="3" t="s">
        <v>1798</v>
      </c>
      <c r="M956" s="3" t="s">
        <v>1675</v>
      </c>
      <c r="N956" s="3" t="s">
        <v>1798</v>
      </c>
      <c r="O956" s="3">
        <v>2.0</v>
      </c>
    </row>
    <row r="957" ht="15.75" customHeight="1">
      <c r="A957" s="3" t="s">
        <v>5408</v>
      </c>
      <c r="B957" s="3" t="s">
        <v>5409</v>
      </c>
      <c r="C957" s="3" t="s">
        <v>5410</v>
      </c>
      <c r="D957" s="3" t="s">
        <v>5411</v>
      </c>
      <c r="E957" s="3" t="str">
        <f>IFERROR(__xludf.DUMMYFUNCTION("GOOGLETRANSLATE($D957,""EN"",""RU"")")," Близнецы")</f>
        <v> Близнецы</v>
      </c>
      <c r="F957" s="3" t="s">
        <v>637</v>
      </c>
      <c r="G957" s="3" t="s">
        <v>15</v>
      </c>
      <c r="H957" s="3" t="s">
        <v>2226</v>
      </c>
      <c r="I957" s="3" t="s">
        <v>2226</v>
      </c>
      <c r="J957" s="3" t="s">
        <v>15</v>
      </c>
      <c r="K957" s="3" t="s">
        <v>1798</v>
      </c>
      <c r="L957" s="3" t="s">
        <v>1798</v>
      </c>
      <c r="M957" s="3" t="s">
        <v>1675</v>
      </c>
      <c r="N957" s="3" t="s">
        <v>1798</v>
      </c>
      <c r="O957" s="3">
        <v>2.0</v>
      </c>
    </row>
    <row r="958" ht="15.75" customHeight="1">
      <c r="A958" s="3" t="s">
        <v>5412</v>
      </c>
      <c r="B958" s="3" t="s">
        <v>5413</v>
      </c>
      <c r="C958" s="3" t="s">
        <v>5414</v>
      </c>
      <c r="D958" s="3" t="s">
        <v>5415</v>
      </c>
      <c r="E958" s="3" t="str">
        <f>IFERROR(__xludf.DUMMYFUNCTION("GOOGLETRANSLATE($D958,""EN"",""RU"")")," Ом")</f>
        <v> Ом</v>
      </c>
      <c r="F958" s="3" t="s">
        <v>637</v>
      </c>
      <c r="G958" s="3" t="s">
        <v>15</v>
      </c>
      <c r="H958" s="3" t="s">
        <v>2226</v>
      </c>
      <c r="I958" s="3" t="s">
        <v>2226</v>
      </c>
      <c r="J958" s="3" t="s">
        <v>15</v>
      </c>
      <c r="K958" s="3" t="s">
        <v>1798</v>
      </c>
      <c r="L958" s="3" t="s">
        <v>1798</v>
      </c>
      <c r="M958" s="3" t="s">
        <v>1675</v>
      </c>
      <c r="N958" s="3" t="s">
        <v>1798</v>
      </c>
      <c r="O958" s="3">
        <v>2.0</v>
      </c>
    </row>
    <row r="959" ht="15.75" customHeight="1">
      <c r="A959" s="3" t="s">
        <v>5416</v>
      </c>
      <c r="B959" s="3" t="s">
        <v>5417</v>
      </c>
      <c r="C959" s="3" t="s">
        <v>5418</v>
      </c>
      <c r="D959" s="3" t="s">
        <v>5419</v>
      </c>
      <c r="E959" s="3" t="str">
        <f>IFERROR(__xludf.DUMMYFUNCTION("GOOGLETRANSLATE($D959,""EN"",""RU"")")," Выбор самолета")</f>
        <v> Выбор самолета</v>
      </c>
      <c r="F959" s="3" t="s">
        <v>358</v>
      </c>
      <c r="G959" s="3" t="s">
        <v>15</v>
      </c>
      <c r="H959" s="3" t="s">
        <v>2226</v>
      </c>
      <c r="I959" s="3" t="s">
        <v>2226</v>
      </c>
      <c r="J959" s="3" t="s">
        <v>15</v>
      </c>
      <c r="K959" s="3" t="s">
        <v>1798</v>
      </c>
      <c r="L959" s="3" t="s">
        <v>1798</v>
      </c>
      <c r="M959" s="3" t="s">
        <v>1675</v>
      </c>
      <c r="N959" s="3" t="s">
        <v>1798</v>
      </c>
      <c r="O959" s="3">
        <v>2.0</v>
      </c>
    </row>
    <row r="960" ht="15.75" customHeight="1">
      <c r="A960" s="3" t="s">
        <v>5420</v>
      </c>
      <c r="B960" s="3" t="s">
        <v>5421</v>
      </c>
      <c r="C960" s="3" t="s">
        <v>5422</v>
      </c>
      <c r="D960" s="3" t="s">
        <v>5423</v>
      </c>
      <c r="E960" s="3" t="str">
        <f>IFERROR(__xludf.DUMMYFUNCTION("GOOGLETRANSLATE($D960,""EN"",""RU"")")," Белый вопросительный знак")</f>
        <v> Белый вопросительный знак</v>
      </c>
      <c r="F960" s="3" t="s">
        <v>637</v>
      </c>
      <c r="G960" s="3" t="s">
        <v>15</v>
      </c>
      <c r="H960" s="3" t="s">
        <v>15</v>
      </c>
      <c r="I960" s="3" t="s">
        <v>2226</v>
      </c>
      <c r="J960" s="3" t="s">
        <v>2226</v>
      </c>
      <c r="K960" s="3" t="s">
        <v>1675</v>
      </c>
      <c r="L960" s="3" t="s">
        <v>1798</v>
      </c>
      <c r="M960" s="3" t="s">
        <v>1798</v>
      </c>
      <c r="N960" s="3" t="s">
        <v>4410</v>
      </c>
      <c r="O960" s="3">
        <v>0.0</v>
      </c>
    </row>
    <row r="961" ht="15.75" customHeight="1">
      <c r="A961" s="3" t="s">
        <v>5424</v>
      </c>
      <c r="B961" s="3" t="s">
        <v>5425</v>
      </c>
      <c r="C961" s="3" t="s">
        <v>5426</v>
      </c>
      <c r="D961" s="3" t="s">
        <v>5427</v>
      </c>
      <c r="E961" s="3" t="str">
        <f>IFERROR(__xludf.DUMMYFUNCTION("GOOGLETRANSLATE($D961,""EN"",""RU"")")," Человек на весельной лодке")</f>
        <v> Человек на весельной лодке</v>
      </c>
      <c r="F961" s="3" t="s">
        <v>2649</v>
      </c>
      <c r="G961" s="3" t="s">
        <v>15</v>
      </c>
      <c r="H961" s="3" t="s">
        <v>2226</v>
      </c>
      <c r="I961" s="3" t="s">
        <v>2226</v>
      </c>
      <c r="J961" s="3" t="s">
        <v>15</v>
      </c>
      <c r="K961" s="3" t="s">
        <v>1798</v>
      </c>
      <c r="L961" s="3" t="s">
        <v>1798</v>
      </c>
      <c r="M961" s="3" t="s">
        <v>1675</v>
      </c>
      <c r="N961" s="3" t="s">
        <v>1798</v>
      </c>
      <c r="O961" s="3">
        <v>2.0</v>
      </c>
    </row>
    <row r="962" ht="15.75" customHeight="1">
      <c r="A962" s="3" t="s">
        <v>5428</v>
      </c>
      <c r="B962" s="3" t="s">
        <v>5429</v>
      </c>
      <c r="C962" s="3" t="s">
        <v>5430</v>
      </c>
      <c r="D962" s="3" t="s">
        <v>5431</v>
      </c>
      <c r="E962" s="3" t="str">
        <f>IFERROR(__xludf.DUMMYFUNCTION("GOOGLETRANSLATE($D962,""EN"",""RU"")")," Мужчина в китайской кепке")</f>
        <v> Мужчина в китайской кепке</v>
      </c>
      <c r="F962" s="3" t="s">
        <v>2649</v>
      </c>
      <c r="G962" s="3" t="s">
        <v>15</v>
      </c>
      <c r="H962" s="3" t="s">
        <v>2226</v>
      </c>
      <c r="I962" s="3" t="s">
        <v>2226</v>
      </c>
      <c r="J962" s="3" t="s">
        <v>15</v>
      </c>
      <c r="K962" s="3" t="s">
        <v>1798</v>
      </c>
      <c r="L962" s="3" t="s">
        <v>1798</v>
      </c>
      <c r="M962" s="3" t="s">
        <v>1675</v>
      </c>
      <c r="N962" s="3" t="s">
        <v>1798</v>
      </c>
      <c r="O962" s="3">
        <v>2.0</v>
      </c>
    </row>
    <row r="963" ht="15.75" customHeight="1">
      <c r="A963" s="3" t="s">
        <v>5432</v>
      </c>
      <c r="B963" s="3" t="s">
        <v>5433</v>
      </c>
      <c r="C963" s="3" t="s">
        <v>5434</v>
      </c>
      <c r="D963" s="3" t="s">
        <v>5435</v>
      </c>
      <c r="E963" s="3" t="str">
        <f>IFERROR(__xludf.DUMMYFUNCTION("GOOGLETRANSLATE($D963,""EN"",""RU"")")," Сноубордист")</f>
        <v> Сноубордист</v>
      </c>
      <c r="F963" s="3" t="s">
        <v>2649</v>
      </c>
      <c r="G963" s="3" t="s">
        <v>15</v>
      </c>
      <c r="H963" s="3" t="s">
        <v>15</v>
      </c>
      <c r="I963" s="3" t="s">
        <v>2226</v>
      </c>
      <c r="J963" s="3" t="s">
        <v>2226</v>
      </c>
      <c r="K963" s="3" t="s">
        <v>1675</v>
      </c>
      <c r="L963" s="3" t="s">
        <v>1798</v>
      </c>
      <c r="M963" s="3" t="s">
        <v>1798</v>
      </c>
      <c r="N963" s="3" t="s">
        <v>4410</v>
      </c>
      <c r="O963" s="3">
        <v>0.0</v>
      </c>
    </row>
    <row r="964" ht="15.75" customHeight="1">
      <c r="A964" s="3" t="s">
        <v>5436</v>
      </c>
      <c r="B964" s="3" t="s">
        <v>5437</v>
      </c>
      <c r="C964" s="3" t="s">
        <v>5438</v>
      </c>
      <c r="D964" s="3" t="s">
        <v>5439</v>
      </c>
      <c r="E964" s="3" t="str">
        <f>IFERROR(__xludf.DUMMYFUNCTION("GOOGLETRANSLATE($D964,""EN"",""RU"")")," Человек Фехтование")</f>
        <v> Человек Фехтование</v>
      </c>
      <c r="F964" s="3" t="s">
        <v>2649</v>
      </c>
      <c r="G964" s="3" t="s">
        <v>15</v>
      </c>
      <c r="H964" s="3" t="s">
        <v>2226</v>
      </c>
      <c r="I964" s="3" t="s">
        <v>2226</v>
      </c>
      <c r="J964" s="3" t="s">
        <v>15</v>
      </c>
      <c r="K964" s="3" t="s">
        <v>1798</v>
      </c>
      <c r="L964" s="3" t="s">
        <v>1798</v>
      </c>
      <c r="M964" s="3" t="s">
        <v>1675</v>
      </c>
      <c r="N964" s="3" t="s">
        <v>1798</v>
      </c>
      <c r="O964" s="3">
        <v>2.0</v>
      </c>
    </row>
    <row r="965" ht="15.75" customHeight="1">
      <c r="A965" s="3" t="s">
        <v>5440</v>
      </c>
      <c r="B965" s="3" t="s">
        <v>5441</v>
      </c>
      <c r="C965" s="3" t="s">
        <v>5442</v>
      </c>
      <c r="D965" s="3" t="s">
        <v>5443</v>
      </c>
      <c r="E965" s="3" t="str">
        <f>IFERROR(__xludf.DUMMYFUNCTION("GOOGLETRANSLATE($D965,""EN"",""RU"")")," Человек, принимающий ванну")</f>
        <v> Человек, принимающий ванну</v>
      </c>
      <c r="F965" s="3" t="s">
        <v>2649</v>
      </c>
      <c r="G965" s="3" t="s">
        <v>15</v>
      </c>
      <c r="H965" s="3" t="s">
        <v>15</v>
      </c>
      <c r="I965" s="3" t="s">
        <v>2226</v>
      </c>
      <c r="J965" s="3" t="s">
        <v>2226</v>
      </c>
      <c r="K965" s="3" t="s">
        <v>1675</v>
      </c>
      <c r="L965" s="3" t="s">
        <v>1798</v>
      </c>
      <c r="M965" s="3" t="s">
        <v>1798</v>
      </c>
      <c r="N965" s="3" t="s">
        <v>4410</v>
      </c>
      <c r="O965" s="3">
        <v>0.0</v>
      </c>
    </row>
    <row r="966" ht="15.75" customHeight="1">
      <c r="A966" s="3" t="s">
        <v>431</v>
      </c>
      <c r="B966" s="3" t="s">
        <v>5444</v>
      </c>
      <c r="C966" s="3" t="s">
        <v>5445</v>
      </c>
      <c r="D966" s="3" t="s">
        <v>5446</v>
      </c>
      <c r="E966" s="3" t="str">
        <f>IFERROR(__xludf.DUMMYFUNCTION("GOOGLETRANSLATE($D966,""EN"",""RU"")")," молоток и кирка")</f>
        <v> молоток и кирка</v>
      </c>
      <c r="F966" s="3" t="s">
        <v>637</v>
      </c>
      <c r="G966" s="3" t="s">
        <v>15</v>
      </c>
      <c r="H966" s="3" t="s">
        <v>2226</v>
      </c>
      <c r="I966" s="3" t="s">
        <v>15</v>
      </c>
      <c r="J966" s="3" t="s">
        <v>2226</v>
      </c>
      <c r="K966" s="3" t="s">
        <v>1798</v>
      </c>
      <c r="L966" s="3" t="s">
        <v>1675</v>
      </c>
      <c r="M966" s="3" t="s">
        <v>1798</v>
      </c>
      <c r="N966" s="3" t="s">
        <v>1425</v>
      </c>
      <c r="O966" s="3">
        <v>1.0</v>
      </c>
    </row>
    <row r="967" ht="15.75" customHeight="1">
      <c r="A967" s="3" t="s">
        <v>5447</v>
      </c>
      <c r="B967" s="3" t="s">
        <v>5448</v>
      </c>
      <c r="C967" s="3" t="s">
        <v>5449</v>
      </c>
      <c r="D967" s="3" t="s">
        <v>5450</v>
      </c>
      <c r="E967" s="3" t="str">
        <f>IFERROR(__xludf.DUMMYFUNCTION("GOOGLETRANSLATE($D967,""EN"",""RU"")")," Зарегистрирован")</f>
        <v> Зарегистрирован</v>
      </c>
      <c r="F967" s="3" t="s">
        <v>637</v>
      </c>
      <c r="G967" s="3" t="s">
        <v>15</v>
      </c>
      <c r="H967" s="3" t="s">
        <v>2226</v>
      </c>
      <c r="I967" s="3" t="s">
        <v>15</v>
      </c>
      <c r="J967" s="3" t="s">
        <v>2226</v>
      </c>
      <c r="K967" s="3" t="s">
        <v>1798</v>
      </c>
      <c r="L967" s="3" t="s">
        <v>1675</v>
      </c>
      <c r="M967" s="3" t="s">
        <v>1798</v>
      </c>
      <c r="N967" s="3" t="s">
        <v>1425</v>
      </c>
      <c r="O967" s="3">
        <v>1.0</v>
      </c>
    </row>
    <row r="968" ht="15.75" customHeight="1">
      <c r="A968" s="3" t="s">
        <v>5451</v>
      </c>
      <c r="B968" s="3" t="s">
        <v>5452</v>
      </c>
      <c r="C968" s="3" t="s">
        <v>5453</v>
      </c>
      <c r="D968" s="3" t="s">
        <v>5454</v>
      </c>
      <c r="E968" s="3" t="str">
        <f>IFERROR(__xludf.DUMMYFUNCTION("GOOGLETRANSLATE($D968,""EN"",""RU"")")," Японская кнопка скидки")</f>
        <v> Японская кнопка скидки</v>
      </c>
      <c r="F968" s="3" t="s">
        <v>637</v>
      </c>
      <c r="G968" s="3" t="s">
        <v>15</v>
      </c>
      <c r="H968" s="3" t="s">
        <v>2226</v>
      </c>
      <c r="I968" s="3" t="s">
        <v>15</v>
      </c>
      <c r="J968" s="3" t="s">
        <v>2226</v>
      </c>
      <c r="K968" s="3" t="s">
        <v>1798</v>
      </c>
      <c r="L968" s="3" t="s">
        <v>1675</v>
      </c>
      <c r="M968" s="3" t="s">
        <v>1798</v>
      </c>
      <c r="N968" s="3" t="s">
        <v>1425</v>
      </c>
      <c r="O968" s="3">
        <v>1.0</v>
      </c>
    </row>
    <row r="969" ht="15.75" customHeight="1">
      <c r="A969" s="3" t="s">
        <v>5455</v>
      </c>
      <c r="B969" s="3" t="s">
        <v>5456</v>
      </c>
      <c r="C969" s="3" t="s">
        <v>5457</v>
      </c>
      <c r="D969" s="3" t="s">
        <v>5458</v>
      </c>
      <c r="E969" s="3" t="str">
        <f>IFERROR(__xludf.DUMMYFUNCTION("GOOGLETRANSLATE($D969,""EN"",""RU"")")," Клавиатура 3")</f>
        <v> Клавиатура 3</v>
      </c>
      <c r="F969" s="3" t="s">
        <v>637</v>
      </c>
      <c r="G969" s="3" t="s">
        <v>15</v>
      </c>
      <c r="H969" s="3" t="s">
        <v>15</v>
      </c>
      <c r="I969" s="3" t="s">
        <v>2226</v>
      </c>
      <c r="J969" s="3" t="s">
        <v>2226</v>
      </c>
      <c r="K969" s="3" t="s">
        <v>1675</v>
      </c>
      <c r="L969" s="3" t="s">
        <v>1798</v>
      </c>
      <c r="M969" s="3" t="s">
        <v>1798</v>
      </c>
      <c r="N969" s="3" t="s">
        <v>4410</v>
      </c>
      <c r="O969" s="3">
        <v>0.0</v>
      </c>
    </row>
    <row r="970" ht="15.75" customHeight="1">
      <c r="A970" s="3" t="s">
        <v>5459</v>
      </c>
      <c r="B970" s="3" t="s">
        <v>5460</v>
      </c>
      <c r="C970" s="3" t="s">
        <v>5461</v>
      </c>
      <c r="D970" s="3" t="s">
        <v>5462</v>
      </c>
      <c r="E970" s="3" t="str">
        <f>IFERROR(__xludf.DUMMYFUNCTION("GOOGLETRANSLATE($D970,""EN"",""RU"")")," Мобильный телефон выключен")</f>
        <v> Мобильный телефон выключен</v>
      </c>
      <c r="F970" s="3" t="s">
        <v>637</v>
      </c>
      <c r="G970" s="3" t="s">
        <v>15</v>
      </c>
      <c r="H970" s="3" t="s">
        <v>2226</v>
      </c>
      <c r="I970" s="3" t="s">
        <v>2226</v>
      </c>
      <c r="J970" s="3" t="s">
        <v>15</v>
      </c>
      <c r="K970" s="3" t="s">
        <v>1798</v>
      </c>
      <c r="L970" s="3" t="s">
        <v>1798</v>
      </c>
      <c r="M970" s="3" t="s">
        <v>1675</v>
      </c>
      <c r="N970" s="3" t="s">
        <v>1798</v>
      </c>
      <c r="O970" s="3">
        <v>2.0</v>
      </c>
    </row>
    <row r="971" ht="15.75" customHeight="1">
      <c r="A971" s="3" t="s">
        <v>562</v>
      </c>
      <c r="B971" s="3" t="s">
        <v>5463</v>
      </c>
      <c r="C971" s="3" t="s">
        <v>5464</v>
      </c>
      <c r="D971" s="3" t="s">
        <v>5465</v>
      </c>
      <c r="E971" s="3" t="str">
        <f>IFERROR(__xludf.DUMMYFUNCTION("GOOGLETRANSLATE($D971,""EN"",""RU"")")," Стрелка влево-вправо")</f>
        <v> Стрелка влево-вправо</v>
      </c>
      <c r="F971" s="3" t="s">
        <v>637</v>
      </c>
      <c r="G971" s="3" t="s">
        <v>15</v>
      </c>
      <c r="H971" s="3" t="s">
        <v>15</v>
      </c>
      <c r="I971" s="3" t="s">
        <v>2226</v>
      </c>
      <c r="J971" s="3" t="s">
        <v>2226</v>
      </c>
      <c r="K971" s="3" t="s">
        <v>1675</v>
      </c>
      <c r="L971" s="3" t="s">
        <v>1798</v>
      </c>
      <c r="M971" s="3" t="s">
        <v>1798</v>
      </c>
      <c r="N971" s="3" t="s">
        <v>4410</v>
      </c>
      <c r="O971" s="3">
        <v>0.0</v>
      </c>
    </row>
    <row r="972" ht="15.75" customHeight="1">
      <c r="A972" s="3" t="s">
        <v>5466</v>
      </c>
      <c r="B972" s="3" t="s">
        <v>5467</v>
      </c>
      <c r="C972" s="3" t="s">
        <v>5468</v>
      </c>
      <c r="D972" s="3" t="s">
        <v>5469</v>
      </c>
      <c r="E972" s="3" t="str">
        <f>IFERROR(__xludf.DUMMYFUNCTION("GOOGLETRANSLATE($D972,""EN"",""RU"")")," Ножницы")</f>
        <v> Ножницы</v>
      </c>
      <c r="F972" s="3" t="s">
        <v>637</v>
      </c>
      <c r="G972" s="3" t="s">
        <v>15</v>
      </c>
      <c r="H972" s="3" t="s">
        <v>15</v>
      </c>
      <c r="I972" s="3" t="s">
        <v>2226</v>
      </c>
      <c r="J972" s="3" t="s">
        <v>2226</v>
      </c>
      <c r="K972" s="3" t="s">
        <v>1675</v>
      </c>
      <c r="L972" s="3" t="s">
        <v>1798</v>
      </c>
      <c r="M972" s="3" t="s">
        <v>1798</v>
      </c>
      <c r="N972" s="3" t="s">
        <v>4410</v>
      </c>
      <c r="O972" s="3">
        <v>0.0</v>
      </c>
    </row>
    <row r="973" ht="15.75" customHeight="1">
      <c r="A973" s="3" t="s">
        <v>5470</v>
      </c>
      <c r="B973" s="3" t="s">
        <v>5471</v>
      </c>
      <c r="C973" s="3" t="s">
        <v>5472</v>
      </c>
      <c r="D973" s="3" t="s">
        <v>5473</v>
      </c>
      <c r="E973" s="3" t="str">
        <f>IFERROR(__xludf.DUMMYFUNCTION("GOOGLETRANSLATE($D973,""EN"",""RU"")")," Бесплатная кнопка")</f>
        <v> Бесплатная кнопка</v>
      </c>
      <c r="F973" s="3" t="s">
        <v>637</v>
      </c>
      <c r="G973" s="3" t="s">
        <v>15</v>
      </c>
      <c r="H973" s="3" t="s">
        <v>2226</v>
      </c>
      <c r="I973" s="3" t="s">
        <v>15</v>
      </c>
      <c r="J973" s="3" t="s">
        <v>2226</v>
      </c>
      <c r="K973" s="3" t="s">
        <v>1798</v>
      </c>
      <c r="L973" s="3" t="s">
        <v>1675</v>
      </c>
      <c r="M973" s="3" t="s">
        <v>1798</v>
      </c>
      <c r="N973" s="3" t="s">
        <v>1425</v>
      </c>
      <c r="O973" s="3">
        <v>1.0</v>
      </c>
    </row>
    <row r="974" ht="15.75" customHeight="1">
      <c r="A974" s="3" t="s">
        <v>5474</v>
      </c>
      <c r="B974" s="3" t="s">
        <v>5475</v>
      </c>
      <c r="C974" s="3" t="s">
        <v>5476</v>
      </c>
      <c r="D974" s="3" t="s">
        <v>5477</v>
      </c>
      <c r="E974" s="3" t="str">
        <f>IFERROR(__xludf.DUMMYFUNCTION("GOOGLETRANSLATE($D974,""EN"",""RU"")")," Звезда Давида")</f>
        <v> Звезда Давида</v>
      </c>
      <c r="F974" s="3" t="s">
        <v>637</v>
      </c>
      <c r="G974" s="3" t="s">
        <v>15</v>
      </c>
      <c r="H974" s="3" t="s">
        <v>15</v>
      </c>
      <c r="I974" s="3" t="s">
        <v>2226</v>
      </c>
      <c r="J974" s="3" t="s">
        <v>2226</v>
      </c>
      <c r="K974" s="3" t="s">
        <v>1675</v>
      </c>
      <c r="L974" s="3" t="s">
        <v>1798</v>
      </c>
      <c r="M974" s="3" t="s">
        <v>1798</v>
      </c>
      <c r="N974" s="3" t="s">
        <v>4410</v>
      </c>
      <c r="O974" s="3">
        <v>0.0</v>
      </c>
    </row>
    <row r="975" ht="15.75" customHeight="1">
      <c r="A975" s="3" t="s">
        <v>692</v>
      </c>
      <c r="B975" s="3" t="s">
        <v>5478</v>
      </c>
      <c r="C975" s="3" t="s">
        <v>5479</v>
      </c>
      <c r="D975" s="3" t="s">
        <v>5480</v>
      </c>
      <c r="E975" s="3" t="str">
        <f>IFERROR(__xludf.DUMMYFUNCTION("GOOGLETRANSLATE($D975,""EN"",""RU"")")," Кнопка «Перемешать треки»")</f>
        <v> Кнопка «Перемешать треки»</v>
      </c>
      <c r="F975" s="3" t="s">
        <v>637</v>
      </c>
      <c r="G975" s="3" t="s">
        <v>15</v>
      </c>
      <c r="H975" s="3" t="s">
        <v>2226</v>
      </c>
      <c r="I975" s="3" t="s">
        <v>15</v>
      </c>
      <c r="J975" s="3" t="s">
        <v>2226</v>
      </c>
      <c r="K975" s="3" t="s">
        <v>1798</v>
      </c>
      <c r="L975" s="3" t="s">
        <v>1675</v>
      </c>
      <c r="M975" s="3" t="s">
        <v>1798</v>
      </c>
      <c r="N975" s="3" t="s">
        <v>1425</v>
      </c>
      <c r="O975" s="3">
        <v>1.0</v>
      </c>
    </row>
    <row r="976" ht="15.75" customHeight="1">
      <c r="A976" s="3" t="s">
        <v>5481</v>
      </c>
      <c r="B976" s="3" t="s">
        <v>5482</v>
      </c>
      <c r="C976" s="3" t="s">
        <v>5483</v>
      </c>
      <c r="D976" s="3" t="s">
        <v>5484</v>
      </c>
      <c r="E976" s="3" t="str">
        <f>IFERROR(__xludf.DUMMYFUNCTION("GOOGLETRANSLATE($D976,""EN"",""RU"")")," Символ регионального индикатора, буква V")</f>
        <v> Символ регионального индикатора, буква V</v>
      </c>
      <c r="F976" s="3" t="s">
        <v>637</v>
      </c>
      <c r="G976" s="3" t="s">
        <v>15</v>
      </c>
      <c r="H976" s="3" t="s">
        <v>2226</v>
      </c>
      <c r="I976" s="3" t="s">
        <v>2226</v>
      </c>
      <c r="J976" s="3" t="s">
        <v>15</v>
      </c>
      <c r="K976" s="3" t="s">
        <v>1798</v>
      </c>
      <c r="L976" s="3" t="s">
        <v>1798</v>
      </c>
      <c r="M976" s="3" t="s">
        <v>1675</v>
      </c>
      <c r="N976" s="3" t="s">
        <v>1798</v>
      </c>
      <c r="O976" s="3">
        <v>2.0</v>
      </c>
    </row>
    <row r="977" ht="15.75" customHeight="1">
      <c r="A977" s="3" t="s">
        <v>504</v>
      </c>
      <c r="B977" s="3" t="s">
        <v>5485</v>
      </c>
      <c r="C977" s="3" t="s">
        <v>5486</v>
      </c>
      <c r="D977" s="3" t="s">
        <v>5487</v>
      </c>
      <c r="E977" s="3" t="str">
        <f>IFERROR(__xludf.DUMMYFUNCTION("GOOGLETRANSLATE($D977,""EN"",""RU"")")," Стрелец")</f>
        <v> Стрелец</v>
      </c>
      <c r="F977" s="3" t="s">
        <v>637</v>
      </c>
      <c r="G977" s="3" t="s">
        <v>15</v>
      </c>
      <c r="H977" s="3" t="s">
        <v>2226</v>
      </c>
      <c r="I977" s="3" t="s">
        <v>2226</v>
      </c>
      <c r="J977" s="3" t="s">
        <v>15</v>
      </c>
      <c r="K977" s="3" t="s">
        <v>1798</v>
      </c>
      <c r="L977" s="3" t="s">
        <v>1798</v>
      </c>
      <c r="M977" s="3" t="s">
        <v>1675</v>
      </c>
      <c r="N977" s="3" t="s">
        <v>1798</v>
      </c>
      <c r="O977" s="3">
        <v>2.0</v>
      </c>
    </row>
    <row r="978" ht="15.75" customHeight="1">
      <c r="A978" s="3" t="s">
        <v>5488</v>
      </c>
      <c r="B978" s="3" t="s">
        <v>5489</v>
      </c>
      <c r="C978" s="3" t="s">
        <v>5490</v>
      </c>
      <c r="D978" s="3" t="s">
        <v>5491</v>
      </c>
      <c r="E978" s="3" t="str">
        <f>IFERROR(__xludf.DUMMYFUNCTION("GOOGLETRANSLATE($D978,""EN"",""RU"")")," Ползунок уровня")</f>
        <v> Ползунок уровня</v>
      </c>
      <c r="F978" s="3" t="s">
        <v>637</v>
      </c>
      <c r="G978" s="3" t="s">
        <v>15</v>
      </c>
      <c r="H978" s="3" t="s">
        <v>2226</v>
      </c>
      <c r="I978" s="3" t="s">
        <v>2226</v>
      </c>
      <c r="J978" s="3" t="s">
        <v>15</v>
      </c>
      <c r="K978" s="3" t="s">
        <v>1798</v>
      </c>
      <c r="L978" s="3" t="s">
        <v>1798</v>
      </c>
      <c r="M978" s="3" t="s">
        <v>1675</v>
      </c>
      <c r="N978" s="3" t="s">
        <v>1798</v>
      </c>
      <c r="O978" s="3">
        <v>2.0</v>
      </c>
    </row>
    <row r="979" ht="15.75" customHeight="1">
      <c r="A979" s="3" t="s">
        <v>5492</v>
      </c>
      <c r="B979" s="3" t="s">
        <v>5493</v>
      </c>
      <c r="C979" s="3" t="s">
        <v>5494</v>
      </c>
      <c r="D979" s="3" t="s">
        <v>5495</v>
      </c>
      <c r="E979" s="3" t="str">
        <f>IFERROR(__xludf.DUMMYFUNCTION("GOOGLETRANSLATE($D979,""EN"",""RU"")")," Заблокировано ручкой")</f>
        <v> Заблокировано ручкой</v>
      </c>
      <c r="F979" s="3" t="s">
        <v>637</v>
      </c>
      <c r="G979" s="3" t="s">
        <v>15</v>
      </c>
      <c r="H979" s="3" t="s">
        <v>15</v>
      </c>
      <c r="I979" s="3" t="s">
        <v>2226</v>
      </c>
      <c r="J979" s="3" t="s">
        <v>2226</v>
      </c>
      <c r="K979" s="3" t="s">
        <v>1675</v>
      </c>
      <c r="L979" s="3" t="s">
        <v>1798</v>
      </c>
      <c r="M979" s="3" t="s">
        <v>1798</v>
      </c>
      <c r="N979" s="3" t="s">
        <v>4410</v>
      </c>
      <c r="O979" s="3">
        <v>0.0</v>
      </c>
    </row>
    <row r="980" ht="15.75" customHeight="1">
      <c r="A980" s="3" t="s">
        <v>5496</v>
      </c>
      <c r="B980" s="3" t="s">
        <v>5497</v>
      </c>
      <c r="C980" s="3" t="s">
        <v>5498</v>
      </c>
      <c r="D980" s="3" t="s">
        <v>5499</v>
      </c>
      <c r="E980" s="3" t="str">
        <f>IFERROR(__xludf.DUMMYFUNCTION("GOOGLETRANSLATE($D980,""EN"",""RU"")")," Кнопка записи")</f>
        <v> Кнопка записи</v>
      </c>
      <c r="F980" s="3" t="s">
        <v>637</v>
      </c>
      <c r="G980" s="3" t="s">
        <v>15</v>
      </c>
      <c r="H980" s="3" t="s">
        <v>2226</v>
      </c>
      <c r="I980" s="3" t="s">
        <v>15</v>
      </c>
      <c r="J980" s="3" t="s">
        <v>2226</v>
      </c>
      <c r="K980" s="3" t="s">
        <v>1798</v>
      </c>
      <c r="L980" s="3" t="s">
        <v>1675</v>
      </c>
      <c r="M980" s="3" t="s">
        <v>1798</v>
      </c>
      <c r="N980" s="3" t="s">
        <v>1425</v>
      </c>
      <c r="O980" s="3">
        <v>1.0</v>
      </c>
    </row>
    <row r="981" ht="15.75" customHeight="1">
      <c r="A981" s="3" t="s">
        <v>5500</v>
      </c>
      <c r="B981" s="3" t="s">
        <v>5501</v>
      </c>
      <c r="C981" s="3" t="s">
        <v>5502</v>
      </c>
      <c r="D981" s="3" t="s">
        <v>5503</v>
      </c>
      <c r="E981" s="3" t="str">
        <f>IFERROR(__xludf.DUMMYFUNCTION("GOOGLETRANSLATE($D981,""EN"",""RU"")")," Стрелка вниз-вправо")</f>
        <v> Стрелка вниз-вправо</v>
      </c>
      <c r="F981" s="3" t="s">
        <v>637</v>
      </c>
      <c r="G981" s="3" t="s">
        <v>15</v>
      </c>
      <c r="H981" s="3" t="s">
        <v>2226</v>
      </c>
      <c r="I981" s="3" t="s">
        <v>15</v>
      </c>
      <c r="J981" s="3" t="s">
        <v>2226</v>
      </c>
      <c r="K981" s="3" t="s">
        <v>1798</v>
      </c>
      <c r="L981" s="3" t="s">
        <v>1675</v>
      </c>
      <c r="M981" s="3" t="s">
        <v>1798</v>
      </c>
      <c r="N981" s="3" t="s">
        <v>1425</v>
      </c>
      <c r="O981" s="3">
        <v>1.0</v>
      </c>
    </row>
    <row r="982" ht="15.75" customHeight="1">
      <c r="A982" s="3" t="s">
        <v>5504</v>
      </c>
      <c r="B982" s="3" t="s">
        <v>5505</v>
      </c>
      <c r="C982" s="3" t="s">
        <v>5506</v>
      </c>
      <c r="D982" s="3" t="s">
        <v>5507</v>
      </c>
      <c r="E982" s="3" t="str">
        <f>IFERROR(__xludf.DUMMYFUNCTION("GOOGLETRANSLATE($D982,""EN"",""RU"")")," Кнопка B (группа крови)")</f>
        <v> Кнопка B (группа крови)</v>
      </c>
      <c r="F982" s="3" t="s">
        <v>637</v>
      </c>
      <c r="G982" s="3" t="s">
        <v>15</v>
      </c>
      <c r="H982" s="3" t="s">
        <v>2226</v>
      </c>
      <c r="I982" s="3" t="s">
        <v>2226</v>
      </c>
      <c r="J982" s="3" t="s">
        <v>15</v>
      </c>
      <c r="K982" s="3" t="s">
        <v>1798</v>
      </c>
      <c r="L982" s="3" t="s">
        <v>1798</v>
      </c>
      <c r="M982" s="3" t="s">
        <v>1675</v>
      </c>
      <c r="N982" s="3" t="s">
        <v>1798</v>
      </c>
      <c r="O982" s="3">
        <v>2.0</v>
      </c>
    </row>
    <row r="983" ht="15.75" customHeight="1">
      <c r="A983" s="3" t="s">
        <v>5508</v>
      </c>
      <c r="B983" s="3" t="s">
        <v>5509</v>
      </c>
      <c r="C983" s="3" t="s">
        <v>5510</v>
      </c>
      <c r="D983" s="3" t="s">
        <v>5511</v>
      </c>
      <c r="E983" s="3" t="str">
        <f>IFERROR(__xludf.DUMMYFUNCTION("GOOGLETRANSLATE($D983,""EN"",""RU"")")," Маджонг Красный Дракон")</f>
        <v> Маджонг Красный Дракон</v>
      </c>
      <c r="F983" s="3" t="s">
        <v>358</v>
      </c>
      <c r="G983" s="3" t="s">
        <v>15</v>
      </c>
      <c r="H983" s="3" t="s">
        <v>2226</v>
      </c>
      <c r="I983" s="3" t="s">
        <v>2226</v>
      </c>
      <c r="J983" s="3" t="s">
        <v>15</v>
      </c>
      <c r="K983" s="3" t="s">
        <v>1798</v>
      </c>
      <c r="L983" s="3" t="s">
        <v>1798</v>
      </c>
      <c r="M983" s="3" t="s">
        <v>1675</v>
      </c>
      <c r="N983" s="3" t="s">
        <v>1798</v>
      </c>
      <c r="O983" s="3">
        <v>2.0</v>
      </c>
    </row>
    <row r="984" ht="15.75" customHeight="1">
      <c r="A984" s="3" t="s">
        <v>5512</v>
      </c>
      <c r="B984" s="3" t="s">
        <v>5513</v>
      </c>
      <c r="C984" s="3" t="s">
        <v>5514</v>
      </c>
      <c r="D984" s="3" t="s">
        <v>5515</v>
      </c>
      <c r="E984" s="3" t="str">
        <f>IFERROR(__xludf.DUMMYFUNCTION("GOOGLETRANSLATE($D984,""EN"",""RU"")")," Кик-самокат")</f>
        <v> Кик-самокат</v>
      </c>
      <c r="F984" s="3" t="s">
        <v>358</v>
      </c>
      <c r="G984" s="3" t="s">
        <v>15</v>
      </c>
      <c r="H984" s="3" t="s">
        <v>15</v>
      </c>
      <c r="I984" s="3" t="s">
        <v>2226</v>
      </c>
      <c r="J984" s="3" t="s">
        <v>2226</v>
      </c>
      <c r="K984" s="3" t="s">
        <v>1675</v>
      </c>
      <c r="L984" s="3" t="s">
        <v>1798</v>
      </c>
      <c r="M984" s="3" t="s">
        <v>1798</v>
      </c>
      <c r="N984" s="3" t="s">
        <v>4410</v>
      </c>
      <c r="O984" s="3">
        <v>0.0</v>
      </c>
    </row>
    <row r="985" ht="15.75" customHeight="1">
      <c r="A985" s="3" t="s">
        <v>5516</v>
      </c>
      <c r="B985" s="3" t="s">
        <v>5517</v>
      </c>
      <c r="C985" s="3" t="s">
        <v>5518</v>
      </c>
      <c r="D985" s="3" t="s">
        <v>5519</v>
      </c>
      <c r="E985" s="3" t="str">
        <f>IFERROR(__xludf.DUMMYFUNCTION("GOOGLETRANSLATE($D985,""EN"",""RU"")")," Бурундук")</f>
        <v> Бурундук</v>
      </c>
      <c r="F985" s="3" t="s">
        <v>81</v>
      </c>
      <c r="G985" s="3" t="s">
        <v>15</v>
      </c>
      <c r="H985" s="3" t="s">
        <v>2226</v>
      </c>
      <c r="I985" s="3" t="s">
        <v>2226</v>
      </c>
      <c r="J985" s="3" t="s">
        <v>15</v>
      </c>
      <c r="K985" s="3" t="s">
        <v>1798</v>
      </c>
      <c r="L985" s="3" t="s">
        <v>1798</v>
      </c>
      <c r="M985" s="3" t="s">
        <v>1675</v>
      </c>
      <c r="N985" s="3" t="s">
        <v>1798</v>
      </c>
      <c r="O985" s="3">
        <v>2.0</v>
      </c>
    </row>
    <row r="986" ht="15.75" customHeight="1">
      <c r="A986" s="3" t="s">
        <v>5520</v>
      </c>
      <c r="B986" s="3" t="s">
        <v>5521</v>
      </c>
      <c r="C986" s="3" t="s">
        <v>5522</v>
      </c>
      <c r="D986" s="3" t="s">
        <v>5523</v>
      </c>
      <c r="E986" s="3" t="str">
        <f>IFERROR(__xludf.DUMMYFUNCTION("GOOGLETRANSLATE($D986,""EN"",""RU"")")," Кабан")</f>
        <v> Кабан</v>
      </c>
      <c r="F986" s="3" t="s">
        <v>81</v>
      </c>
      <c r="G986" s="3" t="s">
        <v>15</v>
      </c>
      <c r="H986" s="3" t="s">
        <v>15</v>
      </c>
      <c r="I986" s="3" t="s">
        <v>2226</v>
      </c>
      <c r="J986" s="3" t="s">
        <v>2226</v>
      </c>
      <c r="K986" s="3" t="s">
        <v>1675</v>
      </c>
      <c r="L986" s="3" t="s">
        <v>1798</v>
      </c>
      <c r="M986" s="3" t="s">
        <v>1798</v>
      </c>
      <c r="N986" s="3" t="s">
        <v>4410</v>
      </c>
      <c r="O986" s="3">
        <v>0.0</v>
      </c>
    </row>
    <row r="987" ht="15.75" customHeight="1">
      <c r="A987" s="3" t="s">
        <v>5524</v>
      </c>
      <c r="B987" s="3" t="s">
        <v>5525</v>
      </c>
      <c r="C987" s="3" t="s">
        <v>5526</v>
      </c>
      <c r="D987" s="3" t="s">
        <v>5527</v>
      </c>
      <c r="E987" s="3" t="str">
        <f>IFERROR(__xludf.DUMMYFUNCTION("GOOGLETRANSLATE($D987,""EN"",""RU"")")," Авокадо")</f>
        <v> Авокадо</v>
      </c>
      <c r="F987" s="3" t="s">
        <v>1510</v>
      </c>
      <c r="G987" s="3" t="s">
        <v>15</v>
      </c>
      <c r="H987" s="3" t="s">
        <v>15</v>
      </c>
      <c r="I987" s="3" t="s">
        <v>2226</v>
      </c>
      <c r="J987" s="3" t="s">
        <v>2226</v>
      </c>
      <c r="K987" s="3" t="s">
        <v>1675</v>
      </c>
      <c r="L987" s="3" t="s">
        <v>1798</v>
      </c>
      <c r="M987" s="3" t="s">
        <v>1798</v>
      </c>
      <c r="N987" s="3" t="s">
        <v>4410</v>
      </c>
      <c r="O987" s="3">
        <v>0.0</v>
      </c>
    </row>
    <row r="988" ht="15.75" customHeight="1">
      <c r="A988" s="3" t="s">
        <v>181</v>
      </c>
      <c r="B988" s="3" t="s">
        <v>5528</v>
      </c>
      <c r="C988" s="3" t="s">
        <v>5529</v>
      </c>
      <c r="D988" s="3" t="s">
        <v>5530</v>
      </c>
      <c r="E988" s="3" t="str">
        <f>IFERROR(__xludf.DUMMYFUNCTION("GOOGLETRANSLATE($D988,""EN"",""RU"")")," Круассан")</f>
        <v> Круассан</v>
      </c>
      <c r="F988" s="3" t="s">
        <v>1510</v>
      </c>
      <c r="G988" s="3" t="s">
        <v>15</v>
      </c>
      <c r="H988" s="3" t="s">
        <v>15</v>
      </c>
      <c r="I988" s="3" t="s">
        <v>2226</v>
      </c>
      <c r="J988" s="3" t="s">
        <v>2226</v>
      </c>
      <c r="K988" s="3" t="s">
        <v>1675</v>
      </c>
      <c r="L988" s="3" t="s">
        <v>1798</v>
      </c>
      <c r="M988" s="3" t="s">
        <v>1798</v>
      </c>
      <c r="N988" s="3" t="s">
        <v>4410</v>
      </c>
      <c r="O988" s="3">
        <v>0.0</v>
      </c>
    </row>
    <row r="989" ht="15.75" customHeight="1">
      <c r="A989" s="3" t="s">
        <v>5531</v>
      </c>
      <c r="B989" s="3" t="s">
        <v>5532</v>
      </c>
      <c r="C989" s="3" t="s">
        <v>5533</v>
      </c>
      <c r="D989" s="3" t="s">
        <v>5534</v>
      </c>
      <c r="E989" s="3" t="str">
        <f>IFERROR(__xludf.DUMMYFUNCTION("GOOGLETRANSLATE($D989,""EN"",""RU"")")," Бекон")</f>
        <v> Бекон</v>
      </c>
      <c r="F989" s="3" t="s">
        <v>1510</v>
      </c>
      <c r="G989" s="3" t="s">
        <v>15</v>
      </c>
      <c r="H989" s="3" t="s">
        <v>2226</v>
      </c>
      <c r="I989" s="3" t="s">
        <v>15</v>
      </c>
      <c r="J989" s="3" t="s">
        <v>2226</v>
      </c>
      <c r="K989" s="3" t="s">
        <v>1798</v>
      </c>
      <c r="L989" s="3" t="s">
        <v>1675</v>
      </c>
      <c r="M989" s="3" t="s">
        <v>1798</v>
      </c>
      <c r="N989" s="3" t="s">
        <v>1425</v>
      </c>
      <c r="O989" s="3">
        <v>1.0</v>
      </c>
    </row>
    <row r="990" ht="15.75" customHeight="1">
      <c r="A990" s="3" t="s">
        <v>605</v>
      </c>
      <c r="B990" s="3" t="s">
        <v>5535</v>
      </c>
      <c r="C990" s="3" t="s">
        <v>5536</v>
      </c>
      <c r="D990" s="3" t="s">
        <v>5537</v>
      </c>
      <c r="E990" s="3" t="str">
        <f>IFERROR(__xludf.DUMMYFUNCTION("GOOGLETRANSLATE($D990,""EN"",""RU"")")," Киви")</f>
        <v> Киви</v>
      </c>
      <c r="F990" s="3" t="s">
        <v>1510</v>
      </c>
      <c r="G990" s="3" t="s">
        <v>15</v>
      </c>
      <c r="H990" s="3" t="s">
        <v>15</v>
      </c>
      <c r="I990" s="3" t="s">
        <v>2226</v>
      </c>
      <c r="J990" s="3" t="s">
        <v>2226</v>
      </c>
      <c r="K990" s="3" t="s">
        <v>1675</v>
      </c>
      <c r="L990" s="3" t="s">
        <v>1798</v>
      </c>
      <c r="M990" s="3" t="s">
        <v>1798</v>
      </c>
      <c r="N990" s="3" t="s">
        <v>4410</v>
      </c>
      <c r="O990" s="3">
        <v>0.0</v>
      </c>
    </row>
    <row r="991" ht="15.75" customHeight="1">
      <c r="A991" s="3" t="s">
        <v>5538</v>
      </c>
      <c r="B991" s="3" t="s">
        <v>5539</v>
      </c>
      <c r="C991" s="3" t="s">
        <v>5540</v>
      </c>
      <c r="D991" s="3" t="s">
        <v>5541</v>
      </c>
      <c r="E991" s="3" t="str">
        <f>IFERROR(__xludf.DUMMYFUNCTION("GOOGLETRANSLATE($D991,""EN"",""RU"")")," Рисовый шарик")</f>
        <v> Рисовый шарик</v>
      </c>
      <c r="F991" s="3" t="s">
        <v>1510</v>
      </c>
      <c r="G991" s="3" t="s">
        <v>15</v>
      </c>
      <c r="H991" s="3" t="s">
        <v>2226</v>
      </c>
      <c r="I991" s="3" t="s">
        <v>15</v>
      </c>
      <c r="J991" s="3" t="s">
        <v>2226</v>
      </c>
      <c r="K991" s="3" t="s">
        <v>1798</v>
      </c>
      <c r="L991" s="3" t="s">
        <v>1675</v>
      </c>
      <c r="M991" s="3" t="s">
        <v>1798</v>
      </c>
      <c r="N991" s="3" t="s">
        <v>1425</v>
      </c>
      <c r="O991" s="3">
        <v>1.0</v>
      </c>
    </row>
    <row r="992" ht="15.75" customHeight="1">
      <c r="A992" s="3" t="s">
        <v>5542</v>
      </c>
      <c r="B992" s="3" t="s">
        <v>5543</v>
      </c>
      <c r="C992" s="3" t="s">
        <v>5544</v>
      </c>
      <c r="D992" s="3" t="s">
        <v>5545</v>
      </c>
      <c r="E992" s="3" t="str">
        <f>IFERROR(__xludf.DUMMYFUNCTION("GOOGLETRANSLATE($D992,""EN"",""RU"")")," Гриб")</f>
        <v> Гриб</v>
      </c>
      <c r="F992" s="3" t="s">
        <v>1510</v>
      </c>
      <c r="G992" s="3" t="s">
        <v>15</v>
      </c>
      <c r="H992" s="3" t="s">
        <v>2226</v>
      </c>
      <c r="I992" s="3" t="s">
        <v>15</v>
      </c>
      <c r="J992" s="3" t="s">
        <v>2226</v>
      </c>
      <c r="K992" s="3" t="s">
        <v>1798</v>
      </c>
      <c r="L992" s="3" t="s">
        <v>1675</v>
      </c>
      <c r="M992" s="3" t="s">
        <v>1798</v>
      </c>
      <c r="N992" s="3" t="s">
        <v>1425</v>
      </c>
      <c r="O992" s="3">
        <v>1.0</v>
      </c>
    </row>
    <row r="993" ht="15.75" customHeight="1">
      <c r="A993" s="3" t="s">
        <v>5546</v>
      </c>
      <c r="B993" s="3" t="s">
        <v>5547</v>
      </c>
      <c r="C993" s="3" t="s">
        <v>5548</v>
      </c>
      <c r="D993" s="3" t="s">
        <v>5549</v>
      </c>
      <c r="E993" s="3" t="str">
        <f>IFERROR(__xludf.DUMMYFUNCTION("GOOGLETRANSLATE($D993,""EN"",""RU"")")," Скорпион")</f>
        <v> Скорпион</v>
      </c>
      <c r="F993" s="3" t="s">
        <v>81</v>
      </c>
      <c r="G993" s="3" t="s">
        <v>15</v>
      </c>
      <c r="H993" s="3" t="s">
        <v>15</v>
      </c>
      <c r="I993" s="3" t="s">
        <v>2226</v>
      </c>
      <c r="J993" s="3" t="s">
        <v>2226</v>
      </c>
      <c r="K993" s="3" t="s">
        <v>1675</v>
      </c>
      <c r="L993" s="3" t="s">
        <v>1798</v>
      </c>
      <c r="M993" s="3" t="s">
        <v>1798</v>
      </c>
      <c r="N993" s="3" t="s">
        <v>4410</v>
      </c>
      <c r="O993" s="3">
        <v>0.0</v>
      </c>
    </row>
    <row r="994" ht="15.75" customHeight="1">
      <c r="A994" s="3" t="s">
        <v>5550</v>
      </c>
      <c r="B994" s="3" t="s">
        <v>5551</v>
      </c>
      <c r="C994" s="3" t="s">
        <v>5552</v>
      </c>
      <c r="D994" s="3" t="s">
        <v>4207</v>
      </c>
      <c r="E994" s="3" t="str">
        <f>IFERROR(__xludf.DUMMYFUNCTION("GOOGLETRANSLATE($D994,""EN"",""RU"")")," Турция")</f>
        <v> Турция</v>
      </c>
      <c r="F994" s="3" t="s">
        <v>81</v>
      </c>
      <c r="G994" s="3" t="s">
        <v>15</v>
      </c>
      <c r="H994" s="3" t="s">
        <v>2226</v>
      </c>
      <c r="I994" s="3" t="s">
        <v>2226</v>
      </c>
      <c r="J994" s="3" t="s">
        <v>15</v>
      </c>
      <c r="K994" s="3" t="s">
        <v>1798</v>
      </c>
      <c r="L994" s="3" t="s">
        <v>1798</v>
      </c>
      <c r="M994" s="3" t="s">
        <v>1675</v>
      </c>
      <c r="N994" s="3" t="s">
        <v>1798</v>
      </c>
      <c r="O994" s="3">
        <v>2.0</v>
      </c>
    </row>
    <row r="995" ht="15.75" customHeight="1">
      <c r="A995" s="3" t="s">
        <v>5553</v>
      </c>
      <c r="B995" s="3" t="s">
        <v>5554</v>
      </c>
      <c r="C995" s="3" t="s">
        <v>5555</v>
      </c>
      <c r="D995" s="3" t="s">
        <v>5556</v>
      </c>
      <c r="E995" s="3" t="str">
        <f>IFERROR(__xludf.DUMMYFUNCTION("GOOGLETRANSLATE($D995,""EN"",""RU"")")," Гора Фудзи")</f>
        <v> Гора Фудзи</v>
      </c>
      <c r="F995" s="3" t="s">
        <v>81</v>
      </c>
      <c r="G995" s="3" t="s">
        <v>15</v>
      </c>
      <c r="H995" s="3" t="s">
        <v>2226</v>
      </c>
      <c r="I995" s="3" t="s">
        <v>15</v>
      </c>
      <c r="J995" s="3" t="s">
        <v>2226</v>
      </c>
      <c r="K995" s="3" t="s">
        <v>1798</v>
      </c>
      <c r="L995" s="3" t="s">
        <v>1675</v>
      </c>
      <c r="M995" s="3" t="s">
        <v>1798</v>
      </c>
      <c r="N995" s="3" t="s">
        <v>1425</v>
      </c>
      <c r="O995" s="3">
        <v>1.0</v>
      </c>
    </row>
    <row r="996" ht="15.75" customHeight="1">
      <c r="A996" s="3" t="s">
        <v>5557</v>
      </c>
      <c r="B996" s="3" t="s">
        <v>5558</v>
      </c>
      <c r="C996" s="3" t="s">
        <v>5559</v>
      </c>
      <c r="D996" s="3" t="s">
        <v>5560</v>
      </c>
      <c r="E996" s="3" t="str">
        <f>IFERROR(__xludf.DUMMYFUNCTION("GOOGLETRANSLATE($D996,""EN"",""RU"")")," Осьминог")</f>
        <v> Осьминог</v>
      </c>
      <c r="F996" s="3" t="s">
        <v>81</v>
      </c>
      <c r="G996" s="3" t="s">
        <v>15</v>
      </c>
      <c r="H996" s="3" t="s">
        <v>2226</v>
      </c>
      <c r="I996" s="3" t="s">
        <v>2226</v>
      </c>
      <c r="J996" s="3" t="s">
        <v>15</v>
      </c>
      <c r="K996" s="3" t="s">
        <v>1798</v>
      </c>
      <c r="L996" s="3" t="s">
        <v>1798</v>
      </c>
      <c r="M996" s="3" t="s">
        <v>1675</v>
      </c>
      <c r="N996" s="3" t="s">
        <v>1798</v>
      </c>
      <c r="O996" s="3">
        <v>2.0</v>
      </c>
    </row>
    <row r="997" ht="15.75" customHeight="1">
      <c r="A997" s="3" t="s">
        <v>5561</v>
      </c>
      <c r="B997" s="3" t="s">
        <v>5562</v>
      </c>
      <c r="C997" s="3" t="s">
        <v>5563</v>
      </c>
      <c r="D997" s="3" t="s">
        <v>5564</v>
      </c>
      <c r="E997" s="3" t="str">
        <f>IFERROR(__xludf.DUMMYFUNCTION("GOOGLETRANSLATE($D997,""EN"",""RU"")")," Буйвол")</f>
        <v> Буйвол</v>
      </c>
      <c r="F997" s="3" t="s">
        <v>81</v>
      </c>
      <c r="G997" s="3" t="s">
        <v>15</v>
      </c>
      <c r="H997" s="3" t="s">
        <v>15</v>
      </c>
      <c r="I997" s="3" t="s">
        <v>2226</v>
      </c>
      <c r="J997" s="3" t="s">
        <v>2226</v>
      </c>
      <c r="K997" s="3" t="s">
        <v>1675</v>
      </c>
      <c r="L997" s="3" t="s">
        <v>1798</v>
      </c>
      <c r="M997" s="3" t="s">
        <v>1798</v>
      </c>
      <c r="N997" s="3" t="s">
        <v>4410</v>
      </c>
      <c r="O997" s="3">
        <v>0.0</v>
      </c>
    </row>
    <row r="998" ht="15.75" customHeight="1">
      <c r="A998" s="3" t="s">
        <v>682</v>
      </c>
      <c r="B998" s="3" t="s">
        <v>5565</v>
      </c>
      <c r="C998" s="3" t="s">
        <v>5566</v>
      </c>
      <c r="D998" s="3" t="s">
        <v>5567</v>
      </c>
      <c r="E998" s="3" t="str">
        <f>IFERROR(__xludf.DUMMYFUNCTION("GOOGLETRANSLATE($D998,""EN"",""RU"")")," метро")</f>
        <v> метро</v>
      </c>
      <c r="F998" s="3" t="s">
        <v>358</v>
      </c>
      <c r="G998" s="3" t="s">
        <v>15</v>
      </c>
      <c r="H998" s="3" t="s">
        <v>15</v>
      </c>
      <c r="I998" s="3" t="s">
        <v>2226</v>
      </c>
      <c r="J998" s="3" t="s">
        <v>2226</v>
      </c>
      <c r="K998" s="3" t="s">
        <v>1675</v>
      </c>
      <c r="L998" s="3" t="s">
        <v>1798</v>
      </c>
      <c r="M998" s="3" t="s">
        <v>1798</v>
      </c>
      <c r="N998" s="3" t="s">
        <v>4410</v>
      </c>
      <c r="O998" s="3">
        <v>0.0</v>
      </c>
    </row>
    <row r="999" ht="15.75" customHeight="1">
      <c r="A999" s="3" t="s">
        <v>5568</v>
      </c>
      <c r="B999" s="3" t="s">
        <v>5569</v>
      </c>
      <c r="C999" s="3" t="s">
        <v>5570</v>
      </c>
      <c r="D999" s="3" t="s">
        <v>5571</v>
      </c>
      <c r="E999" s="3" t="str">
        <f>IFERROR(__xludf.DUMMYFUNCTION("GOOGLETRANSLATE($D999,""EN"",""RU"")")," Лиса Лицо")</f>
        <v> Лиса Лицо</v>
      </c>
      <c r="F999" s="3" t="s">
        <v>81</v>
      </c>
      <c r="G999" s="3" t="s">
        <v>15</v>
      </c>
      <c r="H999" s="3" t="s">
        <v>2226</v>
      </c>
      <c r="I999" s="3" t="s">
        <v>15</v>
      </c>
      <c r="J999" s="3" t="s">
        <v>2226</v>
      </c>
      <c r="K999" s="3" t="s">
        <v>1798</v>
      </c>
      <c r="L999" s="3" t="s">
        <v>1675</v>
      </c>
      <c r="M999" s="3" t="s">
        <v>1798</v>
      </c>
      <c r="N999" s="3" t="s">
        <v>1425</v>
      </c>
      <c r="O999" s="3">
        <v>1.0</v>
      </c>
    </row>
    <row r="1000" ht="15.75" customHeight="1">
      <c r="A1000" s="3" t="s">
        <v>5572</v>
      </c>
      <c r="B1000" s="3" t="s">
        <v>5573</v>
      </c>
      <c r="C1000" s="3" t="s">
        <v>5574</v>
      </c>
      <c r="D1000" s="3" t="s">
        <v>5575</v>
      </c>
      <c r="E1000" s="3" t="str">
        <f>IFERROR(__xludf.DUMMYFUNCTION("GOOGLETRANSLATE($D1000,""EN"",""RU"")")," Свинья")</f>
        <v> Свинья</v>
      </c>
      <c r="F1000" s="3" t="s">
        <v>81</v>
      </c>
      <c r="G1000" s="3" t="s">
        <v>15</v>
      </c>
      <c r="H1000" s="3" t="s">
        <v>15</v>
      </c>
      <c r="I1000" s="3" t="s">
        <v>2226</v>
      </c>
      <c r="J1000" s="3" t="s">
        <v>2226</v>
      </c>
      <c r="K1000" s="3" t="s">
        <v>1675</v>
      </c>
      <c r="L1000" s="3" t="s">
        <v>1798</v>
      </c>
      <c r="M1000" s="3" t="s">
        <v>1798</v>
      </c>
      <c r="N1000" s="3" t="s">
        <v>4410</v>
      </c>
      <c r="O1000" s="3">
        <v>0.0</v>
      </c>
    </row>
    <row r="1001" ht="15.75" customHeight="1">
      <c r="A1001" s="3" t="s">
        <v>5576</v>
      </c>
      <c r="B1001" s="3" t="s">
        <v>5577</v>
      </c>
      <c r="C1001" s="3" t="s">
        <v>5578</v>
      </c>
      <c r="D1001" s="3" t="s">
        <v>5579</v>
      </c>
      <c r="E1001" s="3" t="str">
        <f>IFERROR(__xludf.DUMMYFUNCTION("GOOGLETRANSLATE($D1001,""EN"",""RU"")")," Сова")</f>
        <v> Сова</v>
      </c>
      <c r="F1001" s="3" t="s">
        <v>81</v>
      </c>
      <c r="G1001" s="3" t="s">
        <v>15</v>
      </c>
      <c r="H1001" s="3" t="s">
        <v>2226</v>
      </c>
      <c r="I1001" s="3" t="s">
        <v>15</v>
      </c>
      <c r="J1001" s="3" t="s">
        <v>2226</v>
      </c>
      <c r="K1001" s="3" t="s">
        <v>1798</v>
      </c>
      <c r="L1001" s="3" t="s">
        <v>1675</v>
      </c>
      <c r="M1001" s="3" t="s">
        <v>1798</v>
      </c>
      <c r="N1001" s="3" t="s">
        <v>1425</v>
      </c>
      <c r="O1001" s="3">
        <v>1.0</v>
      </c>
    </row>
    <row r="1002" ht="15.75" customHeight="1">
      <c r="A1002" s="3" t="s">
        <v>5580</v>
      </c>
      <c r="B1002" s="3" t="s">
        <v>5581</v>
      </c>
      <c r="C1002" s="3" t="s">
        <v>5582</v>
      </c>
      <c r="D1002" s="3" t="s">
        <v>5583</v>
      </c>
      <c r="E1002" s="3" t="str">
        <f>IFERROR(__xludf.DUMMYFUNCTION("GOOGLETRANSLATE($D1002,""EN"",""RU"")")," Ящерица")</f>
        <v> Ящерица</v>
      </c>
      <c r="F1002" s="3" t="s">
        <v>81</v>
      </c>
      <c r="G1002" s="3" t="s">
        <v>15</v>
      </c>
      <c r="H1002" s="3" t="s">
        <v>2226</v>
      </c>
      <c r="I1002" s="3" t="s">
        <v>2226</v>
      </c>
      <c r="J1002" s="3" t="s">
        <v>15</v>
      </c>
      <c r="K1002" s="3" t="s">
        <v>1798</v>
      </c>
      <c r="L1002" s="3" t="s">
        <v>1798</v>
      </c>
      <c r="M1002" s="3" t="s">
        <v>1675</v>
      </c>
      <c r="N1002" s="3" t="s">
        <v>1798</v>
      </c>
      <c r="O1002" s="3">
        <v>2.0</v>
      </c>
    </row>
    <row r="1003" ht="15.75" customHeight="1">
      <c r="A1003" s="3" t="s">
        <v>5584</v>
      </c>
      <c r="B1003" s="3" t="s">
        <v>5585</v>
      </c>
      <c r="C1003" s="3" t="s">
        <v>5586</v>
      </c>
      <c r="D1003" s="3" t="s">
        <v>5587</v>
      </c>
      <c r="E1003" s="3" t="str">
        <f>IFERROR(__xludf.DUMMYFUNCTION("GOOGLETRANSLATE($D1003,""EN"",""RU"")")," Городской пейзаж в сумерках")</f>
        <v> Городской пейзаж в сумерках</v>
      </c>
      <c r="F1003" s="3" t="s">
        <v>81</v>
      </c>
      <c r="G1003" s="3" t="s">
        <v>15</v>
      </c>
      <c r="H1003" s="3" t="s">
        <v>2226</v>
      </c>
      <c r="I1003" s="3" t="s">
        <v>2226</v>
      </c>
      <c r="J1003" s="3" t="s">
        <v>15</v>
      </c>
      <c r="K1003" s="3" t="s">
        <v>1798</v>
      </c>
      <c r="L1003" s="3" t="s">
        <v>1798</v>
      </c>
      <c r="M1003" s="3" t="s">
        <v>1675</v>
      </c>
      <c r="N1003" s="3" t="s">
        <v>1798</v>
      </c>
      <c r="O1003" s="3">
        <v>2.0</v>
      </c>
    </row>
    <row r="1004" ht="15.75" customHeight="1">
      <c r="A1004" s="3" t="s">
        <v>5588</v>
      </c>
      <c r="B1004" s="3" t="s">
        <v>5589</v>
      </c>
      <c r="C1004" s="3" t="s">
        <v>5590</v>
      </c>
      <c r="D1004" s="3" t="s">
        <v>5591</v>
      </c>
      <c r="E1004" s="3" t="str">
        <f>IFERROR(__xludf.DUMMYFUNCTION("GOOGLETRANSLATE($D1004,""EN"",""RU"")")," Петух")</f>
        <v> Петух</v>
      </c>
      <c r="F1004" s="3" t="s">
        <v>81</v>
      </c>
      <c r="G1004" s="3" t="s">
        <v>15</v>
      </c>
      <c r="H1004" s="3" t="s">
        <v>2226</v>
      </c>
      <c r="I1004" s="3" t="s">
        <v>15</v>
      </c>
      <c r="J1004" s="3" t="s">
        <v>2226</v>
      </c>
      <c r="K1004" s="3" t="s">
        <v>1798</v>
      </c>
      <c r="L1004" s="3" t="s">
        <v>1675</v>
      </c>
      <c r="M1004" s="3" t="s">
        <v>1798</v>
      </c>
      <c r="N1004" s="3" t="s">
        <v>1425</v>
      </c>
      <c r="O1004" s="3">
        <v>1.0</v>
      </c>
    </row>
    <row r="1005" ht="15.75" customHeight="1">
      <c r="A1005" s="3" t="s">
        <v>5592</v>
      </c>
      <c r="B1005" s="3" t="s">
        <v>5593</v>
      </c>
      <c r="C1005" s="3" t="s">
        <v>5594</v>
      </c>
      <c r="D1005" s="3" t="s">
        <v>5595</v>
      </c>
      <c r="E1005" s="3" t="str">
        <f>IFERROR(__xludf.DUMMYFUNCTION("GOOGLETRANSLATE($D1005,""EN"",""RU"")")," Краб")</f>
        <v> Краб</v>
      </c>
      <c r="F1005" s="3" t="s">
        <v>81</v>
      </c>
      <c r="G1005" s="3" t="s">
        <v>15</v>
      </c>
      <c r="H1005" s="3" t="s">
        <v>15</v>
      </c>
      <c r="I1005" s="3" t="s">
        <v>2226</v>
      </c>
      <c r="J1005" s="3" t="s">
        <v>2226</v>
      </c>
      <c r="K1005" s="3" t="s">
        <v>1675</v>
      </c>
      <c r="L1005" s="3" t="s">
        <v>1798</v>
      </c>
      <c r="M1005" s="3" t="s">
        <v>1798</v>
      </c>
      <c r="N1005" s="3" t="s">
        <v>4410</v>
      </c>
      <c r="O1005" s="3">
        <v>0.0</v>
      </c>
    </row>
    <row r="1006" ht="15.75" customHeight="1">
      <c r="A1006" s="3" t="s">
        <v>5596</v>
      </c>
      <c r="B1006" s="3" t="s">
        <v>5597</v>
      </c>
      <c r="C1006" s="3" t="s">
        <v>5598</v>
      </c>
      <c r="D1006" s="3" t="s">
        <v>5599</v>
      </c>
      <c r="E1006" s="3" t="str">
        <f>IFERROR(__xludf.DUMMYFUNCTION("GOOGLETRANSLATE($D1006,""EN"",""RU"")")," Растущая Луна")</f>
        <v> Растущая Луна</v>
      </c>
      <c r="F1006" s="3" t="s">
        <v>81</v>
      </c>
      <c r="G1006" s="3" t="s">
        <v>15</v>
      </c>
      <c r="H1006" s="3" t="s">
        <v>2226</v>
      </c>
      <c r="I1006" s="3" t="s">
        <v>2226</v>
      </c>
      <c r="J1006" s="3" t="s">
        <v>15</v>
      </c>
      <c r="K1006" s="3" t="s">
        <v>1798</v>
      </c>
      <c r="L1006" s="3" t="s">
        <v>1798</v>
      </c>
      <c r="M1006" s="3" t="s">
        <v>1675</v>
      </c>
      <c r="N1006" s="3" t="s">
        <v>1798</v>
      </c>
      <c r="O1006" s="3">
        <v>2.0</v>
      </c>
    </row>
    <row r="1007" ht="15.75" customHeight="1">
      <c r="A1007" s="3" t="s">
        <v>5600</v>
      </c>
      <c r="B1007" s="3" t="s">
        <v>5601</v>
      </c>
      <c r="C1007" s="3" t="s">
        <v>5602</v>
      </c>
      <c r="D1007" s="3" t="s">
        <v>5603</v>
      </c>
      <c r="E1007" s="3" t="str">
        <f>IFERROR(__xludf.DUMMYFUNCTION("GOOGLETRANSLATE($D1007,""EN"",""RU"")")," Леди Жук")</f>
        <v> Леди Жук</v>
      </c>
      <c r="F1007" s="3" t="s">
        <v>81</v>
      </c>
      <c r="G1007" s="3" t="s">
        <v>15</v>
      </c>
      <c r="H1007" s="3" t="s">
        <v>2226</v>
      </c>
      <c r="I1007" s="3" t="s">
        <v>15</v>
      </c>
      <c r="J1007" s="3" t="s">
        <v>2226</v>
      </c>
      <c r="K1007" s="3" t="s">
        <v>1798</v>
      </c>
      <c r="L1007" s="3" t="s">
        <v>1675</v>
      </c>
      <c r="M1007" s="3" t="s">
        <v>1798</v>
      </c>
      <c r="N1007" s="3" t="s">
        <v>1425</v>
      </c>
      <c r="O1007" s="3">
        <v>1.0</v>
      </c>
    </row>
    <row r="1008" ht="15.75" customHeight="1">
      <c r="A1008" s="3" t="s">
        <v>5604</v>
      </c>
      <c r="B1008" s="3" t="s">
        <v>5605</v>
      </c>
      <c r="C1008" s="3" t="s">
        <v>5606</v>
      </c>
      <c r="D1008" s="3" t="s">
        <v>5607</v>
      </c>
      <c r="E1008" s="3" t="str">
        <f>IFERROR(__xludf.DUMMYFUNCTION("GOOGLETRANSLATE($D1008,""EN"",""RU"")")," Дракон")</f>
        <v> Дракон</v>
      </c>
      <c r="F1008" s="3" t="s">
        <v>81</v>
      </c>
      <c r="G1008" s="3" t="s">
        <v>15</v>
      </c>
      <c r="H1008" s="3" t="s">
        <v>2226</v>
      </c>
      <c r="I1008" s="3" t="s">
        <v>2226</v>
      </c>
      <c r="J1008" s="3" t="s">
        <v>15</v>
      </c>
      <c r="K1008" s="3" t="s">
        <v>1798</v>
      </c>
      <c r="L1008" s="3" t="s">
        <v>1798</v>
      </c>
      <c r="M1008" s="3" t="s">
        <v>1675</v>
      </c>
      <c r="N1008" s="3" t="s">
        <v>1798</v>
      </c>
      <c r="O1008" s="3">
        <v>2.0</v>
      </c>
    </row>
    <row r="1009" ht="15.75" customHeight="1">
      <c r="A1009" s="3" t="s">
        <v>5608</v>
      </c>
      <c r="B1009" s="3" t="s">
        <v>5609</v>
      </c>
      <c r="C1009" s="3" t="s">
        <v>5610</v>
      </c>
      <c r="D1009" s="3" t="s">
        <v>5611</v>
      </c>
      <c r="E1009" s="3" t="str">
        <f>IFERROR(__xludf.DUMMYFUNCTION("GOOGLETRANSLATE($D1009,""EN"",""RU"")")," Треугольная линейка")</f>
        <v> Треугольная линейка</v>
      </c>
      <c r="F1009" s="3" t="s">
        <v>358</v>
      </c>
      <c r="G1009" s="3" t="s">
        <v>15</v>
      </c>
      <c r="H1009" s="3" t="s">
        <v>2226</v>
      </c>
      <c r="I1009" s="3" t="s">
        <v>15</v>
      </c>
      <c r="J1009" s="3" t="s">
        <v>2226</v>
      </c>
      <c r="K1009" s="3" t="s">
        <v>1798</v>
      </c>
      <c r="L1009" s="3" t="s">
        <v>1675</v>
      </c>
      <c r="M1009" s="3" t="s">
        <v>1798</v>
      </c>
      <c r="N1009" s="3" t="s">
        <v>1425</v>
      </c>
      <c r="O1009" s="3">
        <v>1.0</v>
      </c>
    </row>
    <row r="1010" ht="15.75" customHeight="1">
      <c r="A1010" s="3" t="s">
        <v>5612</v>
      </c>
      <c r="B1010" s="3" t="s">
        <v>5613</v>
      </c>
      <c r="C1010" s="3" t="s">
        <v>5614</v>
      </c>
      <c r="D1010" s="3" t="s">
        <v>5615</v>
      </c>
      <c r="E1010" s="3" t="str">
        <f>IFERROR(__xludf.DUMMYFUNCTION("GOOGLETRANSLATE($D1010,""EN"",""RU"")")," Таймер Часы")</f>
        <v> Таймер Часы</v>
      </c>
      <c r="F1010" s="3" t="s">
        <v>358</v>
      </c>
      <c r="G1010" s="3" t="s">
        <v>15</v>
      </c>
      <c r="H1010" s="3" t="s">
        <v>2226</v>
      </c>
      <c r="I1010" s="3" t="s">
        <v>15</v>
      </c>
      <c r="J1010" s="3" t="s">
        <v>2226</v>
      </c>
      <c r="K1010" s="3" t="s">
        <v>1798</v>
      </c>
      <c r="L1010" s="3" t="s">
        <v>1675</v>
      </c>
      <c r="M1010" s="3" t="s">
        <v>1798</v>
      </c>
      <c r="N1010" s="3" t="s">
        <v>1425</v>
      </c>
      <c r="O1010" s="3">
        <v>1.0</v>
      </c>
    </row>
    <row r="1011" ht="15.75" customHeight="1">
      <c r="A1011" s="3" t="s">
        <v>5616</v>
      </c>
      <c r="B1011" s="3" t="s">
        <v>5617</v>
      </c>
      <c r="C1011" s="3" t="s">
        <v>5618</v>
      </c>
      <c r="D1011" s="3" t="s">
        <v>5619</v>
      </c>
      <c r="E1011" s="3" t="str">
        <f>IFERROR(__xludf.DUMMYFUNCTION("GOOGLETRANSLATE($D1011,""EN"",""RU"")")," Бейсбол")</f>
        <v> Бейсбол</v>
      </c>
      <c r="F1011" s="3" t="s">
        <v>358</v>
      </c>
      <c r="G1011" s="3" t="s">
        <v>15</v>
      </c>
      <c r="H1011" s="3" t="s">
        <v>15</v>
      </c>
      <c r="I1011" s="3" t="s">
        <v>2226</v>
      </c>
      <c r="J1011" s="3" t="s">
        <v>2226</v>
      </c>
      <c r="K1011" s="3" t="s">
        <v>1675</v>
      </c>
      <c r="L1011" s="3" t="s">
        <v>1798</v>
      </c>
      <c r="M1011" s="3" t="s">
        <v>1798</v>
      </c>
      <c r="N1011" s="3" t="s">
        <v>4410</v>
      </c>
      <c r="O1011" s="3">
        <v>0.0</v>
      </c>
    </row>
    <row r="1012" ht="15.75" customHeight="1">
      <c r="A1012" s="3" t="s">
        <v>5620</v>
      </c>
      <c r="B1012" s="3" t="s">
        <v>5621</v>
      </c>
      <c r="C1012" s="3" t="s">
        <v>5622</v>
      </c>
      <c r="D1012" s="3" t="s">
        <v>5623</v>
      </c>
      <c r="E1012" s="3" t="str">
        <f>IFERROR(__xludf.DUMMYFUNCTION("GOOGLETRANSLATE($D1012,""EN"",""RU"")")," Открыть почтовый ящик с опущенным флагом")</f>
        <v> Открыть почтовый ящик с опущенным флагом</v>
      </c>
      <c r="F1012" s="3" t="s">
        <v>358</v>
      </c>
      <c r="G1012" s="3" t="s">
        <v>15</v>
      </c>
      <c r="H1012" s="3" t="s">
        <v>2226</v>
      </c>
      <c r="I1012" s="3" t="s">
        <v>2226</v>
      </c>
      <c r="J1012" s="3" t="s">
        <v>15</v>
      </c>
      <c r="K1012" s="3" t="s">
        <v>1798</v>
      </c>
      <c r="L1012" s="3" t="s">
        <v>1798</v>
      </c>
      <c r="M1012" s="3" t="s">
        <v>1675</v>
      </c>
      <c r="N1012" s="3" t="s">
        <v>1798</v>
      </c>
      <c r="O1012" s="3">
        <v>2.0</v>
      </c>
    </row>
    <row r="1013" ht="15.75" customHeight="1">
      <c r="A1013" s="3" t="s">
        <v>5624</v>
      </c>
      <c r="B1013" s="3" t="s">
        <v>3013</v>
      </c>
      <c r="C1013" s="3" t="s">
        <v>5625</v>
      </c>
      <c r="D1013" s="3" t="s">
        <v>5626</v>
      </c>
      <c r="E1013" s="3" t="str">
        <f>IFERROR(__xludf.DUMMYFUNCTION("GOOGLETRANSLATE($D1013,""EN"",""RU"")")," Мопед")</f>
        <v> Мопед</v>
      </c>
      <c r="F1013" s="3" t="s">
        <v>358</v>
      </c>
      <c r="G1013" s="3" t="s">
        <v>15</v>
      </c>
      <c r="H1013" s="3" t="s">
        <v>15</v>
      </c>
      <c r="I1013" s="3" t="s">
        <v>2226</v>
      </c>
      <c r="J1013" s="3" t="s">
        <v>2226</v>
      </c>
      <c r="K1013" s="3" t="s">
        <v>1675</v>
      </c>
      <c r="L1013" s="3" t="s">
        <v>1798</v>
      </c>
      <c r="M1013" s="3" t="s">
        <v>1798</v>
      </c>
      <c r="N1013" s="3" t="s">
        <v>4410</v>
      </c>
      <c r="O1013" s="3">
        <v>0.0</v>
      </c>
    </row>
    <row r="1014" ht="15.75" customHeight="1">
      <c r="A1014" s="3" t="s">
        <v>5627</v>
      </c>
      <c r="B1014" s="3" t="s">
        <v>5628</v>
      </c>
      <c r="C1014" s="3" t="s">
        <v>5629</v>
      </c>
      <c r="D1014" s="3" t="s">
        <v>5630</v>
      </c>
      <c r="E1014" s="3" t="str">
        <f>IFERROR(__xludf.DUMMYFUNCTION("GOOGLETRANSLATE($D1014,""EN"",""RU"")")," Билет")</f>
        <v> Билет</v>
      </c>
      <c r="F1014" s="3" t="s">
        <v>358</v>
      </c>
      <c r="G1014" s="3" t="s">
        <v>15</v>
      </c>
      <c r="H1014" s="3" t="s">
        <v>2226</v>
      </c>
      <c r="I1014" s="3" t="s">
        <v>15</v>
      </c>
      <c r="J1014" s="3" t="s">
        <v>2226</v>
      </c>
      <c r="K1014" s="3" t="s">
        <v>1798</v>
      </c>
      <c r="L1014" s="3" t="s">
        <v>1675</v>
      </c>
      <c r="M1014" s="3" t="s">
        <v>1798</v>
      </c>
      <c r="N1014" s="3" t="s">
        <v>1425</v>
      </c>
      <c r="O1014" s="3">
        <v>1.0</v>
      </c>
    </row>
    <row r="1015" ht="15.75" customHeight="1">
      <c r="A1015" s="3" t="s">
        <v>5631</v>
      </c>
      <c r="B1015" s="3" t="s">
        <v>5632</v>
      </c>
      <c r="C1015" s="3" t="s">
        <v>5633</v>
      </c>
      <c r="D1015" s="3" t="s">
        <v>5634</v>
      </c>
      <c r="E1015" s="3" t="str">
        <f>IFERROR(__xludf.DUMMYFUNCTION("GOOGLETRANSLATE($D1015,""EN"",""RU"")")," Хоккей")</f>
        <v> Хоккей</v>
      </c>
      <c r="F1015" s="3" t="s">
        <v>358</v>
      </c>
      <c r="G1015" s="3" t="s">
        <v>15</v>
      </c>
      <c r="H1015" s="3" t="s">
        <v>2226</v>
      </c>
      <c r="I1015" s="3" t="s">
        <v>2226</v>
      </c>
      <c r="J1015" s="3" t="s">
        <v>15</v>
      </c>
      <c r="K1015" s="3" t="s">
        <v>1798</v>
      </c>
      <c r="L1015" s="3" t="s">
        <v>1798</v>
      </c>
      <c r="M1015" s="3" t="s">
        <v>1675</v>
      </c>
      <c r="N1015" s="3" t="s">
        <v>1798</v>
      </c>
      <c r="O1015" s="3">
        <v>2.0</v>
      </c>
    </row>
    <row r="1016" ht="15.75" customHeight="1">
      <c r="A1016" s="3" t="s">
        <v>5635</v>
      </c>
      <c r="B1016" s="3" t="s">
        <v>5636</v>
      </c>
      <c r="C1016" s="3" t="s">
        <v>5637</v>
      </c>
      <c r="D1016" s="3" t="s">
        <v>5638</v>
      </c>
      <c r="E1016" s="3" t="str">
        <f>IFERROR(__xludf.DUMMYFUNCTION("GOOGLETRANSLATE($D1016,""EN"",""RU"")")," Телескоп")</f>
        <v> Телескоп</v>
      </c>
      <c r="F1016" s="3" t="s">
        <v>358</v>
      </c>
      <c r="G1016" s="3" t="s">
        <v>15</v>
      </c>
      <c r="H1016" s="3" t="s">
        <v>2226</v>
      </c>
      <c r="I1016" s="3" t="s">
        <v>15</v>
      </c>
      <c r="J1016" s="3" t="s">
        <v>2226</v>
      </c>
      <c r="K1016" s="3" t="s">
        <v>1798</v>
      </c>
      <c r="L1016" s="3" t="s">
        <v>1675</v>
      </c>
      <c r="M1016" s="3" t="s">
        <v>1798</v>
      </c>
      <c r="N1016" s="3" t="s">
        <v>1425</v>
      </c>
      <c r="O1016" s="3">
        <v>1.0</v>
      </c>
    </row>
    <row r="1017" ht="15.75" customHeight="1">
      <c r="A1017" s="3" t="s">
        <v>5639</v>
      </c>
      <c r="B1017" s="3" t="s">
        <v>5640</v>
      </c>
      <c r="C1017" s="3" t="s">
        <v>5641</v>
      </c>
      <c r="D1017" s="3" t="s">
        <v>5642</v>
      </c>
      <c r="E1017" s="3" t="str">
        <f>IFERROR(__xludf.DUMMYFUNCTION("GOOGLETRANSLATE($D1017,""EN"",""RU"")")," Перевозить")</f>
        <v> Перевозить</v>
      </c>
      <c r="F1017" s="3" t="s">
        <v>358</v>
      </c>
      <c r="G1017" s="3" t="s">
        <v>15</v>
      </c>
      <c r="H1017" s="3" t="s">
        <v>15</v>
      </c>
      <c r="I1017" s="3" t="s">
        <v>2226</v>
      </c>
      <c r="J1017" s="3" t="s">
        <v>2226</v>
      </c>
      <c r="K1017" s="3" t="s">
        <v>1675</v>
      </c>
      <c r="L1017" s="3" t="s">
        <v>1798</v>
      </c>
      <c r="M1017" s="3" t="s">
        <v>1798</v>
      </c>
      <c r="N1017" s="3" t="s">
        <v>4410</v>
      </c>
      <c r="O1017" s="3">
        <v>0.0</v>
      </c>
    </row>
    <row r="1018" ht="15.75" customHeight="1">
      <c r="A1018" s="3" t="s">
        <v>670</v>
      </c>
      <c r="B1018" s="3" t="s">
        <v>5643</v>
      </c>
      <c r="C1018" s="3" t="s">
        <v>5644</v>
      </c>
      <c r="D1018" s="3" t="s">
        <v>5645</v>
      </c>
      <c r="E1018" s="3" t="str">
        <f>IFERROR(__xludf.DUMMYFUNCTION("GOOGLETRANSLATE($D1018,""EN"",""RU"")")," Моторная лодка")</f>
        <v> Моторная лодка</v>
      </c>
      <c r="F1018" s="3" t="s">
        <v>358</v>
      </c>
      <c r="G1018" s="3" t="s">
        <v>15</v>
      </c>
      <c r="H1018" s="3" t="s">
        <v>15</v>
      </c>
      <c r="I1018" s="3" t="s">
        <v>2226</v>
      </c>
      <c r="J1018" s="3" t="s">
        <v>2226</v>
      </c>
      <c r="K1018" s="3" t="s">
        <v>1675</v>
      </c>
      <c r="L1018" s="3" t="s">
        <v>1798</v>
      </c>
      <c r="M1018" s="3" t="s">
        <v>1798</v>
      </c>
      <c r="N1018" s="3" t="s">
        <v>4410</v>
      </c>
      <c r="O1018" s="3">
        <v>0.0</v>
      </c>
    </row>
    <row r="1019" ht="15.75" customHeight="1">
      <c r="A1019" s="3" t="s">
        <v>5646</v>
      </c>
      <c r="B1019" s="3" t="s">
        <v>5647</v>
      </c>
      <c r="C1019" s="3" t="s">
        <v>5648</v>
      </c>
      <c r="D1019" s="3" t="s">
        <v>5649</v>
      </c>
      <c r="E1019" s="3" t="str">
        <f>IFERROR(__xludf.DUMMYFUNCTION("GOOGLETRANSLATE($D1019,""EN"",""RU"")")," Ветер перезвон")</f>
        <v> Ветер перезвон</v>
      </c>
      <c r="F1019" s="3" t="s">
        <v>358</v>
      </c>
      <c r="G1019" s="3" t="s">
        <v>15</v>
      </c>
      <c r="H1019" s="3" t="s">
        <v>2226</v>
      </c>
      <c r="I1019" s="3" t="s">
        <v>2226</v>
      </c>
      <c r="J1019" s="3" t="s">
        <v>15</v>
      </c>
      <c r="K1019" s="3" t="s">
        <v>1798</v>
      </c>
      <c r="L1019" s="3" t="s">
        <v>1798</v>
      </c>
      <c r="M1019" s="3" t="s">
        <v>1675</v>
      </c>
      <c r="N1019" s="3" t="s">
        <v>1798</v>
      </c>
      <c r="O1019" s="3">
        <v>2.0</v>
      </c>
    </row>
    <row r="1020" ht="15.75" customHeight="1">
      <c r="A1020" s="3" t="s">
        <v>5650</v>
      </c>
      <c r="B1020" s="3" t="s">
        <v>5651</v>
      </c>
      <c r="C1020" s="3" t="s">
        <v>5652</v>
      </c>
      <c r="D1020" s="3" t="s">
        <v>5653</v>
      </c>
      <c r="E1020" s="3" t="str">
        <f>IFERROR(__xludf.DUMMYFUNCTION("GOOGLETRANSLATE($D1020,""EN"",""RU"")")," Хоккей на траве")</f>
        <v> Хоккей на траве</v>
      </c>
      <c r="F1020" s="3" t="s">
        <v>358</v>
      </c>
      <c r="G1020" s="3" t="s">
        <v>15</v>
      </c>
      <c r="H1020" s="3" t="s">
        <v>2226</v>
      </c>
      <c r="I1020" s="3" t="s">
        <v>2226</v>
      </c>
      <c r="J1020" s="3" t="s">
        <v>15</v>
      </c>
      <c r="K1020" s="3" t="s">
        <v>1798</v>
      </c>
      <c r="L1020" s="3" t="s">
        <v>1798</v>
      </c>
      <c r="M1020" s="3" t="s">
        <v>1675</v>
      </c>
      <c r="N1020" s="3" t="s">
        <v>1798</v>
      </c>
      <c r="O1020" s="3">
        <v>2.0</v>
      </c>
    </row>
    <row r="1021" ht="15.75" customHeight="1">
      <c r="A1021" s="3" t="s">
        <v>5654</v>
      </c>
      <c r="B1021" s="3" t="s">
        <v>5655</v>
      </c>
      <c r="C1021" s="3" t="s">
        <v>5656</v>
      </c>
      <c r="D1021" s="3" t="s">
        <v>5657</v>
      </c>
      <c r="E1021" s="3" t="str">
        <f>IFERROR(__xludf.DUMMYFUNCTION("GOOGLETRANSLATE($D1021,""EN"",""RU"")")," Шлем спасателя")</f>
        <v> Шлем спасателя</v>
      </c>
      <c r="F1021" s="3" t="s">
        <v>358</v>
      </c>
      <c r="G1021" s="3" t="s">
        <v>15</v>
      </c>
      <c r="H1021" s="3" t="s">
        <v>2226</v>
      </c>
      <c r="I1021" s="3" t="s">
        <v>15</v>
      </c>
      <c r="J1021" s="3" t="s">
        <v>2226</v>
      </c>
      <c r="K1021" s="3" t="s">
        <v>1798</v>
      </c>
      <c r="L1021" s="3" t="s">
        <v>1675</v>
      </c>
      <c r="M1021" s="3" t="s">
        <v>1798</v>
      </c>
      <c r="N1021" s="3" t="s">
        <v>1425</v>
      </c>
      <c r="O1021" s="3">
        <v>1.0</v>
      </c>
    </row>
    <row r="1022" ht="15.75" customHeight="1">
      <c r="A1022" s="3" t="s">
        <v>5658</v>
      </c>
      <c r="B1022" s="3" t="s">
        <v>5659</v>
      </c>
      <c r="C1022" s="3" t="s">
        <v>5660</v>
      </c>
      <c r="D1022" s="3" t="s">
        <v>5661</v>
      </c>
      <c r="E1022" s="3" t="str">
        <f>IFERROR(__xludf.DUMMYFUNCTION("GOOGLETRANSLATE($D1022,""EN"",""RU"")")," Игровой автомат")</f>
        <v> Игровой автомат</v>
      </c>
      <c r="F1022" s="3" t="s">
        <v>358</v>
      </c>
      <c r="G1022" s="3" t="s">
        <v>15</v>
      </c>
      <c r="H1022" s="3" t="s">
        <v>2226</v>
      </c>
      <c r="I1022" s="3" t="s">
        <v>2226</v>
      </c>
      <c r="J1022" s="3" t="s">
        <v>15</v>
      </c>
      <c r="K1022" s="3" t="s">
        <v>1798</v>
      </c>
      <c r="L1022" s="3" t="s">
        <v>1798</v>
      </c>
      <c r="M1022" s="3" t="s">
        <v>1675</v>
      </c>
      <c r="N1022" s="3" t="s">
        <v>1798</v>
      </c>
      <c r="O1022" s="3">
        <v>2.0</v>
      </c>
    </row>
    <row r="1023" ht="15.75" customHeight="1">
      <c r="A1023" s="3" t="s">
        <v>5662</v>
      </c>
      <c r="B1023" s="3" t="s">
        <v>5663</v>
      </c>
      <c r="C1023" s="3" t="s">
        <v>5664</v>
      </c>
      <c r="D1023" s="3" t="s">
        <v>5665</v>
      </c>
      <c r="E1023" s="3" t="str">
        <f>IFERROR(__xludf.DUMMYFUNCTION("GOOGLETRANSLATE($D1023,""EN"",""RU"")")," Десять тридцать")</f>
        <v> Десять тридцать</v>
      </c>
      <c r="F1023" s="3" t="s">
        <v>358</v>
      </c>
      <c r="G1023" s="3" t="s">
        <v>15</v>
      </c>
      <c r="H1023" s="3" t="s">
        <v>15</v>
      </c>
      <c r="I1023" s="3" t="s">
        <v>2226</v>
      </c>
      <c r="J1023" s="3" t="s">
        <v>2226</v>
      </c>
      <c r="K1023" s="3" t="s">
        <v>1675</v>
      </c>
      <c r="L1023" s="3" t="s">
        <v>1798</v>
      </c>
      <c r="M1023" s="3" t="s">
        <v>1798</v>
      </c>
      <c r="N1023" s="3" t="s">
        <v>4410</v>
      </c>
      <c r="O1023" s="3">
        <v>0.0</v>
      </c>
    </row>
    <row r="1024" ht="15.75" customHeight="1">
      <c r="A1024" s="3" t="s">
        <v>5666</v>
      </c>
      <c r="B1024" s="3" t="s">
        <v>5667</v>
      </c>
      <c r="C1024" s="3" t="s">
        <v>5668</v>
      </c>
      <c r="D1024" s="3" t="s">
        <v>5669</v>
      </c>
      <c r="E1024" s="3" t="str">
        <f>IFERROR(__xludf.DUMMYFUNCTION("GOOGLETRANSLATE($D1024,""EN"",""RU"")")," Компьютерная мышь")</f>
        <v> Компьютерная мышь</v>
      </c>
      <c r="F1024" s="3" t="s">
        <v>358</v>
      </c>
      <c r="G1024" s="3" t="s">
        <v>15</v>
      </c>
      <c r="H1024" s="3" t="s">
        <v>2226</v>
      </c>
      <c r="I1024" s="3" t="s">
        <v>15</v>
      </c>
      <c r="J1024" s="3" t="s">
        <v>2226</v>
      </c>
      <c r="K1024" s="3" t="s">
        <v>1798</v>
      </c>
      <c r="L1024" s="3" t="s">
        <v>1675</v>
      </c>
      <c r="M1024" s="3" t="s">
        <v>1798</v>
      </c>
      <c r="N1024" s="3" t="s">
        <v>1425</v>
      </c>
      <c r="O1024" s="3">
        <v>1.0</v>
      </c>
    </row>
    <row r="1025" ht="15.75" customHeight="1">
      <c r="A1025" s="3" t="s">
        <v>5670</v>
      </c>
      <c r="B1025" s="3" t="s">
        <v>5671</v>
      </c>
      <c r="C1025" s="3" t="s">
        <v>5672</v>
      </c>
      <c r="D1025" s="3" t="s">
        <v>5673</v>
      </c>
      <c r="E1025" s="3" t="str">
        <f>IFERROR(__xludf.DUMMYFUNCTION("GOOGLETRANSLATE($D1025,""EN"",""RU"")")," График роста с иеной")</f>
        <v> График роста с иеной</v>
      </c>
      <c r="F1025" s="3" t="s">
        <v>358</v>
      </c>
      <c r="G1025" s="3" t="s">
        <v>15</v>
      </c>
      <c r="H1025" s="3" t="s">
        <v>2226</v>
      </c>
      <c r="I1025" s="3" t="s">
        <v>15</v>
      </c>
      <c r="J1025" s="3" t="s">
        <v>2226</v>
      </c>
      <c r="K1025" s="3" t="s">
        <v>1798</v>
      </c>
      <c r="L1025" s="3" t="s">
        <v>1675</v>
      </c>
      <c r="M1025" s="3" t="s">
        <v>1798</v>
      </c>
      <c r="N1025" s="3" t="s">
        <v>1425</v>
      </c>
      <c r="O1025" s="3">
        <v>1.0</v>
      </c>
    </row>
    <row r="1026" ht="15.75" customHeight="1">
      <c r="A1026" s="3" t="s">
        <v>5674</v>
      </c>
      <c r="B1026" s="3" t="s">
        <v>5675</v>
      </c>
      <c r="C1026" s="3" t="s">
        <v>5676</v>
      </c>
      <c r="D1026" s="3" t="s">
        <v>5677</v>
      </c>
      <c r="E1026" s="3" t="str">
        <f>IFERROR(__xludf.DUMMYFUNCTION("GOOGLETRANSLATE($D1026,""EN"",""RU"")")," Регби")</f>
        <v> Регби</v>
      </c>
      <c r="F1026" s="3" t="s">
        <v>358</v>
      </c>
      <c r="G1026" s="3" t="s">
        <v>15</v>
      </c>
      <c r="H1026" s="3" t="s">
        <v>2226</v>
      </c>
      <c r="I1026" s="3" t="s">
        <v>15</v>
      </c>
      <c r="J1026" s="3" t="s">
        <v>2226</v>
      </c>
      <c r="K1026" s="3" t="s">
        <v>1798</v>
      </c>
      <c r="L1026" s="3" t="s">
        <v>1675</v>
      </c>
      <c r="M1026" s="3" t="s">
        <v>1798</v>
      </c>
      <c r="N1026" s="3" t="s">
        <v>1425</v>
      </c>
      <c r="O1026" s="3">
        <v>1.0</v>
      </c>
    </row>
    <row r="1027" ht="15.75" customHeight="1">
      <c r="A1027" s="3" t="s">
        <v>384</v>
      </c>
      <c r="B1027" s="3" t="s">
        <v>5678</v>
      </c>
      <c r="C1027" s="3" t="s">
        <v>5679</v>
      </c>
      <c r="D1027" s="3" t="s">
        <v>5680</v>
      </c>
      <c r="E1027" s="3" t="str">
        <f>IFERROR(__xludf.DUMMYFUNCTION("GOOGLETRANSLATE($D1027,""EN"",""RU"")")," Гайка и болт")</f>
        <v> Гайка и болт</v>
      </c>
      <c r="F1027" s="3" t="s">
        <v>358</v>
      </c>
      <c r="G1027" s="3" t="s">
        <v>15</v>
      </c>
      <c r="H1027" s="3" t="s">
        <v>2226</v>
      </c>
      <c r="I1027" s="3" t="s">
        <v>15</v>
      </c>
      <c r="J1027" s="3" t="s">
        <v>2226</v>
      </c>
      <c r="K1027" s="3" t="s">
        <v>1798</v>
      </c>
      <c r="L1027" s="3" t="s">
        <v>1675</v>
      </c>
      <c r="M1027" s="3" t="s">
        <v>1798</v>
      </c>
      <c r="N1027" s="3" t="s">
        <v>1425</v>
      </c>
      <c r="O1027" s="3">
        <v>1.0</v>
      </c>
    </row>
    <row r="1028" ht="15.75" customHeight="1">
      <c r="A1028" s="3" t="s">
        <v>5681</v>
      </c>
      <c r="B1028" s="3" t="s">
        <v>5682</v>
      </c>
      <c r="C1028" s="3" t="s">
        <v>5683</v>
      </c>
      <c r="D1028" s="3" t="s">
        <v>5684</v>
      </c>
      <c r="E1028" s="3" t="str">
        <f>IFERROR(__xludf.DUMMYFUNCTION("GOOGLETRANSLATE($D1028,""EN"",""RU"")")," Зонтик на земле")</f>
        <v> Зонтик на земле</v>
      </c>
      <c r="F1028" s="3" t="s">
        <v>358</v>
      </c>
      <c r="G1028" s="3" t="s">
        <v>15</v>
      </c>
      <c r="H1028" s="3" t="s">
        <v>2226</v>
      </c>
      <c r="I1028" s="3" t="s">
        <v>15</v>
      </c>
      <c r="J1028" s="3" t="s">
        <v>2226</v>
      </c>
      <c r="K1028" s="3" t="s">
        <v>1798</v>
      </c>
      <c r="L1028" s="3" t="s">
        <v>1675</v>
      </c>
      <c r="M1028" s="3" t="s">
        <v>1798</v>
      </c>
      <c r="N1028" s="3" t="s">
        <v>1425</v>
      </c>
      <c r="O1028" s="3">
        <v>1.0</v>
      </c>
    </row>
    <row r="1029" ht="15.75" customHeight="1">
      <c r="A1029" s="3" t="s">
        <v>5685</v>
      </c>
      <c r="B1029" s="3" t="s">
        <v>5686</v>
      </c>
      <c r="C1029" s="3" t="s">
        <v>5687</v>
      </c>
      <c r="D1029" s="3" t="s">
        <v>5688</v>
      </c>
      <c r="E1029" s="3" t="str">
        <f>IFERROR(__xludf.DUMMYFUNCTION("GOOGLETRANSLATE($D1029,""EN"",""RU"")")," Шахматная пешка")</f>
        <v> Шахматная пешка</v>
      </c>
      <c r="F1029" s="3" t="s">
        <v>358</v>
      </c>
      <c r="G1029" s="3" t="s">
        <v>15</v>
      </c>
      <c r="H1029" s="3" t="s">
        <v>2226</v>
      </c>
      <c r="I1029" s="3" t="s">
        <v>15</v>
      </c>
      <c r="J1029" s="3" t="s">
        <v>2226</v>
      </c>
      <c r="K1029" s="3" t="s">
        <v>1798</v>
      </c>
      <c r="L1029" s="3" t="s">
        <v>1675</v>
      </c>
      <c r="M1029" s="3" t="s">
        <v>1798</v>
      </c>
      <c r="N1029" s="3" t="s">
        <v>1425</v>
      </c>
      <c r="O1029" s="3">
        <v>1.0</v>
      </c>
    </row>
    <row r="1030" ht="15.75" customHeight="1">
      <c r="A1030" s="3" t="s">
        <v>5689</v>
      </c>
      <c r="B1030" s="3" t="s">
        <v>5690</v>
      </c>
      <c r="C1030" s="3" t="s">
        <v>5691</v>
      </c>
      <c r="D1030" s="3" t="s">
        <v>5692</v>
      </c>
      <c r="E1030" s="3" t="str">
        <f>IFERROR(__xludf.DUMMYFUNCTION("GOOGLETRANSLATE($D1030,""EN"",""RU"")")," Кровать")</f>
        <v> Кровать</v>
      </c>
      <c r="F1030" s="3" t="s">
        <v>358</v>
      </c>
      <c r="G1030" s="3" t="s">
        <v>15</v>
      </c>
      <c r="H1030" s="3" t="s">
        <v>2226</v>
      </c>
      <c r="I1030" s="3" t="s">
        <v>15</v>
      </c>
      <c r="J1030" s="3" t="s">
        <v>2226</v>
      </c>
      <c r="K1030" s="3" t="s">
        <v>1798</v>
      </c>
      <c r="L1030" s="3" t="s">
        <v>1675</v>
      </c>
      <c r="M1030" s="3" t="s">
        <v>1798</v>
      </c>
      <c r="N1030" s="3" t="s">
        <v>1425</v>
      </c>
      <c r="O1030" s="3">
        <v>1.0</v>
      </c>
    </row>
    <row r="1031" ht="15.75" customHeight="1">
      <c r="A1031" s="3" t="s">
        <v>5693</v>
      </c>
      <c r="B1031" s="3" t="s">
        <v>5694</v>
      </c>
      <c r="C1031" s="3" t="s">
        <v>5695</v>
      </c>
      <c r="D1031" s="3" t="s">
        <v>5696</v>
      </c>
      <c r="E1031" s="3" t="str">
        <f>IFERROR(__xludf.DUMMYFUNCTION("GOOGLETRANSLATE($D1031,""EN"",""RU"")")," График убывания")</f>
        <v> График убывания</v>
      </c>
      <c r="F1031" s="3" t="s">
        <v>358</v>
      </c>
      <c r="G1031" s="3" t="s">
        <v>15</v>
      </c>
      <c r="H1031" s="3" t="s">
        <v>15</v>
      </c>
      <c r="I1031" s="3" t="s">
        <v>2226</v>
      </c>
      <c r="J1031" s="3" t="s">
        <v>2226</v>
      </c>
      <c r="K1031" s="3" t="s">
        <v>1675</v>
      </c>
      <c r="L1031" s="3" t="s">
        <v>1798</v>
      </c>
      <c r="M1031" s="3" t="s">
        <v>1798</v>
      </c>
      <c r="N1031" s="3" t="s">
        <v>4410</v>
      </c>
      <c r="O1031" s="3">
        <v>0.0</v>
      </c>
    </row>
    <row r="1032" ht="15.75" customHeight="1">
      <c r="A1032" s="3" t="s">
        <v>5697</v>
      </c>
      <c r="B1032" s="3" t="s">
        <v>5698</v>
      </c>
      <c r="C1032" s="3" t="s">
        <v>5699</v>
      </c>
      <c r="D1032" s="3" t="s">
        <v>5700</v>
      </c>
      <c r="E1032" s="3" t="str">
        <f>IFERROR(__xludf.DUMMYFUNCTION("GOOGLETRANSLATE($D1032,""EN"",""RU"")")," Рубашка для бега")</f>
        <v> Рубашка для бега</v>
      </c>
      <c r="F1032" s="3" t="s">
        <v>358</v>
      </c>
      <c r="G1032" s="3" t="s">
        <v>15</v>
      </c>
      <c r="H1032" s="3" t="s">
        <v>2226</v>
      </c>
      <c r="I1032" s="3" t="s">
        <v>15</v>
      </c>
      <c r="J1032" s="3" t="s">
        <v>2226</v>
      </c>
      <c r="K1032" s="3" t="s">
        <v>1798</v>
      </c>
      <c r="L1032" s="3" t="s">
        <v>1675</v>
      </c>
      <c r="M1032" s="3" t="s">
        <v>1798</v>
      </c>
      <c r="N1032" s="3" t="s">
        <v>1425</v>
      </c>
      <c r="O1032" s="3">
        <v>1.0</v>
      </c>
    </row>
    <row r="1033" ht="15.75" customHeight="1">
      <c r="A1033" s="3" t="s">
        <v>5701</v>
      </c>
      <c r="B1033" s="3" t="s">
        <v>5702</v>
      </c>
      <c r="C1033" s="3" t="s">
        <v>5703</v>
      </c>
      <c r="D1033" s="3" t="s">
        <v>5704</v>
      </c>
      <c r="E1033" s="3" t="str">
        <f>IFERROR(__xludf.DUMMYFUNCTION("GOOGLETRANSLATE($D1033,""EN"",""RU"")")," Кимоно")</f>
        <v> Кимоно</v>
      </c>
      <c r="F1033" s="3" t="s">
        <v>358</v>
      </c>
      <c r="G1033" s="3" t="s">
        <v>15</v>
      </c>
      <c r="H1033" s="3" t="s">
        <v>15</v>
      </c>
      <c r="I1033" s="3" t="s">
        <v>2226</v>
      </c>
      <c r="J1033" s="3" t="s">
        <v>2226</v>
      </c>
      <c r="K1033" s="3" t="s">
        <v>1675</v>
      </c>
      <c r="L1033" s="3" t="s">
        <v>1798</v>
      </c>
      <c r="M1033" s="3" t="s">
        <v>1798</v>
      </c>
      <c r="N1033" s="3" t="s">
        <v>4410</v>
      </c>
      <c r="O1033" s="3">
        <v>0.0</v>
      </c>
    </row>
    <row r="1034" ht="15.75" customHeight="1">
      <c r="A1034" s="3" t="s">
        <v>5705</v>
      </c>
      <c r="B1034" s="3" t="s">
        <v>5706</v>
      </c>
      <c r="C1034" s="3" t="s">
        <v>5707</v>
      </c>
      <c r="D1034" s="3" t="s">
        <v>5708</v>
      </c>
      <c r="E1034" s="3" t="str">
        <f>IFERROR(__xludf.DUMMYFUNCTION("GOOGLETRANSLATE($D1034,""EN"",""RU"")")," Скоростной поезд")</f>
        <v> Скоростной поезд</v>
      </c>
      <c r="F1034" s="3" t="s">
        <v>358</v>
      </c>
      <c r="G1034" s="3" t="s">
        <v>15</v>
      </c>
      <c r="H1034" s="3" t="s">
        <v>15</v>
      </c>
      <c r="I1034" s="3" t="s">
        <v>2226</v>
      </c>
      <c r="J1034" s="3" t="s">
        <v>2226</v>
      </c>
      <c r="K1034" s="3" t="s">
        <v>1675</v>
      </c>
      <c r="L1034" s="3" t="s">
        <v>1798</v>
      </c>
      <c r="M1034" s="3" t="s">
        <v>1798</v>
      </c>
      <c r="N1034" s="3" t="s">
        <v>4410</v>
      </c>
      <c r="O1034" s="3">
        <v>0.0</v>
      </c>
    </row>
    <row r="1035" ht="15.75" customHeight="1">
      <c r="A1035" s="3" t="s">
        <v>5709</v>
      </c>
      <c r="B1035" s="3" t="s">
        <v>5710</v>
      </c>
      <c r="C1035" s="3" t="s">
        <v>5711</v>
      </c>
      <c r="D1035" s="3" t="s">
        <v>5712</v>
      </c>
      <c r="E1035" s="3" t="str">
        <f>IFERROR(__xludf.DUMMYFUNCTION("GOOGLETRANSLATE($D1035,""EN"",""RU"")")," Либерия")</f>
        <v> Либерия</v>
      </c>
      <c r="F1035" s="3" t="s">
        <v>559</v>
      </c>
      <c r="G1035" s="3" t="s">
        <v>15</v>
      </c>
      <c r="H1035" s="3" t="s">
        <v>2226</v>
      </c>
      <c r="I1035" s="3" t="s">
        <v>2226</v>
      </c>
      <c r="J1035" s="3" t="s">
        <v>15</v>
      </c>
      <c r="K1035" s="3" t="s">
        <v>1798</v>
      </c>
      <c r="L1035" s="3" t="s">
        <v>1798</v>
      </c>
      <c r="M1035" s="3" t="s">
        <v>1675</v>
      </c>
      <c r="N1035" s="3" t="s">
        <v>1798</v>
      </c>
      <c r="O1035" s="3">
        <v>2.0</v>
      </c>
    </row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</sheetData>
  <printOptions/>
  <pageMargins bottom="1.0" footer="0.0" header="0.0" left="0.75" right="0.75" top="1.0"/>
  <pageSetup orientation="landscape"/>
  <drawing r:id="rId1"/>
</worksheet>
</file>