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schmi\.conda\envs\py37\lib\site-packages\teaser\examples\"/>
    </mc:Choice>
  </mc:AlternateContent>
  <xr:revisionPtr revIDLastSave="0" documentId="13_ncr:1_{A2719D74-7376-48E4-A793-A65FFACED2AE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Hüllflächen, Himmelsricht." sheetId="1" r:id="rId1"/>
    <sheet name="Strukturen Hüllfläche" sheetId="6" r:id="rId2"/>
  </sheets>
  <externalReferences>
    <externalReference r:id="rId3"/>
  </externalReferences>
  <definedNames>
    <definedName name="Glass_A" localSheetId="1">[1]Dropdown!#REF!</definedName>
    <definedName name="Glass_A">[1]Dropdown!#REF!</definedName>
    <definedName name="GlassA" localSheetId="1">[1]Dropdown!#REF!</definedName>
    <definedName name="GlassA">[1]Dropdown!#REF!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1" l="1"/>
  <c r="AB13" i="1"/>
  <c r="AC13" i="1"/>
  <c r="AD13" i="1"/>
  <c r="W13" i="1"/>
  <c r="X13" i="1"/>
  <c r="Z13" i="1"/>
  <c r="Y12" i="1"/>
  <c r="V12" i="1"/>
  <c r="Y5" i="1"/>
  <c r="V9" i="1" l="1"/>
  <c r="U9" i="1" s="1"/>
  <c r="Y8" i="1"/>
  <c r="Y10" i="1"/>
  <c r="Y13" i="1" s="1"/>
  <c r="Y6" i="1"/>
  <c r="U7" i="1"/>
  <c r="Q16" i="1"/>
  <c r="Q20" i="1"/>
  <c r="Q18" i="1"/>
  <c r="Q17" i="1"/>
  <c r="Q15" i="1"/>
  <c r="Q13" i="1"/>
  <c r="Q8" i="1"/>
  <c r="Q9" i="1"/>
  <c r="Q12" i="1"/>
  <c r="Q5" i="1"/>
  <c r="K16" i="1"/>
  <c r="K19" i="1"/>
  <c r="K17" i="1"/>
  <c r="K20" i="1" s="1"/>
  <c r="K18" i="1"/>
  <c r="I19" i="1"/>
  <c r="I16" i="1"/>
  <c r="I11" i="1"/>
  <c r="I9" i="1"/>
  <c r="I15" i="1"/>
  <c r="I7" i="1"/>
  <c r="I12" i="1"/>
  <c r="I8" i="1"/>
  <c r="I5" i="1"/>
  <c r="E17" i="1"/>
  <c r="E20" i="1" s="1"/>
  <c r="C17" i="1"/>
  <c r="C16" i="1" s="1"/>
  <c r="G16" i="1"/>
  <c r="G18" i="1"/>
  <c r="G17" i="1"/>
  <c r="G20" i="1" s="1"/>
  <c r="G15" i="1"/>
  <c r="E16" i="1"/>
  <c r="E6" i="1"/>
  <c r="E5" i="1"/>
  <c r="E15" i="1"/>
  <c r="E9" i="1"/>
  <c r="C15" i="1"/>
  <c r="V5" i="1"/>
  <c r="I17" i="1"/>
  <c r="I20" i="1" s="1"/>
  <c r="I13" i="1"/>
  <c r="G13" i="1"/>
  <c r="E13" i="1"/>
  <c r="C13" i="1"/>
  <c r="C6" i="1"/>
  <c r="C10" i="1" s="1"/>
  <c r="U5" i="1" l="1"/>
  <c r="V8" i="1"/>
  <c r="U8" i="1" s="1"/>
  <c r="V6" i="1"/>
  <c r="U6" i="1" s="1"/>
  <c r="V10" i="1"/>
  <c r="V13" i="1" s="1"/>
  <c r="C20" i="1"/>
  <c r="U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tc={7F796FA0-45EC-4C4C-843B-360D0385E38E}</author>
    <author>tc={F73AF337-B134-4C39-9107-82E90BF9956F}</author>
    <author>tc={F4ECF03F-FA93-47D6-80B6-B15AA339D531}</author>
    <author>tc={E25679EC-AF68-49A1-8507-B6CF62C08D43}</author>
    <author>tc={EC0811A3-7202-47EB-9217-80E3351DF89A}</author>
    <author>tc={7F1FE8C0-BC0B-4180-A6B6-22AF3675656E}</author>
    <author>tc={AFAD1E39-F4C4-4A33-952E-60446B18A8E1}</author>
    <author>tc={243AE133-3DCA-48EA-A3CC-F3E7BB1287C4}</author>
    <author>tc={BB49A417-0C91-4FBA-A209-8C9D51A02D76}</author>
    <author>tc={E2D2AD93-2ABA-461B-840E-EE396FE1B71C}</author>
  </authors>
  <commentList>
    <comment ref="J4" authorId="0" shapeId="0" xr:uid="{7F796FA0-45EC-4C4C-843B-360D0385E38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Zone in Zone?
Vorschlag: Wände zur Schwimmhalle als innere Wände addieren um Wärmekapazitäten zu berücksichtigen.</t>
      </text>
    </comment>
    <comment ref="V7" authorId="1" shapeId="0" xr:uid="{F73AF337-B134-4C39-9107-82E90BF995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</text>
    </comment>
    <comment ref="V9" authorId="2" shapeId="0" xr:uid="{F4ECF03F-FA93-47D6-80B6-B15AA339D5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</text>
    </comment>
    <comment ref="G13" authorId="3" shapeId="0" xr:uid="{E25679EC-AF68-49A1-8507-B6CF62C08D4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Q15" authorId="4" shapeId="0" xr:uid="{EC0811A3-7202-47EB-9217-80E3351DF8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Wände zum Erdbooden</t>
      </text>
    </comment>
    <comment ref="A16" authorId="5" shapeId="0" xr:uid="{7F1FE8C0-BC0B-4180-A6B6-22AF367565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Innere Wände ohne Kontakt mit anderen Zonen 
+ 
(Innere Wände mit Kontakt mit anderen Zonen *0,5)</t>
      </text>
    </comment>
    <comment ref="Q16" authorId="6" shapeId="0" xr:uid="{AFAD1E39-F4C4-4A33-952E-60446B18A8E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wand zum schwimmbecken(*0,5)</t>
      </text>
    </comment>
    <comment ref="A18" authorId="7" shapeId="0" xr:uid="{243AE133-3DCA-48EA-A3CC-F3E7BB1287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Abhangdecken?</t>
      </text>
    </comment>
    <comment ref="G18" authorId="8" shapeId="0" xr:uid="{BB49A417-0C91-4FBA-A209-8C9D51A02D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I19" authorId="9" shapeId="0" xr:uid="{E2D2AD93-2ABA-461B-840E-EE396FE1B7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Ohne Wasserfläche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tc={B0FCD963-ED35-4353-B03A-99593B0E7AFB}</author>
  </authors>
  <commentList>
    <comment ref="A41" authorId="0" shapeId="0" xr:uid="{B0FCD963-ED35-4353-B03A-99593B0E7AF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Horizontale Fenster werden in Teaser nicht erstellt</t>
      </text>
    </comment>
  </commentList>
</comments>
</file>

<file path=xl/sharedStrings.xml><?xml version="1.0" encoding="utf-8"?>
<sst xmlns="http://schemas.openxmlformats.org/spreadsheetml/2006/main" count="290" uniqueCount="137">
  <si>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</si>
  <si>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</si>
  <si>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</si>
  <si>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</si>
  <si>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</si>
  <si>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</si>
  <si>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</si>
  <si>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</si>
  <si>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</si>
  <si>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</si>
  <si>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</si>
  <si>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</si>
  <si>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Saunabereich</t>
  </si>
  <si>
    <t>Fitness</t>
  </si>
  <si>
    <t>Zone designation</t>
  </si>
  <si>
    <t>Enveloping Surfaces of Zones in an Example Swimming Pool</t>
  </si>
  <si>
    <t>Transparent elements in outer walls in each cardinal direction [m²]</t>
  </si>
  <si>
    <t>Transparent horizontal elements [m²]</t>
  </si>
  <si>
    <t>Air volume [m³]</t>
  </si>
  <si>
    <t>name</t>
  </si>
  <si>
    <t>layer</t>
  </si>
  <si>
    <t>thickness</t>
  </si>
  <si>
    <t>inner radiation</t>
  </si>
  <si>
    <t>inner convection</t>
  </si>
  <si>
    <t>outer radiation</t>
  </si>
  <si>
    <t>outer convection</t>
  </si>
  <si>
    <t>[cm]</t>
  </si>
  <si>
    <t>5.0</t>
  </si>
  <si>
    <t>2.7</t>
  </si>
  <si>
    <t>20.0</t>
  </si>
  <si>
    <t>27068cc0-3a43-11e7-bc9e-2cd444b2e704</t>
  </si>
  <si>
    <t>[W/mK]</t>
  </si>
  <si>
    <t>6755e6e6-3a43-11e7-adad-2cd444b2e704</t>
  </si>
  <si>
    <t>35d01e70-3a43-11e7-a6cf-2cd444b2e704</t>
  </si>
  <si>
    <t>39c59c0c-3a43-11e7-ac33-2cd444b2e704</t>
  </si>
  <si>
    <t>Building Envelope Structures in Swimming Pools</t>
  </si>
  <si>
    <t>Eingangsbereich</t>
  </si>
  <si>
    <t>Schwimmhalle</t>
  </si>
  <si>
    <t>Duschen und Sanitärräume</t>
  </si>
  <si>
    <t>Umkleiden</t>
  </si>
  <si>
    <t>Aufsichtsraum</t>
  </si>
  <si>
    <t>Technikraum</t>
  </si>
  <si>
    <t>Roof (upper building closure, including horizontal transparent elements) [m²]</t>
  </si>
  <si>
    <t>g-value</t>
  </si>
  <si>
    <t xml:space="preserve">Outer walls and cardinal directions of them, including transparent elements [m²]
</t>
  </si>
  <si>
    <t>Total area of zone (including water surface) [m²]</t>
  </si>
  <si>
    <t>Additional information to zone 4</t>
  </si>
  <si>
    <t>Sum of pools</t>
  </si>
  <si>
    <t>Schwimmerbecken</t>
  </si>
  <si>
    <t>Mehrzweckbecken</t>
  </si>
  <si>
    <t>Kleinkinderbecken</t>
  </si>
  <si>
    <t>Nichtschwimmerbecken</t>
  </si>
  <si>
    <t>Springerbecken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</si>
  <si>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</si>
  <si>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</si>
  <si>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</si>
  <si>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</si>
  <si>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</si>
  <si>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</si>
  <si>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</si>
  <si>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</si>
  <si>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</si>
  <si>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</si>
  <si>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</si>
  <si>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The Pool temperature is not transferred from the Calculator</t>
    </r>
  </si>
  <si>
    <t>FB1</t>
  </si>
  <si>
    <t>FB2</t>
  </si>
  <si>
    <t>FB3</t>
  </si>
  <si>
    <t>FB4</t>
  </si>
  <si>
    <t>OuterWall</t>
  </si>
  <si>
    <t>InnerWall</t>
  </si>
  <si>
    <t>GroundFloor</t>
  </si>
  <si>
    <t>Window_roof</t>
  </si>
  <si>
    <t>(from inside 0 to outside 5)</t>
  </si>
  <si>
    <t>2497c138-3a43-11e7-9e0f-2cd444b2e704</t>
  </si>
  <si>
    <t>25f82c80-3a43-11e7-87af-2cd444b2e704</t>
  </si>
  <si>
    <t>2450d810-3a43-11e7-acc4-2cd444b2e704</t>
  </si>
  <si>
    <t>36734a3e-3a43-11e7-962d-2cd444b2e704</t>
  </si>
  <si>
    <r>
      <t>[kg/m</t>
    </r>
    <r>
      <rPr>
        <vertAlign val="super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]</t>
    </r>
  </si>
  <si>
    <t>[kJ/kgK]</t>
  </si>
  <si>
    <t>2603ea80-3a43-11e7-882b-2cd444b2e704</t>
  </si>
  <si>
    <t>6c217f5c-3a43-11e7-8fc5-2cd444b2e704</t>
  </si>
  <si>
    <t>24ce8040-3a43-11e7-9beb-2cd444b2e704</t>
  </si>
  <si>
    <t>hier brauchst du das nicht überprfen, hier habe ich die Daten aus dem MFH genommen, weil uns hier die Daten noch fehlen</t>
  </si>
  <si>
    <t>0abbb1a2-83ff-11e6-946a-2cd444b2e704</t>
  </si>
  <si>
    <t>a_conv</t>
  </si>
  <si>
    <t>Rooftop</t>
  </si>
  <si>
    <t>Ceiling (Inner Ceilings)[m²]</t>
  </si>
  <si>
    <t>Floor (Inner Floors without earth contact)[m²]</t>
  </si>
  <si>
    <t>Inner walls as a sum (Shared Inner Walls of two zones are splittet equally)[m²]</t>
  </si>
  <si>
    <t>Ground floor (lower building closure) with earth contact [m²]</t>
  </si>
  <si>
    <t>material_id</t>
  </si>
  <si>
    <t>thermal_conductivity</t>
  </si>
  <si>
    <t>density</t>
  </si>
  <si>
    <t>heat_capacity</t>
  </si>
  <si>
    <t>Ceiling</t>
  </si>
  <si>
    <t>Floor</t>
  </si>
  <si>
    <t>[K]</t>
  </si>
  <si>
    <t>boolean</t>
  </si>
  <si>
    <t>Umfang Becken</t>
  </si>
  <si>
    <t>[m]</t>
  </si>
  <si>
    <t>Filterkombination</t>
  </si>
  <si>
    <t>string</t>
  </si>
  <si>
    <t>float</t>
  </si>
  <si>
    <t>PoolMaterial</t>
  </si>
  <si>
    <r>
      <t xml:space="preserve">Pool floor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</si>
  <si>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floor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</si>
  <si>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</si>
  <si>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</si>
  <si>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t>Window</t>
  </si>
  <si>
    <t>Beckenabdeckung</t>
  </si>
  <si>
    <t>Tiefe Becken</t>
  </si>
  <si>
    <t>True</t>
  </si>
  <si>
    <t>False</t>
  </si>
  <si>
    <t>Abwasseraufbereitung</t>
  </si>
  <si>
    <t>Nachtabsenkung</t>
  </si>
  <si>
    <t>Abwasseraufbereitungsgrad</t>
  </si>
  <si>
    <t>Freiformbecken1</t>
  </si>
  <si>
    <t>Freiformbecken2</t>
  </si>
  <si>
    <t>Freiformbecken3</t>
  </si>
  <si>
    <t>Freiformbecken4</t>
  </si>
  <si>
    <t>Salzwasser</t>
  </si>
  <si>
    <t>Süßwasser</t>
  </si>
  <si>
    <t>ohne Ozon</t>
  </si>
  <si>
    <t>mit Brom</t>
  </si>
  <si>
    <t>Filterspülungen</t>
  </si>
  <si>
    <t>[pro Woche]</t>
  </si>
  <si>
    <t>Wellenbetrieb</t>
  </si>
  <si>
    <t>Wellenhöhe</t>
  </si>
  <si>
    <t>Wellenbreite</t>
  </si>
  <si>
    <t>Filtertyp</t>
  </si>
  <si>
    <t>Aktivkohlefilter mit Ozon</t>
  </si>
  <si>
    <t>Quarzkiesfilter</t>
  </si>
  <si>
    <t>Wasserart</t>
  </si>
  <si>
    <t>[pro Tag]</t>
  </si>
  <si>
    <t>Besucherzahl</t>
  </si>
  <si>
    <t>Aufbereitungsvolumenstrom Nachts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</si>
</sst>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1F497D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theme="0" tint="-0.249977111117893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1F497D"/>
      <name val="Century Gothic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entury Gothic"/>
      <family val="2"/>
    </font>
    <font>
      <vertAlign val="superscript"/>
      <sz val="11"/>
      <color rgb="FF000000"/>
      <name val="Calibri"/>
      <family val="2"/>
    </font>
    <font>
      <sz val="11"/>
      <name val="Calibri"/>
      <family val="2"/>
    </font>
    <font>
      <b/>
      <u/>
      <sz val="11"/>
      <color rgb="FF1F497D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10" fillId="0" borderId="0" applyBorder="0"/>
  </cellStyleXfs>
  <cellXfs count="199">
    <xf numFmtId="0" fontId="0" fillId="0" borderId="0" xfId="0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0" fillId="0" borderId="0" xfId="1"/>
    <xf numFmtId="0" fontId="10" fillId="0" borderId="6" xfId="1" applyBorder="1"/>
    <xf numFmtId="0" fontId="11" fillId="0" borderId="6" xfId="1" applyFont="1" applyBorder="1"/>
    <xf numFmtId="0" fontId="11" fillId="0" borderId="6" xfId="1" applyFont="1" applyBorder="1" applyAlignment="1">
      <alignment horizontal="left" vertical="center"/>
    </xf>
    <xf numFmtId="0" fontId="10" fillId="0" borderId="0" xfId="1" applyAlignment="1">
      <alignment horizontal="left"/>
    </xf>
    <xf numFmtId="0" fontId="10" fillId="0" borderId="43" xfId="1" applyBorder="1" applyAlignment="1">
      <alignment horizontal="left"/>
    </xf>
    <xf numFmtId="0" fontId="10" fillId="0" borderId="43" xfId="1" applyBorder="1"/>
    <xf numFmtId="0" fontId="10" fillId="0" borderId="44" xfId="1" applyBorder="1" applyAlignment="1">
      <alignment horizontal="left"/>
    </xf>
    <xf numFmtId="0" fontId="10" fillId="0" borderId="44" xfId="1" applyBorder="1"/>
    <xf numFmtId="0" fontId="10" fillId="0" borderId="0" xfId="1" applyBorder="1"/>
    <xf numFmtId="0" fontId="10" fillId="0" borderId="0" xfId="1" applyBorder="1" applyAlignment="1">
      <alignment horizontal="left"/>
    </xf>
    <xf numFmtId="0" fontId="0" fillId="0" borderId="43" xfId="0" applyBorder="1"/>
    <xf numFmtId="0" fontId="0" fillId="0" borderId="44" xfId="0" applyBorder="1"/>
    <xf numFmtId="0" fontId="11" fillId="0" borderId="0" xfId="1" applyFont="1" applyBorder="1" applyAlignment="1">
      <alignment vertical="top" wrapText="1"/>
    </xf>
    <xf numFmtId="0" fontId="11" fillId="0" borderId="0" xfId="1" applyFont="1" applyBorder="1" applyAlignment="1">
      <alignment horizontal="left" vertical="top" wrapText="1"/>
    </xf>
    <xf numFmtId="0" fontId="10" fillId="0" borderId="0" xfId="1" applyAlignment="1">
      <alignment vertical="top" wrapText="1"/>
    </xf>
    <xf numFmtId="0" fontId="8" fillId="0" borderId="43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43" xfId="1" applyBorder="1" applyAlignment="1">
      <alignment horizontal="left" vertical="center" wrapText="1"/>
    </xf>
    <xf numFmtId="0" fontId="10" fillId="0" borderId="0" xfId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center"/>
    </xf>
    <xf numFmtId="0" fontId="12" fillId="0" borderId="54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3" fillId="0" borderId="4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44" xfId="1" applyFill="1" applyBorder="1" applyAlignment="1">
      <alignment horizontal="left" vertical="center"/>
    </xf>
    <xf numFmtId="0" fontId="10" fillId="0" borderId="44" xfId="1" applyFill="1" applyBorder="1" applyAlignment="1">
      <alignment horizontal="left"/>
    </xf>
    <xf numFmtId="2" fontId="10" fillId="0" borderId="0" xfId="1" applyNumberFormat="1" applyAlignment="1">
      <alignment horizontal="left" vertical="center"/>
    </xf>
    <xf numFmtId="2" fontId="0" fillId="0" borderId="0" xfId="0" applyNumberFormat="1" applyFill="1" applyAlignment="1" applyProtection="1">
      <alignment horizontal="left"/>
    </xf>
    <xf numFmtId="2" fontId="10" fillId="0" borderId="44" xfId="1" applyNumberFormat="1" applyFill="1" applyBorder="1" applyAlignment="1">
      <alignment horizontal="left" vertical="center"/>
    </xf>
    <xf numFmtId="2" fontId="10" fillId="0" borderId="0" xfId="1" applyNumberFormat="1" applyBorder="1" applyAlignment="1">
      <alignment horizontal="left" vertical="center"/>
    </xf>
    <xf numFmtId="2" fontId="0" fillId="0" borderId="0" xfId="0" applyNumberFormat="1" applyFill="1" applyAlignment="1" applyProtection="1">
      <alignment horizontal="left" vertical="center"/>
    </xf>
    <xf numFmtId="2" fontId="10" fillId="0" borderId="44" xfId="1" applyNumberFormat="1" applyBorder="1" applyAlignment="1">
      <alignment horizontal="left" vertical="center"/>
    </xf>
    <xf numFmtId="2" fontId="10" fillId="0" borderId="0" xfId="1" applyNumberFormat="1" applyFill="1" applyBorder="1" applyAlignment="1">
      <alignment horizontal="left" vertical="center"/>
    </xf>
    <xf numFmtId="2" fontId="17" fillId="0" borderId="0" xfId="1" applyNumberFormat="1" applyFont="1" applyBorder="1" applyAlignment="1">
      <alignment horizontal="left" vertical="center"/>
    </xf>
    <xf numFmtId="2" fontId="10" fillId="0" borderId="0" xfId="1" applyNumberFormat="1" applyFill="1" applyAlignment="1">
      <alignment horizontal="left"/>
    </xf>
    <xf numFmtId="2" fontId="17" fillId="0" borderId="56" xfId="1" applyNumberFormat="1" applyFont="1" applyBorder="1" applyAlignment="1">
      <alignment horizontal="left"/>
    </xf>
    <xf numFmtId="0" fontId="10" fillId="0" borderId="55" xfId="1" applyFill="1" applyBorder="1" applyAlignment="1">
      <alignment horizontal="left" vertical="center"/>
    </xf>
    <xf numFmtId="0" fontId="0" fillId="0" borderId="0" xfId="0" applyFill="1"/>
    <xf numFmtId="0" fontId="9" fillId="0" borderId="0" xfId="0" applyFont="1"/>
    <xf numFmtId="2" fontId="0" fillId="0" borderId="55" xfId="0" applyNumberFormat="1" applyFill="1" applyBorder="1" applyAlignment="1" applyProtection="1">
      <alignment horizontal="left"/>
    </xf>
    <xf numFmtId="0" fontId="10" fillId="0" borderId="55" xfId="1" applyFill="1" applyBorder="1"/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164" fontId="1" fillId="0" borderId="20" xfId="0" applyNumberFormat="1" applyFont="1" applyBorder="1" applyAlignment="1">
      <alignment horizontal="center" vertical="center" wrapText="1"/>
    </xf>
    <xf numFmtId="164" fontId="3" fillId="0" borderId="19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 wrapText="1"/>
    </xf>
    <xf numFmtId="164" fontId="6" fillId="3" borderId="19" xfId="0" applyNumberFormat="1" applyFont="1" applyFill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15" fillId="0" borderId="55" xfId="0" applyNumberFormat="1" applyFont="1" applyFill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6" fillId="3" borderId="24" xfId="0" applyNumberFormat="1" applyFont="1" applyFill="1" applyBorder="1" applyAlignment="1">
      <alignment horizontal="center" vertical="center" wrapText="1"/>
    </xf>
    <xf numFmtId="164" fontId="6" fillId="3" borderId="22" xfId="0" applyNumberFormat="1" applyFont="1" applyFill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horizontal="center" vertical="center" wrapText="1"/>
    </xf>
    <xf numFmtId="164" fontId="6" fillId="3" borderId="7" xfId="0" applyNumberFormat="1" applyFont="1" applyFill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 wrapText="1"/>
    </xf>
    <xf numFmtId="164" fontId="3" fillId="0" borderId="3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 wrapText="1"/>
    </xf>
    <xf numFmtId="164" fontId="3" fillId="0" borderId="29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 wrapText="1"/>
    </xf>
    <xf numFmtId="164" fontId="6" fillId="3" borderId="25" xfId="0" applyNumberFormat="1" applyFont="1" applyFill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 wrapText="1"/>
    </xf>
    <xf numFmtId="164" fontId="3" fillId="0" borderId="22" xfId="0" applyNumberFormat="1" applyFont="1" applyFill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wrapText="1"/>
    </xf>
    <xf numFmtId="164" fontId="3" fillId="0" borderId="48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3" borderId="23" xfId="0" applyNumberFormat="1" applyFont="1" applyFill="1" applyBorder="1" applyAlignment="1">
      <alignment horizontal="center" vertical="center"/>
    </xf>
    <xf numFmtId="164" fontId="3" fillId="2" borderId="28" xfId="0" applyNumberFormat="1" applyFont="1" applyFill="1" applyBorder="1" applyAlignment="1">
      <alignment horizontal="center" vertical="center"/>
    </xf>
    <xf numFmtId="0" fontId="10" fillId="0" borderId="55" xfId="1" applyFill="1" applyBorder="1" applyAlignment="1">
      <alignment horizontal="left"/>
    </xf>
    <xf numFmtId="0" fontId="11" fillId="0" borderId="44" xfId="1" applyFont="1" applyBorder="1" applyAlignment="1">
      <alignment vertical="top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2" borderId="55" xfId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1" fontId="3" fillId="0" borderId="28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2" borderId="40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1" fillId="0" borderId="43" xfId="1" applyFont="1" applyBorder="1" applyAlignment="1">
      <alignment horizontal="left" vertical="center" wrapText="1"/>
    </xf>
    <xf numFmtId="0" fontId="10" fillId="0" borderId="2" xfId="1" applyBorder="1" applyAlignment="1">
      <alignment horizontal="left" vertical="center"/>
    </xf>
    <xf numFmtId="0" fontId="10" fillId="0" borderId="0" xfId="1" applyAlignment="1">
      <alignment vertical="top" wrapText="1"/>
    </xf>
  </cellXfs>
  <cellStyles count="2">
    <cellStyle name="Standard" xfId="0" builtinId="0"/>
    <cellStyle name="Standard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ll Schmidt" id="{06C71BA3-71A5-469C-81E3-2F24F58D5E9C}" userId="Till Schmid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1-03-04T10:38:49.81" personId="{06C71BA3-71A5-469C-81E3-2F24F58D5E9C}" id="{7F796FA0-45EC-4C4C-843B-360D0385E38E}">
    <text>Zone in Zone?
Vorschlag: Wände zur Schwimmhalle als innere Wände addieren um Wärmekapazitäten zu berücksichtigen.</text>
  </threadedComment>
  <threadedComment ref="V7" dT="2021-03-04T11:24:24.27" personId="{06C71BA3-71A5-469C-81E3-2F24F58D5E9C}" id="{F73AF337-B134-4C39-9107-82E90BF9956F}">
    <text>enthält Wand zum Technikraum * 0,5</text>
  </threadedComment>
  <threadedComment ref="V9" dT="2021-03-04T11:24:24.27" personId="{06C71BA3-71A5-469C-81E3-2F24F58D5E9C}" id="{F4ECF03F-FA93-47D6-80B6-B15AA339D531}">
    <text>enthält Wand zum Technikraum * 0,5</text>
  </threadedComment>
  <threadedComment ref="G13" dT="2021-03-04T10:12:37.44" personId="{06C71BA3-71A5-469C-81E3-2F24F58D5E9C}" id="{E25679EC-AF68-49A1-8507-B6CF62C08D43}">
    <text>obere etage?</text>
  </threadedComment>
  <threadedComment ref="Q15" dT="2021-03-04T11:03:51.01" personId="{06C71BA3-71A5-469C-81E3-2F24F58D5E9C}" id="{EC0811A3-7202-47EB-9217-80E3351DF89A}">
    <text>enthählt Wände zum Erdbooden</text>
  </threadedComment>
  <threadedComment ref="A16" dT="2021-03-04T10:40:21.15" personId="{06C71BA3-71A5-469C-81E3-2F24F58D5E9C}" id="{7F1FE8C0-BC0B-4180-A6B6-22AF3675656E}">
    <text>Innere Wände ohne Kontakt mit anderen Zonen 
+ 
(Innere Wände mit Kontakt mit anderen Zonen *0,5)</text>
  </threadedComment>
  <threadedComment ref="Q16" dT="2021-03-04T11:04:59.57" personId="{06C71BA3-71A5-469C-81E3-2F24F58D5E9C}" id="{AFAD1E39-F4C4-4A33-952E-60446B18A8E1}">
    <text>enthählt wand zum schwimmbecken(*0,5)</text>
  </threadedComment>
  <threadedComment ref="A18" dT="2021-03-04T10:13:03.98" personId="{06C71BA3-71A5-469C-81E3-2F24F58D5E9C}" id="{243AE133-3DCA-48EA-A3CC-F3E7BB1287C4}">
    <text>Abhangdecken?</text>
  </threadedComment>
  <threadedComment ref="G18" dT="2021-03-04T10:16:23.76" personId="{06C71BA3-71A5-469C-81E3-2F24F58D5E9C}" id="{BB49A417-0C91-4FBA-A209-8C9D51A02D76}">
    <text>obere etage?</text>
  </threadedComment>
  <threadedComment ref="I19" dT="2021-03-04T10:37:37.56" personId="{06C71BA3-71A5-469C-81E3-2F24F58D5E9C}" id="{E2D2AD93-2ABA-461B-840E-EE396FE1B71C}">
    <text>Ohne Wasserfläche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1" dT="2021-03-06T11:01:12.51" personId="{06C71BA3-71A5-469C-81E3-2F24F58D5E9C}" id="{B0FCD963-ED35-4353-B03A-99593B0E7AFB}">
    <text>Horizontale Fenster werden in Teaser nicht erstellt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F30"/>
  <sheetViews>
    <sheetView tabSelected="1" topLeftCell="P1" zoomScale="70" zoomScaleNormal="70" workbookViewId="0">
      <selection activeCell="Y9" sqref="Y9"/>
    </sheetView>
  </sheetViews>
  <sheetFormatPr baseColWidth="10" defaultColWidth="11.44140625" defaultRowHeight="14.4" x14ac:dyDescent="0.3"/>
  <cols>
    <col min="1" max="1" width="28.88671875" style="35" customWidth="1"/>
    <col min="2" max="2" width="14.109375" style="36" customWidth="1"/>
    <col min="3" max="3" width="13.77734375" style="25" bestFit="1" customWidth="1"/>
    <col min="4" max="4" width="11.88671875" style="36" customWidth="1"/>
    <col min="5" max="5" width="11.44140625" style="25"/>
    <col min="6" max="6" width="13.33203125" style="25" customWidth="1"/>
    <col min="7" max="7" width="14.6640625" style="25" bestFit="1" customWidth="1"/>
    <col min="8" max="8" width="12" style="25" customWidth="1"/>
    <col min="9" max="9" width="11.44140625" style="25"/>
    <col min="10" max="10" width="11.44140625" style="25" customWidth="1"/>
    <col min="11" max="11" width="14.6640625" style="25" bestFit="1" customWidth="1"/>
    <col min="12" max="12" width="14.33203125" style="25" customWidth="1"/>
    <col min="13" max="13" width="11.44140625" style="25"/>
    <col min="14" max="14" width="7.6640625" style="25" customWidth="1"/>
    <col min="15" max="15" width="11.44140625" style="25"/>
    <col min="16" max="16" width="7.6640625" style="25" customWidth="1"/>
    <col min="17" max="17" width="11.44140625" style="25"/>
    <col min="18" max="18" width="26.33203125" style="25" customWidth="1"/>
    <col min="19" max="19" width="22.21875" style="25" customWidth="1"/>
    <col min="20" max="20" width="10.6640625" style="25" customWidth="1"/>
    <col min="21" max="21" width="15.33203125" style="25" customWidth="1"/>
    <col min="22" max="22" width="26.6640625" style="25" bestFit="1" customWidth="1"/>
    <col min="23" max="23" width="20.77734375" style="25" bestFit="1" customWidth="1"/>
    <col min="24" max="24" width="20.21875" style="25" bestFit="1" customWidth="1"/>
    <col min="25" max="25" width="26.5546875" style="25" bestFit="1" customWidth="1"/>
    <col min="26" max="26" width="17.6640625" style="25" bestFit="1" customWidth="1"/>
    <col min="27" max="27" width="29" style="25" bestFit="1" customWidth="1"/>
    <col min="28" max="30" width="18.44140625" style="25" bestFit="1" customWidth="1"/>
    <col min="31" max="31" width="16.6640625" style="25" bestFit="1" customWidth="1"/>
    <col min="32" max="16384" width="11.44140625" style="25"/>
  </cols>
  <sheetData>
    <row r="1" spans="1:31" ht="15" x14ac:dyDescent="0.3">
      <c r="A1" s="187" t="s">
        <v>15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31" ht="15" x14ac:dyDescent="0.3">
      <c r="A2" s="40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31" ht="42" customHeight="1" thickBot="1" x14ac:dyDescent="0.35">
      <c r="A3" s="26"/>
      <c r="B3" s="181" t="s">
        <v>0</v>
      </c>
      <c r="C3" s="182"/>
      <c r="D3" s="183" t="s">
        <v>1</v>
      </c>
      <c r="E3" s="184"/>
      <c r="F3" s="185" t="s">
        <v>2</v>
      </c>
      <c r="G3" s="182"/>
      <c r="H3" s="191" t="s">
        <v>3</v>
      </c>
      <c r="I3" s="184"/>
      <c r="J3" s="185" t="s">
        <v>4</v>
      </c>
      <c r="K3" s="182"/>
      <c r="L3" s="189" t="s">
        <v>5</v>
      </c>
      <c r="M3" s="190"/>
      <c r="N3" s="189" t="s">
        <v>6</v>
      </c>
      <c r="O3" s="190"/>
      <c r="P3" s="183" t="s">
        <v>7</v>
      </c>
      <c r="Q3" s="183"/>
      <c r="S3" s="165" t="s">
        <v>46</v>
      </c>
      <c r="T3" s="166"/>
      <c r="U3" s="163" t="s">
        <v>58</v>
      </c>
      <c r="V3" s="164" t="s">
        <v>57</v>
      </c>
      <c r="W3" s="164" t="s">
        <v>56</v>
      </c>
      <c r="X3" s="164" t="s">
        <v>55</v>
      </c>
      <c r="Y3" s="164" t="s">
        <v>54</v>
      </c>
      <c r="Z3" s="164" t="s">
        <v>53</v>
      </c>
      <c r="AA3" s="164" t="s">
        <v>65</v>
      </c>
      <c r="AB3" s="164" t="s">
        <v>66</v>
      </c>
      <c r="AC3" s="164" t="s">
        <v>67</v>
      </c>
      <c r="AD3" s="164" t="s">
        <v>68</v>
      </c>
    </row>
    <row r="4" spans="1:31" ht="50.1" customHeight="1" thickBot="1" x14ac:dyDescent="0.35">
      <c r="A4" s="27" t="s">
        <v>14</v>
      </c>
      <c r="B4" s="186" t="s">
        <v>36</v>
      </c>
      <c r="C4" s="170"/>
      <c r="D4" s="169" t="s">
        <v>39</v>
      </c>
      <c r="E4" s="170"/>
      <c r="F4" s="169" t="s">
        <v>38</v>
      </c>
      <c r="G4" s="170"/>
      <c r="H4" s="169" t="s">
        <v>37</v>
      </c>
      <c r="I4" s="170"/>
      <c r="J4" s="171" t="s">
        <v>40</v>
      </c>
      <c r="K4" s="172"/>
      <c r="L4" s="173" t="s">
        <v>12</v>
      </c>
      <c r="M4" s="174"/>
      <c r="N4" s="173" t="s">
        <v>13</v>
      </c>
      <c r="O4" s="174"/>
      <c r="P4" s="169" t="s">
        <v>41</v>
      </c>
      <c r="Q4" s="186"/>
      <c r="S4" s="167"/>
      <c r="T4" s="168"/>
      <c r="U4" s="48" t="s">
        <v>47</v>
      </c>
      <c r="V4" s="162" t="s">
        <v>48</v>
      </c>
      <c r="W4" s="162" t="s">
        <v>49</v>
      </c>
      <c r="X4" s="162" t="s">
        <v>50</v>
      </c>
      <c r="Y4" s="162" t="s">
        <v>51</v>
      </c>
      <c r="Z4" s="162" t="s">
        <v>52</v>
      </c>
      <c r="AA4" s="162" t="s">
        <v>117</v>
      </c>
      <c r="AB4" s="162" t="s">
        <v>118</v>
      </c>
      <c r="AC4" s="162" t="s">
        <v>119</v>
      </c>
      <c r="AD4" s="162" t="s">
        <v>120</v>
      </c>
    </row>
    <row r="5" spans="1:31" ht="50.1" customHeight="1" thickTop="1" x14ac:dyDescent="0.3">
      <c r="A5" s="175" t="s">
        <v>44</v>
      </c>
      <c r="B5" s="4" t="s">
        <v>8</v>
      </c>
      <c r="C5" s="126">
        <v>0</v>
      </c>
      <c r="D5" s="80" t="s">
        <v>8</v>
      </c>
      <c r="E5" s="81">
        <f>31.5*3.25</f>
        <v>102.375</v>
      </c>
      <c r="F5" s="80" t="s">
        <v>8</v>
      </c>
      <c r="G5" s="126">
        <v>0</v>
      </c>
      <c r="H5" s="80" t="s">
        <v>8</v>
      </c>
      <c r="I5" s="81">
        <f>10*6.2</f>
        <v>62</v>
      </c>
      <c r="J5" s="80" t="s">
        <v>8</v>
      </c>
      <c r="K5" s="126">
        <v>0</v>
      </c>
      <c r="L5" s="82" t="s">
        <v>8</v>
      </c>
      <c r="M5" s="83"/>
      <c r="N5" s="82" t="s">
        <v>8</v>
      </c>
      <c r="O5" s="83"/>
      <c r="P5" s="80" t="s">
        <v>8</v>
      </c>
      <c r="Q5" s="84">
        <f>6.25*10</f>
        <v>62.5</v>
      </c>
      <c r="S5" s="50" t="s">
        <v>59</v>
      </c>
      <c r="T5" s="49" t="s">
        <v>60</v>
      </c>
      <c r="U5" s="146">
        <f t="shared" ref="U5:U10" si="0">SUM(V5:AD5)</f>
        <v>541.5</v>
      </c>
      <c r="V5" s="144">
        <f>25*16.66</f>
        <v>416.5</v>
      </c>
      <c r="W5" s="57">
        <v>0</v>
      </c>
      <c r="X5" s="57">
        <v>0</v>
      </c>
      <c r="Y5" s="145">
        <f>12.5*10</f>
        <v>125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</row>
    <row r="6" spans="1:31" ht="50.1" customHeight="1" x14ac:dyDescent="0.3">
      <c r="A6" s="176"/>
      <c r="B6" s="5" t="s">
        <v>9</v>
      </c>
      <c r="C6" s="85">
        <f>29*6.5</f>
        <v>188.5</v>
      </c>
      <c r="D6" s="86" t="s">
        <v>9</v>
      </c>
      <c r="E6" s="127">
        <f>8.5*3.25</f>
        <v>27.625</v>
      </c>
      <c r="F6" s="86" t="s">
        <v>9</v>
      </c>
      <c r="G6" s="127">
        <v>0</v>
      </c>
      <c r="H6" s="86" t="s">
        <v>9</v>
      </c>
      <c r="I6" s="127">
        <v>0</v>
      </c>
      <c r="J6" s="86" t="s">
        <v>9</v>
      </c>
      <c r="K6" s="127">
        <v>0</v>
      </c>
      <c r="L6" s="87" t="s">
        <v>9</v>
      </c>
      <c r="M6" s="88"/>
      <c r="N6" s="87" t="s">
        <v>9</v>
      </c>
      <c r="O6" s="88"/>
      <c r="P6" s="86" t="s">
        <v>9</v>
      </c>
      <c r="Q6" s="89">
        <v>0</v>
      </c>
      <c r="S6" s="143" t="s">
        <v>105</v>
      </c>
      <c r="T6" s="49" t="s">
        <v>60</v>
      </c>
      <c r="U6" s="146">
        <f t="shared" si="0"/>
        <v>716.32891940711272</v>
      </c>
      <c r="V6" s="145">
        <f>V5+2.2*25*2+16.66*2</f>
        <v>559.82000000000005</v>
      </c>
      <c r="W6" s="58">
        <v>0</v>
      </c>
      <c r="X6" s="58">
        <v>0</v>
      </c>
      <c r="Y6" s="145">
        <f>1.35*12.5+SQRT(1.35^2+10^2)*12.5+1.35*10</f>
        <v>156.5089194071127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132"/>
    </row>
    <row r="7" spans="1:31" ht="50.1" customHeight="1" x14ac:dyDescent="0.3">
      <c r="A7" s="176"/>
      <c r="B7" s="5" t="s">
        <v>10</v>
      </c>
      <c r="C7" s="127">
        <v>0</v>
      </c>
      <c r="D7" s="86" t="s">
        <v>10</v>
      </c>
      <c r="E7" s="127">
        <v>0</v>
      </c>
      <c r="F7" s="86" t="s">
        <v>10</v>
      </c>
      <c r="G7" s="127">
        <v>0</v>
      </c>
      <c r="H7" s="86" t="s">
        <v>10</v>
      </c>
      <c r="I7" s="127">
        <f>(15+24)*6.2+13*2</f>
        <v>267.8</v>
      </c>
      <c r="J7" s="86" t="s">
        <v>10</v>
      </c>
      <c r="K7" s="127">
        <v>0</v>
      </c>
      <c r="L7" s="87" t="s">
        <v>10</v>
      </c>
      <c r="M7" s="88"/>
      <c r="N7" s="87" t="s">
        <v>10</v>
      </c>
      <c r="O7" s="88"/>
      <c r="P7" s="86" t="s">
        <v>10</v>
      </c>
      <c r="Q7" s="89">
        <v>0</v>
      </c>
      <c r="S7" s="143" t="s">
        <v>106</v>
      </c>
      <c r="T7" s="49" t="s">
        <v>60</v>
      </c>
      <c r="U7" s="146">
        <f t="shared" si="0"/>
        <v>0</v>
      </c>
      <c r="V7" s="147">
        <v>0</v>
      </c>
      <c r="W7" s="58">
        <v>0</v>
      </c>
      <c r="X7" s="58">
        <v>0</v>
      </c>
      <c r="Y7" s="145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</row>
    <row r="8" spans="1:31" ht="50.1" customHeight="1" thickBot="1" x14ac:dyDescent="0.35">
      <c r="A8" s="177"/>
      <c r="B8" s="7" t="s">
        <v>11</v>
      </c>
      <c r="C8" s="131">
        <v>0</v>
      </c>
      <c r="D8" s="90" t="s">
        <v>11</v>
      </c>
      <c r="E8" s="128">
        <v>0</v>
      </c>
      <c r="F8" s="90" t="s">
        <v>11</v>
      </c>
      <c r="G8" s="128">
        <v>0</v>
      </c>
      <c r="H8" s="90" t="s">
        <v>11</v>
      </c>
      <c r="I8" s="91">
        <f>24.88*6.2</f>
        <v>154.256</v>
      </c>
      <c r="J8" s="90" t="s">
        <v>11</v>
      </c>
      <c r="K8" s="128">
        <v>0</v>
      </c>
      <c r="L8" s="92" t="s">
        <v>11</v>
      </c>
      <c r="M8" s="93"/>
      <c r="N8" s="92" t="s">
        <v>11</v>
      </c>
      <c r="O8" s="93"/>
      <c r="P8" s="94" t="s">
        <v>11</v>
      </c>
      <c r="Q8" s="95">
        <f>6.25*5+3*3.25</f>
        <v>41</v>
      </c>
      <c r="S8" s="143" t="s">
        <v>107</v>
      </c>
      <c r="T8" s="49" t="s">
        <v>60</v>
      </c>
      <c r="U8" s="146">
        <f t="shared" si="0"/>
        <v>299.82891940711272</v>
      </c>
      <c r="V8" s="145">
        <f>V7+2.2*25*2+16.66*2</f>
        <v>143.32000000000002</v>
      </c>
      <c r="W8" s="58">
        <v>0</v>
      </c>
      <c r="X8" s="58">
        <v>0</v>
      </c>
      <c r="Y8" s="145">
        <f>1.35*12.5+SQRT(1.35^2+10^2)*12.5+1.35*10</f>
        <v>156.5089194071127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</row>
    <row r="9" spans="1:31" ht="50.1" customHeight="1" x14ac:dyDescent="0.3">
      <c r="A9" s="178" t="s">
        <v>16</v>
      </c>
      <c r="B9" s="6" t="s">
        <v>8</v>
      </c>
      <c r="C9" s="129">
        <v>0</v>
      </c>
      <c r="D9" s="96" t="s">
        <v>8</v>
      </c>
      <c r="E9" s="129">
        <f>(2.26*1)*7</f>
        <v>15.819999999999999</v>
      </c>
      <c r="F9" s="96" t="s">
        <v>8</v>
      </c>
      <c r="G9" s="129">
        <v>0</v>
      </c>
      <c r="H9" s="96" t="s">
        <v>8</v>
      </c>
      <c r="I9" s="97">
        <f>3*6.2</f>
        <v>18.600000000000001</v>
      </c>
      <c r="J9" s="96" t="s">
        <v>8</v>
      </c>
      <c r="K9" s="129">
        <v>0</v>
      </c>
      <c r="L9" s="98" t="s">
        <v>8</v>
      </c>
      <c r="M9" s="99"/>
      <c r="N9" s="98" t="s">
        <v>8</v>
      </c>
      <c r="O9" s="99"/>
      <c r="P9" s="100" t="s">
        <v>8</v>
      </c>
      <c r="Q9" s="122">
        <f>1.51*2+2*1.51</f>
        <v>6.04</v>
      </c>
      <c r="S9" s="143" t="s">
        <v>108</v>
      </c>
      <c r="T9" s="49" t="s">
        <v>60</v>
      </c>
      <c r="U9" s="146">
        <f t="shared" si="0"/>
        <v>21.658000000000001</v>
      </c>
      <c r="V9" s="147">
        <f>0.5*16.66*2.6</f>
        <v>21.658000000000001</v>
      </c>
      <c r="W9" s="58">
        <v>0</v>
      </c>
      <c r="X9" s="58">
        <v>0</v>
      </c>
      <c r="Y9" s="145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155" t="s">
        <v>64</v>
      </c>
    </row>
    <row r="10" spans="1:31" ht="50.1" customHeight="1" x14ac:dyDescent="0.3">
      <c r="A10" s="179"/>
      <c r="B10" s="5" t="s">
        <v>9</v>
      </c>
      <c r="C10" s="101">
        <f>C6-(2.5*6.5)</f>
        <v>172.25</v>
      </c>
      <c r="D10" s="102" t="s">
        <v>9</v>
      </c>
      <c r="E10" s="127">
        <v>0</v>
      </c>
      <c r="F10" s="102" t="s">
        <v>9</v>
      </c>
      <c r="G10" s="127">
        <v>0</v>
      </c>
      <c r="H10" s="102" t="s">
        <v>9</v>
      </c>
      <c r="I10" s="127">
        <v>0</v>
      </c>
      <c r="J10" s="102" t="s">
        <v>9</v>
      </c>
      <c r="K10" s="127">
        <v>0</v>
      </c>
      <c r="L10" s="87" t="s">
        <v>9</v>
      </c>
      <c r="M10" s="88"/>
      <c r="N10" s="87" t="s">
        <v>9</v>
      </c>
      <c r="O10" s="88"/>
      <c r="P10" s="86" t="s">
        <v>9</v>
      </c>
      <c r="Q10" s="123">
        <v>0</v>
      </c>
      <c r="S10" s="51" t="s">
        <v>61</v>
      </c>
      <c r="T10" s="49" t="s">
        <v>62</v>
      </c>
      <c r="U10" s="146">
        <f t="shared" si="0"/>
        <v>1000.6750000000001</v>
      </c>
      <c r="V10" s="145">
        <f>V5*2.2</f>
        <v>916.30000000000007</v>
      </c>
      <c r="W10" s="58">
        <v>0</v>
      </c>
      <c r="X10" s="58">
        <v>0</v>
      </c>
      <c r="Y10" s="145">
        <f>(10*12.5*1.35)/2</f>
        <v>84.375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47"/>
    </row>
    <row r="11" spans="1:31" ht="50.1" customHeight="1" x14ac:dyDescent="0.3">
      <c r="A11" s="179"/>
      <c r="B11" s="5" t="s">
        <v>10</v>
      </c>
      <c r="C11" s="127">
        <v>0</v>
      </c>
      <c r="D11" s="102" t="s">
        <v>10</v>
      </c>
      <c r="E11" s="127">
        <v>0</v>
      </c>
      <c r="F11" s="102" t="s">
        <v>10</v>
      </c>
      <c r="G11" s="127">
        <v>0</v>
      </c>
      <c r="H11" s="102" t="s">
        <v>10</v>
      </c>
      <c r="I11" s="101">
        <f>24*6.2+15*4+13*2</f>
        <v>234.8</v>
      </c>
      <c r="J11" s="102" t="s">
        <v>10</v>
      </c>
      <c r="K11" s="127">
        <v>0</v>
      </c>
      <c r="L11" s="87" t="s">
        <v>10</v>
      </c>
      <c r="M11" s="88"/>
      <c r="N11" s="87" t="s">
        <v>10</v>
      </c>
      <c r="O11" s="88"/>
      <c r="P11" s="86" t="s">
        <v>10</v>
      </c>
      <c r="Q11" s="123">
        <v>0</v>
      </c>
      <c r="S11" s="51" t="s">
        <v>63</v>
      </c>
      <c r="T11" s="49" t="s">
        <v>97</v>
      </c>
      <c r="U11" s="146"/>
      <c r="V11" s="58">
        <v>303.14999999999998</v>
      </c>
      <c r="W11" s="58">
        <v>0</v>
      </c>
      <c r="X11" s="58">
        <v>0</v>
      </c>
      <c r="Y11" s="58">
        <v>303.14999999999998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47"/>
    </row>
    <row r="12" spans="1:31" ht="50.1" customHeight="1" thickBot="1" x14ac:dyDescent="0.35">
      <c r="A12" s="180"/>
      <c r="B12" s="3" t="s">
        <v>11</v>
      </c>
      <c r="C12" s="128">
        <v>0</v>
      </c>
      <c r="D12" s="103" t="s">
        <v>11</v>
      </c>
      <c r="E12" s="128">
        <v>0</v>
      </c>
      <c r="F12" s="103" t="s">
        <v>11</v>
      </c>
      <c r="G12" s="128">
        <v>0</v>
      </c>
      <c r="H12" s="103" t="s">
        <v>11</v>
      </c>
      <c r="I12" s="128">
        <f>24.88*6.2</f>
        <v>154.256</v>
      </c>
      <c r="J12" s="103" t="s">
        <v>11</v>
      </c>
      <c r="K12" s="128">
        <v>0</v>
      </c>
      <c r="L12" s="92" t="s">
        <v>11</v>
      </c>
      <c r="M12" s="93"/>
      <c r="N12" s="92" t="s">
        <v>11</v>
      </c>
      <c r="O12" s="93"/>
      <c r="P12" s="90" t="s">
        <v>11</v>
      </c>
      <c r="Q12" s="124">
        <f>2.16*2*2</f>
        <v>8.64</v>
      </c>
      <c r="S12" s="51" t="s">
        <v>99</v>
      </c>
      <c r="T12" s="49" t="s">
        <v>100</v>
      </c>
      <c r="U12" s="146"/>
      <c r="V12" s="58">
        <f>2*25+2*16.66</f>
        <v>83.32</v>
      </c>
      <c r="W12" s="58">
        <v>0</v>
      </c>
      <c r="X12" s="58">
        <v>0</v>
      </c>
      <c r="Y12" s="58">
        <f>2*12.5+2*10</f>
        <v>45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47"/>
    </row>
    <row r="13" spans="1:31" ht="69.900000000000006" customHeight="1" thickBot="1" x14ac:dyDescent="0.35">
      <c r="A13" s="28" t="s">
        <v>42</v>
      </c>
      <c r="B13" s="2"/>
      <c r="C13" s="104">
        <f>29*8.5</f>
        <v>246.5</v>
      </c>
      <c r="D13" s="105"/>
      <c r="E13" s="104">
        <f>8.5*31.5</f>
        <v>267.75</v>
      </c>
      <c r="F13" s="106"/>
      <c r="G13" s="136">
        <f>8*31.5</f>
        <v>252</v>
      </c>
      <c r="H13" s="107"/>
      <c r="I13" s="104">
        <f>53*25</f>
        <v>1325</v>
      </c>
      <c r="J13" s="107"/>
      <c r="K13" s="104">
        <v>0</v>
      </c>
      <c r="L13" s="109"/>
      <c r="M13" s="110"/>
      <c r="N13" s="109"/>
      <c r="O13" s="110"/>
      <c r="P13" s="111"/>
      <c r="Q13" s="125">
        <f>8*17.2</f>
        <v>137.6</v>
      </c>
      <c r="R13" s="56"/>
      <c r="S13" s="51" t="s">
        <v>111</v>
      </c>
      <c r="T13" s="49" t="s">
        <v>100</v>
      </c>
      <c r="U13" s="146"/>
      <c r="V13" s="58">
        <f>IF(V5&gt;0,V10/V5,0)</f>
        <v>2.2000000000000002</v>
      </c>
      <c r="W13" s="58">
        <f t="shared" ref="W13:AD13" si="1">IF(W5&gt;0,W10/W5,0)</f>
        <v>0</v>
      </c>
      <c r="X13" s="58">
        <f t="shared" si="1"/>
        <v>0</v>
      </c>
      <c r="Y13" s="58">
        <f t="shared" si="1"/>
        <v>0.67500000000000004</v>
      </c>
      <c r="Z13" s="58">
        <f t="shared" si="1"/>
        <v>0</v>
      </c>
      <c r="AA13" s="58">
        <f t="shared" si="1"/>
        <v>0</v>
      </c>
      <c r="AB13" s="58">
        <f t="shared" si="1"/>
        <v>0</v>
      </c>
      <c r="AC13" s="58">
        <f t="shared" si="1"/>
        <v>0</v>
      </c>
      <c r="AD13" s="58">
        <f t="shared" si="1"/>
        <v>0</v>
      </c>
      <c r="AE13" s="47"/>
    </row>
    <row r="14" spans="1:31" ht="69.900000000000006" customHeight="1" thickBot="1" x14ac:dyDescent="0.35">
      <c r="A14" s="28" t="s">
        <v>17</v>
      </c>
      <c r="B14" s="2"/>
      <c r="C14" s="130">
        <v>0</v>
      </c>
      <c r="D14" s="113"/>
      <c r="E14" s="130">
        <v>0</v>
      </c>
      <c r="F14" s="107"/>
      <c r="G14" s="130">
        <v>0</v>
      </c>
      <c r="H14" s="107"/>
      <c r="I14" s="130">
        <v>0</v>
      </c>
      <c r="J14" s="107"/>
      <c r="K14" s="130">
        <v>0</v>
      </c>
      <c r="L14" s="109"/>
      <c r="M14" s="110"/>
      <c r="N14" s="109"/>
      <c r="O14" s="110"/>
      <c r="P14" s="111"/>
      <c r="Q14" s="125">
        <v>0</v>
      </c>
      <c r="S14" s="51" t="s">
        <v>125</v>
      </c>
      <c r="T14" s="160" t="s">
        <v>126</v>
      </c>
      <c r="U14" s="146"/>
      <c r="V14" s="159">
        <v>10</v>
      </c>
      <c r="W14" s="159">
        <v>0</v>
      </c>
      <c r="X14" s="159">
        <v>0</v>
      </c>
      <c r="Y14" s="159">
        <v>0</v>
      </c>
      <c r="Z14" s="159">
        <v>0</v>
      </c>
      <c r="AA14" s="159">
        <v>0</v>
      </c>
      <c r="AB14" s="159">
        <v>0</v>
      </c>
      <c r="AC14" s="159">
        <v>0</v>
      </c>
      <c r="AD14" s="159">
        <v>0</v>
      </c>
    </row>
    <row r="15" spans="1:31" ht="69.900000000000006" customHeight="1" thickBot="1" x14ac:dyDescent="0.35">
      <c r="A15" s="29" t="s">
        <v>90</v>
      </c>
      <c r="B15" s="2"/>
      <c r="C15" s="108">
        <f>29*8.5</f>
        <v>246.5</v>
      </c>
      <c r="D15" s="113"/>
      <c r="E15" s="104">
        <f>8.5*31.5</f>
        <v>267.75</v>
      </c>
      <c r="F15" s="107"/>
      <c r="G15" s="108">
        <f>8*31.5</f>
        <v>252</v>
      </c>
      <c r="H15" s="107"/>
      <c r="I15" s="108">
        <f>1325-(12.5*10+9.26*25+25*16.66)</f>
        <v>552</v>
      </c>
      <c r="J15" s="107"/>
      <c r="K15" s="108">
        <v>0</v>
      </c>
      <c r="L15" s="109"/>
      <c r="M15" s="110"/>
      <c r="N15" s="109"/>
      <c r="O15" s="110"/>
      <c r="P15" s="111"/>
      <c r="Q15" s="142">
        <f>17.2*8+9.26*25+2.23*(25+9.26+9.26)</f>
        <v>466.14960000000002</v>
      </c>
      <c r="R15" s="132"/>
      <c r="S15" s="51" t="s">
        <v>130</v>
      </c>
      <c r="T15" s="160" t="s">
        <v>102</v>
      </c>
      <c r="U15" s="146"/>
      <c r="V15" s="58" t="s">
        <v>131</v>
      </c>
      <c r="W15" s="58" t="s">
        <v>132</v>
      </c>
      <c r="X15" s="58" t="s">
        <v>132</v>
      </c>
      <c r="Y15" s="58" t="s">
        <v>132</v>
      </c>
      <c r="Z15" s="58" t="s">
        <v>132</v>
      </c>
      <c r="AA15" s="58" t="s">
        <v>132</v>
      </c>
      <c r="AB15" s="58" t="s">
        <v>132</v>
      </c>
      <c r="AC15" s="58" t="s">
        <v>132</v>
      </c>
      <c r="AD15" s="58" t="s">
        <v>132</v>
      </c>
    </row>
    <row r="16" spans="1:31" ht="69.900000000000006" customHeight="1" thickBot="1" x14ac:dyDescent="0.35">
      <c r="A16" s="133" t="s">
        <v>89</v>
      </c>
      <c r="B16" s="137"/>
      <c r="C16" s="121">
        <f>6.2*((C17/8.51)*0.5+8.51*0.5+8.51) + 6.2*(3.885+5.165)</f>
        <v>225.04735957696826</v>
      </c>
      <c r="D16" s="138"/>
      <c r="E16" s="121">
        <f>(31.5*0.5+8.5)*3.25</f>
        <v>78.8125</v>
      </c>
      <c r="F16" s="139"/>
      <c r="G16" s="121">
        <f>3.25*(31.5+8+8+(7*8)+(2*8))</f>
        <v>388.375</v>
      </c>
      <c r="H16" s="139"/>
      <c r="I16" s="121">
        <f>6.2*(25*0.5+43*0.5+14)</f>
        <v>297.60000000000002</v>
      </c>
      <c r="J16" s="139"/>
      <c r="K16" s="121">
        <f>(21.2/2)*4*3.25</f>
        <v>137.79999999999998</v>
      </c>
      <c r="L16" s="109"/>
      <c r="M16" s="110"/>
      <c r="N16" s="109"/>
      <c r="O16" s="110"/>
      <c r="P16" s="140"/>
      <c r="Q16" s="135">
        <f>0.5*16.66*2.23+(25-16.66)*2.23+17.2*6.25+8*6.25*2</f>
        <v>244.67410000000001</v>
      </c>
      <c r="S16" s="51" t="s">
        <v>101</v>
      </c>
      <c r="T16" s="49" t="s">
        <v>102</v>
      </c>
      <c r="U16" s="146"/>
      <c r="V16" s="58" t="s">
        <v>123</v>
      </c>
      <c r="W16" s="58" t="s">
        <v>124</v>
      </c>
      <c r="X16" s="58" t="s">
        <v>124</v>
      </c>
      <c r="Y16" s="58" t="s">
        <v>124</v>
      </c>
      <c r="Z16" s="58" t="s">
        <v>124</v>
      </c>
      <c r="AA16" s="58" t="s">
        <v>124</v>
      </c>
      <c r="AB16" s="58" t="s">
        <v>124</v>
      </c>
      <c r="AC16" s="58" t="s">
        <v>124</v>
      </c>
      <c r="AD16" s="58" t="s">
        <v>124</v>
      </c>
    </row>
    <row r="17" spans="1:32" ht="69.900000000000006" customHeight="1" thickBot="1" x14ac:dyDescent="0.35">
      <c r="A17" s="29" t="s">
        <v>45</v>
      </c>
      <c r="B17" s="2"/>
      <c r="C17" s="108">
        <f>29*8.5</f>
        <v>246.5</v>
      </c>
      <c r="D17" s="113"/>
      <c r="E17" s="104">
        <f>8.5*31.5</f>
        <v>267.75</v>
      </c>
      <c r="F17" s="107"/>
      <c r="G17" s="108">
        <f>8*31.5</f>
        <v>252</v>
      </c>
      <c r="H17" s="107"/>
      <c r="I17" s="104">
        <f>53*25</f>
        <v>1325</v>
      </c>
      <c r="J17" s="107"/>
      <c r="K17" s="104">
        <f>11.79+9.41</f>
        <v>21.2</v>
      </c>
      <c r="L17" s="109"/>
      <c r="M17" s="110"/>
      <c r="N17" s="109"/>
      <c r="O17" s="110"/>
      <c r="P17" s="111"/>
      <c r="Q17" s="112">
        <f>8*17.2+9.26*25</f>
        <v>369.1</v>
      </c>
      <c r="R17" s="30"/>
      <c r="S17" s="51" t="s">
        <v>133</v>
      </c>
      <c r="T17" s="49" t="s">
        <v>102</v>
      </c>
      <c r="U17" s="146"/>
      <c r="V17" s="58" t="s">
        <v>121</v>
      </c>
      <c r="W17" s="58" t="s">
        <v>122</v>
      </c>
      <c r="X17" s="58" t="s">
        <v>122</v>
      </c>
      <c r="Y17" s="58" t="s">
        <v>122</v>
      </c>
      <c r="Z17" s="58" t="s">
        <v>122</v>
      </c>
      <c r="AA17" s="58" t="s">
        <v>122</v>
      </c>
      <c r="AB17" s="58" t="s">
        <v>122</v>
      </c>
      <c r="AC17" s="58" t="s">
        <v>122</v>
      </c>
      <c r="AD17" s="58" t="s">
        <v>122</v>
      </c>
    </row>
    <row r="18" spans="1:32" ht="69.900000000000006" customHeight="1" thickBot="1" x14ac:dyDescent="0.35">
      <c r="A18" s="133" t="s">
        <v>87</v>
      </c>
      <c r="B18" s="137"/>
      <c r="C18" s="121">
        <v>0</v>
      </c>
      <c r="D18" s="138"/>
      <c r="E18" s="121">
        <v>0</v>
      </c>
      <c r="F18" s="139"/>
      <c r="G18" s="134">
        <f>8*31.5</f>
        <v>252</v>
      </c>
      <c r="H18" s="139"/>
      <c r="I18" s="121">
        <v>0</v>
      </c>
      <c r="J18" s="139"/>
      <c r="K18" s="121">
        <f>11.79+9.41</f>
        <v>21.2</v>
      </c>
      <c r="L18" s="109"/>
      <c r="M18" s="110"/>
      <c r="N18" s="109"/>
      <c r="O18" s="118"/>
      <c r="P18" s="140"/>
      <c r="Q18" s="141">
        <f>25*9.26</f>
        <v>231.5</v>
      </c>
      <c r="R18" s="30"/>
      <c r="S18" s="51" t="s">
        <v>114</v>
      </c>
      <c r="T18" s="49" t="s">
        <v>98</v>
      </c>
      <c r="U18" s="146"/>
      <c r="V18" s="58" t="s">
        <v>112</v>
      </c>
      <c r="W18" s="58" t="s">
        <v>113</v>
      </c>
      <c r="X18" s="58" t="s">
        <v>113</v>
      </c>
      <c r="Y18" s="58" t="s">
        <v>113</v>
      </c>
      <c r="Z18" s="58" t="s">
        <v>113</v>
      </c>
      <c r="AA18" s="58" t="s">
        <v>113</v>
      </c>
      <c r="AB18" s="58" t="s">
        <v>113</v>
      </c>
      <c r="AC18" s="58" t="s">
        <v>113</v>
      </c>
      <c r="AD18" s="58" t="s">
        <v>113</v>
      </c>
    </row>
    <row r="19" spans="1:32" ht="69.900000000000006" customHeight="1" thickBot="1" x14ac:dyDescent="0.35">
      <c r="A19" s="37" t="s">
        <v>88</v>
      </c>
      <c r="B19" s="1"/>
      <c r="C19" s="114">
        <v>0</v>
      </c>
      <c r="D19" s="115"/>
      <c r="E19" s="121">
        <v>0</v>
      </c>
      <c r="F19" s="116"/>
      <c r="G19" s="114">
        <v>0</v>
      </c>
      <c r="H19" s="116"/>
      <c r="I19" s="134">
        <f>9.26*25</f>
        <v>231.5</v>
      </c>
      <c r="J19" s="116"/>
      <c r="K19" s="121">
        <f>11.79+9.41</f>
        <v>21.2</v>
      </c>
      <c r="L19" s="117"/>
      <c r="M19" s="118"/>
      <c r="N19" s="117"/>
      <c r="O19" s="118"/>
      <c r="P19" s="119"/>
      <c r="Q19" s="120">
        <v>0</v>
      </c>
      <c r="R19" s="30"/>
      <c r="S19" s="51" t="s">
        <v>116</v>
      </c>
      <c r="T19" s="49" t="s">
        <v>103</v>
      </c>
      <c r="U19" s="146"/>
      <c r="V19" s="145">
        <v>0.8</v>
      </c>
      <c r="W19" s="145">
        <v>0</v>
      </c>
      <c r="X19" s="145">
        <v>0</v>
      </c>
      <c r="Y19" s="145">
        <v>0</v>
      </c>
      <c r="Z19" s="145">
        <v>0</v>
      </c>
      <c r="AA19" s="145">
        <v>0</v>
      </c>
      <c r="AB19" s="145">
        <v>0</v>
      </c>
      <c r="AC19" s="145">
        <v>0</v>
      </c>
      <c r="AD19" s="145">
        <v>0</v>
      </c>
      <c r="AF19" s="161"/>
    </row>
    <row r="20" spans="1:32" ht="69.900000000000006" customHeight="1" x14ac:dyDescent="0.3">
      <c r="A20" s="37" t="s">
        <v>18</v>
      </c>
      <c r="B20" s="1"/>
      <c r="C20" s="121">
        <f>C17*6.2</f>
        <v>1528.3</v>
      </c>
      <c r="D20" s="115"/>
      <c r="E20" s="121">
        <f>E17*3.6</f>
        <v>963.9</v>
      </c>
      <c r="F20" s="116"/>
      <c r="G20" s="121">
        <f>G17*3.25</f>
        <v>819</v>
      </c>
      <c r="H20" s="116"/>
      <c r="I20" s="121">
        <f>I17*6.2</f>
        <v>8215</v>
      </c>
      <c r="J20" s="116"/>
      <c r="K20" s="121">
        <f>K17*3.25</f>
        <v>68.899999999999991</v>
      </c>
      <c r="L20" s="117"/>
      <c r="M20" s="118"/>
      <c r="N20" s="117"/>
      <c r="O20" s="118"/>
      <c r="P20" s="119"/>
      <c r="Q20" s="120">
        <f>25*9.26*2.23+17.2*9*4.75</f>
        <v>1251.5450000000001</v>
      </c>
      <c r="S20" s="51" t="s">
        <v>136</v>
      </c>
      <c r="T20" s="49" t="s">
        <v>103</v>
      </c>
      <c r="U20" s="146"/>
      <c r="V20" s="145">
        <v>30</v>
      </c>
      <c r="W20" s="145">
        <v>0</v>
      </c>
      <c r="X20" s="145">
        <v>0</v>
      </c>
      <c r="Y20" s="145">
        <v>0</v>
      </c>
      <c r="Z20" s="145">
        <v>0</v>
      </c>
      <c r="AA20" s="145">
        <v>0</v>
      </c>
      <c r="AB20" s="145">
        <v>0</v>
      </c>
      <c r="AC20" s="145">
        <v>0</v>
      </c>
      <c r="AD20" s="145">
        <v>0</v>
      </c>
      <c r="AF20" s="161"/>
    </row>
    <row r="21" spans="1:32" ht="58.8" customHeight="1" x14ac:dyDescent="0.3">
      <c r="A21" s="156"/>
      <c r="B21" s="156"/>
      <c r="C21" s="38"/>
      <c r="D21" s="156"/>
      <c r="E21" s="38"/>
      <c r="F21" s="39"/>
      <c r="G21" s="38"/>
      <c r="H21" s="39"/>
      <c r="I21" s="31"/>
      <c r="J21" s="39"/>
      <c r="K21" s="31"/>
      <c r="L21" s="32"/>
      <c r="M21" s="32"/>
      <c r="N21" s="32"/>
      <c r="O21" s="32"/>
      <c r="P21" s="33"/>
      <c r="Q21" s="31"/>
      <c r="R21" s="34"/>
      <c r="S21" s="51" t="s">
        <v>115</v>
      </c>
      <c r="T21" s="49" t="s">
        <v>98</v>
      </c>
      <c r="U21" s="146"/>
      <c r="V21" s="58" t="s">
        <v>112</v>
      </c>
      <c r="W21" s="58" t="s">
        <v>113</v>
      </c>
      <c r="X21" s="58" t="s">
        <v>113</v>
      </c>
      <c r="Y21" s="58" t="s">
        <v>113</v>
      </c>
      <c r="Z21" s="58" t="s">
        <v>113</v>
      </c>
      <c r="AA21" s="58" t="s">
        <v>113</v>
      </c>
      <c r="AB21" s="58" t="s">
        <v>113</v>
      </c>
      <c r="AC21" s="58" t="s">
        <v>113</v>
      </c>
      <c r="AD21" s="58" t="s">
        <v>113</v>
      </c>
      <c r="AF21" s="161"/>
    </row>
    <row r="22" spans="1:32" ht="54.6" customHeight="1" x14ac:dyDescent="0.3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38"/>
      <c r="S22" s="51" t="s">
        <v>135</v>
      </c>
      <c r="T22" s="160" t="s">
        <v>134</v>
      </c>
      <c r="U22" s="146"/>
      <c r="V22" s="159">
        <v>100</v>
      </c>
      <c r="W22" s="159">
        <v>0</v>
      </c>
      <c r="X22" s="159">
        <v>0</v>
      </c>
      <c r="Y22" s="159">
        <v>70</v>
      </c>
      <c r="Z22" s="159">
        <v>0</v>
      </c>
      <c r="AA22" s="159">
        <v>0</v>
      </c>
      <c r="AB22" s="159">
        <v>0</v>
      </c>
      <c r="AC22" s="159">
        <v>0</v>
      </c>
      <c r="AD22" s="159">
        <v>0</v>
      </c>
      <c r="AF22" s="161"/>
    </row>
    <row r="23" spans="1:32" ht="57.6" customHeight="1" x14ac:dyDescent="0.3">
      <c r="A23" s="40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38"/>
      <c r="S23" s="51" t="s">
        <v>110</v>
      </c>
      <c r="T23" s="49" t="s">
        <v>98</v>
      </c>
      <c r="U23" s="146"/>
      <c r="V23" s="58" t="s">
        <v>112</v>
      </c>
      <c r="W23" s="58" t="s">
        <v>113</v>
      </c>
      <c r="X23" s="58" t="s">
        <v>113</v>
      </c>
      <c r="Y23" s="58" t="s">
        <v>113</v>
      </c>
      <c r="Z23" s="58" t="s">
        <v>113</v>
      </c>
      <c r="AA23" s="58" t="s">
        <v>113</v>
      </c>
      <c r="AB23" s="58" t="s">
        <v>113</v>
      </c>
      <c r="AC23" s="58" t="s">
        <v>113</v>
      </c>
      <c r="AD23" s="58" t="s">
        <v>113</v>
      </c>
      <c r="AF23" s="161"/>
    </row>
    <row r="24" spans="1:32" ht="57.6" customHeight="1" x14ac:dyDescent="0.3">
      <c r="A24" s="40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38"/>
      <c r="S24" s="51" t="s">
        <v>127</v>
      </c>
      <c r="T24" s="49" t="s">
        <v>98</v>
      </c>
      <c r="U24" s="146"/>
      <c r="V24" s="58" t="s">
        <v>112</v>
      </c>
      <c r="W24" s="58" t="s">
        <v>113</v>
      </c>
      <c r="X24" s="58" t="s">
        <v>113</v>
      </c>
      <c r="Y24" s="58" t="s">
        <v>113</v>
      </c>
      <c r="Z24" s="58" t="s">
        <v>113</v>
      </c>
      <c r="AA24" s="58" t="s">
        <v>113</v>
      </c>
      <c r="AB24" s="58" t="s">
        <v>113</v>
      </c>
      <c r="AC24" s="58" t="s">
        <v>113</v>
      </c>
      <c r="AD24" s="58" t="s">
        <v>113</v>
      </c>
    </row>
    <row r="25" spans="1:32" ht="53.4" customHeight="1" x14ac:dyDescent="0.3">
      <c r="A25" s="40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38"/>
      <c r="S25" s="51" t="s">
        <v>128</v>
      </c>
      <c r="T25" s="49" t="s">
        <v>100</v>
      </c>
      <c r="U25" s="146"/>
      <c r="V25" s="58">
        <v>1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</row>
    <row r="26" spans="1:32" ht="43.8" customHeight="1" x14ac:dyDescent="0.3">
      <c r="S26" s="51" t="s">
        <v>129</v>
      </c>
      <c r="T26" s="49" t="s">
        <v>100</v>
      </c>
      <c r="U26" s="146"/>
      <c r="V26" s="58">
        <v>3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</row>
    <row r="27" spans="1:32" ht="43.8" customHeight="1" x14ac:dyDescent="0.3"/>
    <row r="28" spans="1:32" ht="46.8" customHeight="1" x14ac:dyDescent="0.3"/>
    <row r="29" spans="1:32" ht="44.4" customHeight="1" x14ac:dyDescent="0.3"/>
    <row r="30" spans="1:32" ht="46.8" customHeight="1" x14ac:dyDescent="0.3"/>
  </sheetData>
  <mergeCells count="21">
    <mergeCell ref="A1:Q1"/>
    <mergeCell ref="N4:O4"/>
    <mergeCell ref="P4:Q4"/>
    <mergeCell ref="N3:O3"/>
    <mergeCell ref="P3:Q3"/>
    <mergeCell ref="H3:I3"/>
    <mergeCell ref="J3:K3"/>
    <mergeCell ref="L3:M3"/>
    <mergeCell ref="A5:A8"/>
    <mergeCell ref="A9:A12"/>
    <mergeCell ref="B3:C3"/>
    <mergeCell ref="D3:E3"/>
    <mergeCell ref="F3:G3"/>
    <mergeCell ref="B4:C4"/>
    <mergeCell ref="S3:T3"/>
    <mergeCell ref="S4:T4"/>
    <mergeCell ref="H4:I4"/>
    <mergeCell ref="D4:E4"/>
    <mergeCell ref="F4:G4"/>
    <mergeCell ref="J4:K4"/>
    <mergeCell ref="L4:M4"/>
  </mergeCells>
  <conditionalFormatting sqref="B23">
    <cfRule type="cellIs" dxfId="2" priority="3" operator="equal">
      <formula>TRUE</formula>
    </cfRule>
  </conditionalFormatting>
  <conditionalFormatting sqref="C24">
    <cfRule type="cellIs" dxfId="1" priority="2" operator="equal">
      <formula>TRUE</formula>
    </cfRule>
  </conditionalFormatting>
  <conditionalFormatting sqref="E24">
    <cfRule type="cellIs" dxfId="0" priority="1" operator="equal">
      <formula>TRUE</formula>
    </cfRule>
  </conditionalFormatting>
  <dataValidations count="4">
    <dataValidation type="list" allowBlank="1" showInputMessage="1" showErrorMessage="1" sqref="V18:AD18 V21:AD21 V23:AD24" xr:uid="{45BA5B33-2983-4223-B859-793570591E1A}">
      <formula1>"True, False"</formula1>
    </dataValidation>
    <dataValidation type="list" allowBlank="1" showInputMessage="1" showErrorMessage="1" sqref="V16:AD16" xr:uid="{6620303C-CAC9-4AAC-83D0-D6E818FFE2A0}">
      <formula1>"ohne Ozon, mit Ozon, mit Ultrafiltration, mit Brom"</formula1>
    </dataValidation>
    <dataValidation type="list" allowBlank="1" showInputMessage="1" showErrorMessage="1" sqref="V15:AD15" xr:uid="{B68B0368-0677-4929-8236-B6A66D68707F}">
      <formula1>"Aktivkohlefilter mit Ozon, geschlossener Schnellfilter, geschlossener Sorptionsfilter, offener Schnellfilter, offener Saugfilter, Quantozonfilter, Quarzkiesfilter, Zweischichtfilter, Zweischichtfilter mit Ozon"</formula1>
    </dataValidation>
    <dataValidation type="list" allowBlank="1" showInputMessage="1" showErrorMessage="1" sqref="V17:AD17" xr:uid="{B29952C6-BB82-4091-95D2-7433887FFB28}">
      <formula1>"Salzwasser, Süßwasser"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6 E16 C16 V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P47"/>
  <sheetViews>
    <sheetView zoomScale="90" zoomScaleNormal="90" workbookViewId="0">
      <selection activeCell="C37" sqref="C37"/>
    </sheetView>
  </sheetViews>
  <sheetFormatPr baseColWidth="10" defaultColWidth="9.109375" defaultRowHeight="14.4" x14ac:dyDescent="0.3"/>
  <cols>
    <col min="1" max="1" width="36.44140625" style="8" customWidth="1"/>
    <col min="2" max="3" width="16.88671875" style="8" customWidth="1"/>
    <col min="4" max="4" width="33.109375" style="8" customWidth="1"/>
    <col min="5" max="5" width="12.6640625" style="43" customWidth="1"/>
    <col min="6" max="6" width="46.88671875" style="8" customWidth="1"/>
    <col min="7" max="8" width="27.109375" style="54" customWidth="1"/>
    <col min="9" max="9" width="16.88671875" style="8" customWidth="1"/>
    <col min="10" max="10" width="0" style="8" hidden="1" customWidth="1"/>
    <col min="11" max="11" width="8.44140625" style="8" hidden="1" customWidth="1"/>
    <col min="12" max="13" width="0" style="8" hidden="1" customWidth="1"/>
    <col min="14" max="16384" width="9.109375" style="8"/>
  </cols>
  <sheetData>
    <row r="1" spans="1:16" x14ac:dyDescent="0.3">
      <c r="A1" s="196" t="s">
        <v>35</v>
      </c>
      <c r="B1" s="196"/>
      <c r="C1" s="196"/>
      <c r="D1" s="196"/>
      <c r="E1" s="44"/>
      <c r="F1" s="14"/>
      <c r="G1" s="55"/>
      <c r="H1" s="55"/>
      <c r="I1" s="14"/>
    </row>
    <row r="2" spans="1:16" s="23" customFormat="1" ht="44.25" customHeight="1" x14ac:dyDescent="0.3">
      <c r="A2" s="21" t="s">
        <v>19</v>
      </c>
      <c r="B2" s="21" t="s">
        <v>43</v>
      </c>
      <c r="C2" s="21" t="s">
        <v>85</v>
      </c>
      <c r="D2" s="21" t="s">
        <v>20</v>
      </c>
      <c r="E2" s="22" t="s">
        <v>21</v>
      </c>
      <c r="F2" s="21" t="s">
        <v>91</v>
      </c>
      <c r="G2" s="21" t="s">
        <v>92</v>
      </c>
      <c r="H2" s="21" t="s">
        <v>93</v>
      </c>
      <c r="I2" s="21" t="s">
        <v>94</v>
      </c>
      <c r="J2" s="149" t="s">
        <v>22</v>
      </c>
      <c r="K2" s="149" t="s">
        <v>23</v>
      </c>
      <c r="L2" s="149" t="s">
        <v>24</v>
      </c>
      <c r="M2" s="149" t="s">
        <v>25</v>
      </c>
    </row>
    <row r="3" spans="1:16" ht="16.8" thickBot="1" x14ac:dyDescent="0.35">
      <c r="A3" s="9"/>
      <c r="B3" s="10"/>
      <c r="C3" s="10"/>
      <c r="D3" s="10" t="s">
        <v>73</v>
      </c>
      <c r="E3" s="11" t="s">
        <v>26</v>
      </c>
      <c r="F3" s="9"/>
      <c r="G3" s="11" t="s">
        <v>31</v>
      </c>
      <c r="H3" s="11" t="s">
        <v>78</v>
      </c>
      <c r="I3" s="11" t="s">
        <v>79</v>
      </c>
      <c r="J3" s="9"/>
      <c r="K3" s="9"/>
      <c r="L3" s="9"/>
      <c r="M3" s="9"/>
    </row>
    <row r="4" spans="1:16" ht="15" customHeight="1" x14ac:dyDescent="0.3">
      <c r="A4" s="197" t="s">
        <v>69</v>
      </c>
      <c r="B4" s="46"/>
      <c r="C4" s="46"/>
      <c r="D4" s="12">
        <v>0</v>
      </c>
      <c r="E4" s="61">
        <v>25</v>
      </c>
      <c r="F4" t="s">
        <v>74</v>
      </c>
      <c r="G4" s="62">
        <v>1.9375</v>
      </c>
      <c r="H4" s="62">
        <v>2104.1999999999998</v>
      </c>
      <c r="I4" s="62">
        <v>0.77584580000000003</v>
      </c>
      <c r="J4" s="194" t="s">
        <v>27</v>
      </c>
      <c r="K4" s="194" t="s">
        <v>28</v>
      </c>
      <c r="L4" s="194" t="s">
        <v>27</v>
      </c>
      <c r="M4" s="194" t="s">
        <v>29</v>
      </c>
    </row>
    <row r="5" spans="1:16" x14ac:dyDescent="0.3">
      <c r="A5" s="194"/>
      <c r="B5" s="46"/>
      <c r="C5" s="46"/>
      <c r="D5" s="12">
        <v>1</v>
      </c>
      <c r="E5" s="61">
        <v>16</v>
      </c>
      <c r="F5" t="s">
        <v>75</v>
      </c>
      <c r="G5" s="61">
        <v>0.04</v>
      </c>
      <c r="H5" s="62">
        <v>31</v>
      </c>
      <c r="I5" s="62">
        <v>1.45</v>
      </c>
      <c r="J5" s="194"/>
      <c r="K5" s="194"/>
      <c r="L5" s="194"/>
      <c r="M5" s="194"/>
    </row>
    <row r="6" spans="1:16" x14ac:dyDescent="0.3">
      <c r="A6" s="194"/>
      <c r="B6" s="46"/>
      <c r="C6" s="46"/>
      <c r="D6" s="12">
        <v>2</v>
      </c>
      <c r="E6" s="61">
        <v>0.5</v>
      </c>
      <c r="F6" t="s">
        <v>76</v>
      </c>
      <c r="G6" s="62">
        <v>0.7</v>
      </c>
      <c r="H6" s="62">
        <v>1645</v>
      </c>
      <c r="I6" s="62">
        <v>10</v>
      </c>
      <c r="J6" s="194"/>
      <c r="K6" s="194"/>
      <c r="L6" s="194"/>
      <c r="M6" s="194"/>
    </row>
    <row r="7" spans="1:16" x14ac:dyDescent="0.3">
      <c r="A7" s="194"/>
      <c r="B7" s="46"/>
      <c r="C7" s="46"/>
      <c r="D7" s="12">
        <v>3</v>
      </c>
      <c r="E7" s="61">
        <v>0.3</v>
      </c>
      <c r="F7" t="s">
        <v>77</v>
      </c>
      <c r="G7" s="61">
        <v>0.7</v>
      </c>
      <c r="H7" s="62">
        <v>1690</v>
      </c>
      <c r="I7" s="62">
        <v>1</v>
      </c>
      <c r="J7" s="194"/>
      <c r="K7" s="194"/>
      <c r="L7" s="194"/>
      <c r="M7" s="194"/>
    </row>
    <row r="8" spans="1:16" x14ac:dyDescent="0.3">
      <c r="A8" s="194"/>
      <c r="B8" s="46"/>
      <c r="C8" s="46"/>
      <c r="D8" s="12">
        <v>4</v>
      </c>
      <c r="J8" s="194"/>
      <c r="K8" s="194"/>
      <c r="L8" s="194"/>
      <c r="M8" s="194"/>
    </row>
    <row r="9" spans="1:16" x14ac:dyDescent="0.3">
      <c r="A9" s="195"/>
      <c r="B9" s="45"/>
      <c r="C9" s="45"/>
      <c r="D9" s="13">
        <v>5</v>
      </c>
      <c r="H9" s="55"/>
      <c r="I9" s="55"/>
      <c r="J9" s="195"/>
      <c r="K9" s="195"/>
      <c r="L9" s="195"/>
      <c r="M9" s="195"/>
    </row>
    <row r="10" spans="1:16" ht="16.5" customHeight="1" x14ac:dyDescent="0.3">
      <c r="A10" s="192" t="s">
        <v>70</v>
      </c>
      <c r="B10" s="41"/>
      <c r="C10" s="52"/>
      <c r="D10" s="15">
        <v>0</v>
      </c>
      <c r="E10" s="63">
        <v>12.5</v>
      </c>
      <c r="F10" s="20" t="s">
        <v>30</v>
      </c>
      <c r="G10" s="52"/>
      <c r="H10" s="52"/>
      <c r="I10" s="12"/>
      <c r="J10" s="192" t="s">
        <v>27</v>
      </c>
      <c r="K10" s="192" t="s">
        <v>28</v>
      </c>
      <c r="L10" s="192" t="s">
        <v>27</v>
      </c>
      <c r="M10" s="192" t="s">
        <v>29</v>
      </c>
      <c r="N10" s="198" t="s">
        <v>83</v>
      </c>
      <c r="O10" s="198"/>
      <c r="P10" s="198"/>
    </row>
    <row r="11" spans="1:16" x14ac:dyDescent="0.3">
      <c r="A11" s="193"/>
      <c r="B11" s="42"/>
      <c r="C11" s="53"/>
      <c r="D11" s="18">
        <v>1</v>
      </c>
      <c r="E11" s="42">
        <v>7</v>
      </c>
      <c r="F11" t="s">
        <v>33</v>
      </c>
      <c r="G11" s="53"/>
      <c r="H11" s="53"/>
      <c r="I11" s="12"/>
      <c r="J11" s="193"/>
      <c r="K11" s="193"/>
      <c r="L11" s="193"/>
      <c r="M11" s="193"/>
      <c r="N11" s="198"/>
      <c r="O11" s="198"/>
      <c r="P11" s="198"/>
    </row>
    <row r="12" spans="1:16" x14ac:dyDescent="0.3">
      <c r="A12" s="193"/>
      <c r="B12" s="42"/>
      <c r="C12" s="53"/>
      <c r="D12" s="12">
        <v>2</v>
      </c>
      <c r="E12" s="43">
        <v>12.5</v>
      </c>
      <c r="F12" t="s">
        <v>30</v>
      </c>
      <c r="I12" s="12"/>
      <c r="J12" s="194"/>
      <c r="K12" s="194"/>
      <c r="L12" s="194"/>
      <c r="M12" s="194"/>
      <c r="N12" s="198"/>
      <c r="O12" s="198"/>
      <c r="P12" s="198"/>
    </row>
    <row r="13" spans="1:16" x14ac:dyDescent="0.3">
      <c r="A13" s="193"/>
      <c r="B13" s="42"/>
      <c r="C13" s="53"/>
      <c r="D13" s="12">
        <v>3</v>
      </c>
      <c r="E13" s="42"/>
      <c r="F13"/>
      <c r="G13" s="53"/>
      <c r="H13" s="53"/>
      <c r="I13" s="12"/>
      <c r="J13" s="194"/>
      <c r="K13" s="194"/>
      <c r="L13" s="194"/>
      <c r="M13" s="194"/>
      <c r="N13" s="198"/>
      <c r="O13" s="198"/>
      <c r="P13" s="198"/>
    </row>
    <row r="14" spans="1:16" x14ac:dyDescent="0.3">
      <c r="A14" s="193"/>
      <c r="B14" s="53"/>
      <c r="C14" s="53"/>
      <c r="D14" s="12">
        <v>4</v>
      </c>
      <c r="E14" s="53"/>
      <c r="F14"/>
      <c r="G14" s="53"/>
      <c r="H14" s="53"/>
      <c r="I14" s="12"/>
      <c r="J14" s="194"/>
      <c r="K14" s="194"/>
      <c r="L14" s="194"/>
      <c r="M14" s="194"/>
      <c r="N14" s="198"/>
      <c r="O14" s="198"/>
      <c r="P14" s="198"/>
    </row>
    <row r="15" spans="1:16" x14ac:dyDescent="0.3">
      <c r="A15" s="195"/>
      <c r="B15" s="44"/>
      <c r="C15" s="55"/>
      <c r="D15" s="13">
        <v>5</v>
      </c>
      <c r="E15" s="44"/>
      <c r="F15" s="19"/>
      <c r="G15" s="53"/>
      <c r="H15" s="55"/>
      <c r="I15" s="12"/>
      <c r="J15" s="195"/>
      <c r="K15" s="195"/>
      <c r="L15" s="195"/>
      <c r="M15" s="195"/>
      <c r="N15" s="198"/>
      <c r="O15" s="198"/>
      <c r="P15" s="198"/>
    </row>
    <row r="16" spans="1:16" x14ac:dyDescent="0.3">
      <c r="A16" s="192" t="s">
        <v>86</v>
      </c>
      <c r="B16" s="16"/>
      <c r="C16" s="16"/>
      <c r="D16" s="15">
        <v>0</v>
      </c>
      <c r="E16" s="66">
        <v>0.88</v>
      </c>
      <c r="F16" t="s">
        <v>81</v>
      </c>
      <c r="G16" s="66">
        <v>48</v>
      </c>
      <c r="H16" s="62">
        <v>7800</v>
      </c>
      <c r="I16" s="52">
        <v>0.47699999999999998</v>
      </c>
      <c r="J16" s="192" t="s">
        <v>27</v>
      </c>
      <c r="K16" s="192" t="s">
        <v>28</v>
      </c>
      <c r="L16" s="192" t="s">
        <v>27</v>
      </c>
      <c r="M16" s="192" t="s">
        <v>29</v>
      </c>
    </row>
    <row r="17" spans="1:13" x14ac:dyDescent="0.3">
      <c r="A17" s="193"/>
      <c r="B17" s="17"/>
      <c r="C17" s="17"/>
      <c r="D17" s="18">
        <v>1</v>
      </c>
      <c r="E17" s="64">
        <v>0.5</v>
      </c>
      <c r="F17" t="s">
        <v>82</v>
      </c>
      <c r="G17" s="64">
        <v>5</v>
      </c>
      <c r="H17" s="62">
        <v>1200</v>
      </c>
      <c r="I17" s="53">
        <v>1</v>
      </c>
      <c r="J17" s="193"/>
      <c r="K17" s="193"/>
      <c r="L17" s="193"/>
      <c r="M17" s="193"/>
    </row>
    <row r="18" spans="1:13" x14ac:dyDescent="0.3">
      <c r="A18" s="193"/>
      <c r="B18" s="17"/>
      <c r="C18" s="17"/>
      <c r="D18" s="18">
        <v>2</v>
      </c>
      <c r="E18" s="67">
        <v>25</v>
      </c>
      <c r="F18" s="72" t="s">
        <v>75</v>
      </c>
      <c r="G18" s="67">
        <v>0.04</v>
      </c>
      <c r="H18" s="69">
        <v>31</v>
      </c>
      <c r="I18" s="53">
        <v>1.45</v>
      </c>
      <c r="J18" s="193"/>
      <c r="K18" s="193"/>
      <c r="L18" s="193"/>
      <c r="M18" s="193"/>
    </row>
    <row r="19" spans="1:13" x14ac:dyDescent="0.3">
      <c r="A19" s="193"/>
      <c r="B19" s="17"/>
      <c r="C19" s="17"/>
      <c r="D19" s="18">
        <v>3</v>
      </c>
      <c r="E19" s="64">
        <v>0.2</v>
      </c>
      <c r="F19" s="72" t="s">
        <v>75</v>
      </c>
      <c r="G19" s="64">
        <v>0.04</v>
      </c>
      <c r="H19" s="69">
        <v>31</v>
      </c>
      <c r="I19" s="53">
        <v>1.45</v>
      </c>
      <c r="J19" s="193"/>
      <c r="K19" s="193"/>
      <c r="L19" s="193"/>
      <c r="M19" s="193"/>
    </row>
    <row r="20" spans="1:13" x14ac:dyDescent="0.3">
      <c r="A20" s="193"/>
      <c r="B20" s="17"/>
      <c r="C20" s="17"/>
      <c r="D20" s="18">
        <v>4</v>
      </c>
      <c r="E20" s="64">
        <v>0.4</v>
      </c>
      <c r="F20" t="s">
        <v>82</v>
      </c>
      <c r="G20" s="64">
        <v>5</v>
      </c>
      <c r="H20" s="62">
        <v>1200</v>
      </c>
      <c r="I20" s="53">
        <v>1</v>
      </c>
      <c r="J20" s="193"/>
      <c r="K20" s="193"/>
      <c r="L20" s="193"/>
      <c r="M20" s="193"/>
    </row>
    <row r="21" spans="1:13" x14ac:dyDescent="0.3">
      <c r="A21" s="193"/>
      <c r="B21" s="17"/>
      <c r="C21" s="17"/>
      <c r="D21" s="18">
        <v>5</v>
      </c>
      <c r="E21" s="64">
        <v>0.5</v>
      </c>
      <c r="F21" s="73" t="s">
        <v>34</v>
      </c>
      <c r="G21" s="68">
        <v>0.35</v>
      </c>
      <c r="H21" s="70">
        <v>900</v>
      </c>
      <c r="I21" s="55">
        <v>2.2999999999999998</v>
      </c>
      <c r="J21" s="194"/>
      <c r="K21" s="194"/>
      <c r="L21" s="194"/>
      <c r="M21" s="194"/>
    </row>
    <row r="22" spans="1:13" x14ac:dyDescent="0.3">
      <c r="A22" s="192" t="s">
        <v>71</v>
      </c>
      <c r="B22" s="41"/>
      <c r="C22" s="52"/>
      <c r="D22" s="15">
        <v>0</v>
      </c>
      <c r="E22" s="41">
        <v>5</v>
      </c>
      <c r="F22" s="16" t="s">
        <v>32</v>
      </c>
      <c r="G22" s="52">
        <v>1.4</v>
      </c>
      <c r="H22" s="52">
        <v>250</v>
      </c>
      <c r="I22" s="65">
        <v>2</v>
      </c>
      <c r="J22" s="192" t="s">
        <v>27</v>
      </c>
      <c r="K22" s="192" t="s">
        <v>28</v>
      </c>
      <c r="L22" s="192" t="s">
        <v>27</v>
      </c>
      <c r="M22" s="192" t="s">
        <v>29</v>
      </c>
    </row>
    <row r="23" spans="1:13" x14ac:dyDescent="0.3">
      <c r="A23" s="193"/>
      <c r="B23" s="42"/>
      <c r="C23" s="53"/>
      <c r="D23" s="18">
        <v>1</v>
      </c>
      <c r="E23" s="42">
        <v>0.2</v>
      </c>
      <c r="F23" t="s">
        <v>34</v>
      </c>
      <c r="G23" s="53">
        <v>0.35</v>
      </c>
      <c r="H23" s="53">
        <v>900</v>
      </c>
      <c r="I23" s="65">
        <v>2.2999999999999998</v>
      </c>
      <c r="J23" s="193"/>
      <c r="K23" s="193"/>
      <c r="L23" s="193"/>
      <c r="M23" s="193"/>
    </row>
    <row r="24" spans="1:13" x14ac:dyDescent="0.3">
      <c r="A24" s="193"/>
      <c r="B24" s="53"/>
      <c r="C24" s="53"/>
      <c r="D24" s="18">
        <v>2</v>
      </c>
      <c r="E24" s="53">
        <v>5</v>
      </c>
      <c r="F24" t="s">
        <v>32</v>
      </c>
      <c r="G24" s="53">
        <v>1.4</v>
      </c>
      <c r="H24" s="53">
        <v>250</v>
      </c>
      <c r="I24" s="65">
        <v>2</v>
      </c>
      <c r="J24" s="193"/>
      <c r="K24" s="193"/>
      <c r="L24" s="193"/>
      <c r="M24" s="193"/>
    </row>
    <row r="25" spans="1:13" x14ac:dyDescent="0.3">
      <c r="A25" s="193"/>
      <c r="B25" s="53"/>
      <c r="C25" s="53"/>
      <c r="D25" s="18">
        <v>3</v>
      </c>
      <c r="E25" s="53">
        <v>20</v>
      </c>
      <c r="F25" t="s">
        <v>74</v>
      </c>
      <c r="G25" s="53">
        <v>1.94</v>
      </c>
      <c r="H25" s="53">
        <v>2104.1999999999998</v>
      </c>
      <c r="I25" s="65">
        <v>0.77584580000000003</v>
      </c>
      <c r="J25" s="193"/>
      <c r="K25" s="193"/>
      <c r="L25" s="193"/>
      <c r="M25" s="193"/>
    </row>
    <row r="26" spans="1:13" x14ac:dyDescent="0.3">
      <c r="A26" s="193"/>
      <c r="B26" s="53"/>
      <c r="C26" s="53"/>
      <c r="D26" s="18">
        <v>4</v>
      </c>
      <c r="E26" s="53">
        <v>0.2</v>
      </c>
      <c r="F26" t="s">
        <v>34</v>
      </c>
      <c r="G26" s="53">
        <v>0.35</v>
      </c>
      <c r="H26" s="53">
        <v>900</v>
      </c>
      <c r="I26" s="54">
        <v>2.2999999999999998</v>
      </c>
      <c r="J26" s="193"/>
      <c r="K26" s="193"/>
      <c r="L26" s="193"/>
      <c r="M26" s="193"/>
    </row>
    <row r="27" spans="1:13" x14ac:dyDescent="0.3">
      <c r="A27" s="195"/>
      <c r="B27" s="44"/>
      <c r="C27" s="55"/>
      <c r="D27" s="13">
        <v>5</v>
      </c>
      <c r="E27" s="44">
        <v>10</v>
      </c>
      <c r="F27" s="14" t="s">
        <v>80</v>
      </c>
      <c r="G27" s="55">
        <v>4.1000000000000002E-2</v>
      </c>
      <c r="H27" s="55">
        <v>30</v>
      </c>
      <c r="I27" s="55">
        <v>1.38</v>
      </c>
      <c r="J27" s="195"/>
      <c r="K27" s="195"/>
      <c r="L27" s="195"/>
      <c r="M27" s="195"/>
    </row>
    <row r="28" spans="1:13" x14ac:dyDescent="0.3">
      <c r="A28" s="192" t="s">
        <v>96</v>
      </c>
      <c r="B28" s="76"/>
      <c r="C28" s="76"/>
      <c r="D28" s="15">
        <v>0</v>
      </c>
      <c r="E28" s="76"/>
      <c r="F28" s="16"/>
      <c r="G28" s="76"/>
      <c r="H28" s="76"/>
      <c r="I28" s="65"/>
      <c r="J28" s="192"/>
      <c r="K28" s="192"/>
      <c r="L28" s="192"/>
      <c r="M28" s="192"/>
    </row>
    <row r="29" spans="1:13" x14ac:dyDescent="0.3">
      <c r="A29" s="193"/>
      <c r="B29" s="77"/>
      <c r="C29" s="77"/>
      <c r="D29" s="18">
        <v>1</v>
      </c>
      <c r="E29" s="77"/>
      <c r="F29"/>
      <c r="G29" s="77"/>
      <c r="H29" s="77"/>
      <c r="I29" s="65"/>
      <c r="J29" s="193"/>
      <c r="K29" s="193"/>
      <c r="L29" s="193"/>
      <c r="M29" s="193"/>
    </row>
    <row r="30" spans="1:13" x14ac:dyDescent="0.3">
      <c r="A30" s="193"/>
      <c r="B30" s="77"/>
      <c r="C30" s="77"/>
      <c r="D30" s="18">
        <v>2</v>
      </c>
      <c r="E30" s="77"/>
      <c r="F30"/>
      <c r="G30" s="77"/>
      <c r="H30" s="77"/>
      <c r="I30" s="65"/>
      <c r="J30" s="193"/>
      <c r="K30" s="193"/>
      <c r="L30" s="193"/>
      <c r="M30" s="193"/>
    </row>
    <row r="31" spans="1:13" x14ac:dyDescent="0.3">
      <c r="A31" s="193"/>
      <c r="B31" s="77"/>
      <c r="C31" s="77"/>
      <c r="D31" s="18">
        <v>3</v>
      </c>
      <c r="E31" s="77"/>
      <c r="F31"/>
      <c r="G31" s="77"/>
      <c r="H31" s="77"/>
      <c r="I31" s="65"/>
      <c r="J31" s="193"/>
      <c r="K31" s="193"/>
      <c r="L31" s="193"/>
      <c r="M31" s="193"/>
    </row>
    <row r="32" spans="1:13" x14ac:dyDescent="0.3">
      <c r="A32" s="193"/>
      <c r="B32" s="77"/>
      <c r="C32" s="77"/>
      <c r="D32" s="18">
        <v>4</v>
      </c>
      <c r="E32" s="77"/>
      <c r="F32"/>
      <c r="G32" s="77"/>
      <c r="H32" s="77"/>
      <c r="I32" s="78"/>
      <c r="J32" s="193"/>
      <c r="K32" s="193"/>
      <c r="L32" s="193"/>
      <c r="M32" s="193"/>
    </row>
    <row r="33" spans="1:13" x14ac:dyDescent="0.3">
      <c r="A33" s="195"/>
      <c r="B33" s="79"/>
      <c r="C33" s="79"/>
      <c r="D33" s="13">
        <v>5</v>
      </c>
      <c r="E33" s="79"/>
      <c r="F33" s="14"/>
      <c r="G33" s="79"/>
      <c r="H33" s="79"/>
      <c r="I33" s="79"/>
      <c r="J33" s="195"/>
      <c r="K33" s="195"/>
      <c r="L33" s="195"/>
      <c r="M33" s="195"/>
    </row>
    <row r="34" spans="1:13" x14ac:dyDescent="0.3">
      <c r="A34" s="192" t="s">
        <v>95</v>
      </c>
      <c r="B34" s="76"/>
      <c r="C34" s="76"/>
      <c r="D34" s="15">
        <v>0</v>
      </c>
      <c r="E34" s="76"/>
      <c r="F34" s="16"/>
      <c r="G34" s="76"/>
      <c r="H34" s="76"/>
      <c r="I34" s="65"/>
      <c r="J34" s="192"/>
      <c r="K34" s="192"/>
      <c r="L34" s="192"/>
      <c r="M34" s="192"/>
    </row>
    <row r="35" spans="1:13" x14ac:dyDescent="0.3">
      <c r="A35" s="193"/>
      <c r="B35" s="77"/>
      <c r="C35" s="77"/>
      <c r="D35" s="18">
        <v>1</v>
      </c>
      <c r="E35" s="77"/>
      <c r="F35"/>
      <c r="G35" s="77"/>
      <c r="H35" s="77"/>
      <c r="I35" s="65"/>
      <c r="J35" s="193"/>
      <c r="K35" s="193"/>
      <c r="L35" s="193"/>
      <c r="M35" s="193"/>
    </row>
    <row r="36" spans="1:13" x14ac:dyDescent="0.3">
      <c r="A36" s="193"/>
      <c r="B36" s="77"/>
      <c r="C36" s="77"/>
      <c r="D36" s="18">
        <v>2</v>
      </c>
      <c r="E36" s="77"/>
      <c r="F36"/>
      <c r="G36" s="77"/>
      <c r="H36" s="77"/>
      <c r="I36" s="65"/>
      <c r="J36" s="193"/>
      <c r="K36" s="193"/>
      <c r="L36" s="193"/>
      <c r="M36" s="193"/>
    </row>
    <row r="37" spans="1:13" x14ac:dyDescent="0.3">
      <c r="A37" s="193"/>
      <c r="B37" s="77"/>
      <c r="C37" s="77"/>
      <c r="D37" s="18">
        <v>3</v>
      </c>
      <c r="E37" s="77"/>
      <c r="F37"/>
      <c r="G37" s="77"/>
      <c r="H37" s="77"/>
      <c r="I37" s="65"/>
      <c r="J37" s="193"/>
      <c r="K37" s="193"/>
      <c r="L37" s="193"/>
      <c r="M37" s="193"/>
    </row>
    <row r="38" spans="1:13" x14ac:dyDescent="0.3">
      <c r="A38" s="193"/>
      <c r="B38" s="77"/>
      <c r="C38" s="77"/>
      <c r="D38" s="18">
        <v>4</v>
      </c>
      <c r="E38" s="77"/>
      <c r="F38"/>
      <c r="G38" s="77"/>
      <c r="H38" s="77"/>
      <c r="I38" s="78"/>
      <c r="J38" s="193"/>
      <c r="K38" s="193"/>
      <c r="L38" s="193"/>
      <c r="M38" s="193"/>
    </row>
    <row r="39" spans="1:13" x14ac:dyDescent="0.3">
      <c r="A39" s="195"/>
      <c r="B39" s="79"/>
      <c r="C39" s="79"/>
      <c r="D39" s="13">
        <v>5</v>
      </c>
      <c r="E39" s="79"/>
      <c r="F39" s="14"/>
      <c r="G39" s="79"/>
      <c r="H39" s="79"/>
      <c r="I39" s="79"/>
      <c r="J39" s="195"/>
      <c r="K39" s="195"/>
      <c r="L39" s="195"/>
      <c r="M39" s="195"/>
    </row>
    <row r="40" spans="1:13" x14ac:dyDescent="0.3">
      <c r="A40" s="52" t="s">
        <v>109</v>
      </c>
      <c r="B40" s="59">
        <v>0.5</v>
      </c>
      <c r="C40" s="60">
        <v>7.0000000000000007E-2</v>
      </c>
      <c r="D40" s="60">
        <v>0</v>
      </c>
      <c r="E40" s="71">
        <v>2.4</v>
      </c>
      <c r="F40" s="75" t="s">
        <v>84</v>
      </c>
      <c r="G40" s="74">
        <v>2.2200000000000001E-2</v>
      </c>
      <c r="H40" s="71">
        <v>0</v>
      </c>
      <c r="I40" s="148">
        <v>0</v>
      </c>
      <c r="J40" s="59" t="s">
        <v>27</v>
      </c>
      <c r="K40" s="59" t="s">
        <v>28</v>
      </c>
      <c r="L40" s="59" t="s">
        <v>27</v>
      </c>
      <c r="M40" s="71" t="s">
        <v>29</v>
      </c>
    </row>
    <row r="41" spans="1:13" x14ac:dyDescent="0.3">
      <c r="A41" s="154" t="s">
        <v>72</v>
      </c>
      <c r="B41" s="71"/>
      <c r="C41" s="71"/>
      <c r="D41" s="148">
        <v>0</v>
      </c>
      <c r="H41" s="71"/>
      <c r="I41" s="75"/>
      <c r="J41" s="71"/>
      <c r="K41" s="71"/>
      <c r="L41" s="71"/>
      <c r="M41" s="71"/>
    </row>
    <row r="42" spans="1:13" x14ac:dyDescent="0.3">
      <c r="A42" s="192" t="s">
        <v>104</v>
      </c>
      <c r="B42" s="150"/>
      <c r="C42" s="150"/>
      <c r="D42" s="15">
        <v>0</v>
      </c>
      <c r="E42" s="150"/>
      <c r="F42" s="16"/>
      <c r="G42" s="150"/>
      <c r="H42" s="150"/>
      <c r="I42" s="65"/>
      <c r="J42" s="192"/>
      <c r="K42" s="192"/>
      <c r="L42" s="192"/>
      <c r="M42" s="192"/>
    </row>
    <row r="43" spans="1:13" x14ac:dyDescent="0.3">
      <c r="A43" s="193"/>
      <c r="B43" s="151"/>
      <c r="C43" s="151"/>
      <c r="D43" s="18">
        <v>1</v>
      </c>
      <c r="E43" s="151"/>
      <c r="F43"/>
      <c r="G43" s="151"/>
      <c r="H43" s="151"/>
      <c r="I43" s="65"/>
      <c r="J43" s="193"/>
      <c r="K43" s="193"/>
      <c r="L43" s="193"/>
      <c r="M43" s="193"/>
    </row>
    <row r="44" spans="1:13" x14ac:dyDescent="0.3">
      <c r="A44" s="193"/>
      <c r="B44" s="151"/>
      <c r="C44" s="151"/>
      <c r="D44" s="18">
        <v>2</v>
      </c>
      <c r="E44" s="151"/>
      <c r="F44"/>
      <c r="G44" s="151"/>
      <c r="H44" s="151"/>
      <c r="I44" s="65"/>
      <c r="J44" s="193"/>
      <c r="K44" s="193"/>
      <c r="L44" s="193"/>
      <c r="M44" s="193"/>
    </row>
    <row r="45" spans="1:13" x14ac:dyDescent="0.3">
      <c r="A45" s="193"/>
      <c r="B45" s="151"/>
      <c r="C45" s="151"/>
      <c r="D45" s="18">
        <v>3</v>
      </c>
      <c r="E45" s="151"/>
      <c r="F45"/>
      <c r="G45" s="151"/>
      <c r="H45" s="151"/>
      <c r="I45" s="65"/>
      <c r="J45" s="193"/>
      <c r="K45" s="193"/>
      <c r="L45" s="193"/>
      <c r="M45" s="193"/>
    </row>
    <row r="46" spans="1:13" x14ac:dyDescent="0.3">
      <c r="A46" s="193"/>
      <c r="B46" s="151"/>
      <c r="C46" s="151"/>
      <c r="D46" s="18">
        <v>4</v>
      </c>
      <c r="E46" s="151"/>
      <c r="F46"/>
      <c r="G46" s="151"/>
      <c r="H46" s="151"/>
      <c r="I46" s="153"/>
      <c r="J46" s="193"/>
      <c r="K46" s="193"/>
      <c r="L46" s="193"/>
      <c r="M46" s="193"/>
    </row>
    <row r="47" spans="1:13" x14ac:dyDescent="0.3">
      <c r="A47" s="195"/>
      <c r="B47" s="152"/>
      <c r="C47" s="152"/>
      <c r="D47" s="13">
        <v>5</v>
      </c>
      <c r="E47" s="152"/>
      <c r="F47" s="14"/>
      <c r="G47" s="152"/>
      <c r="H47" s="152"/>
      <c r="I47" s="152"/>
      <c r="J47" s="195"/>
      <c r="K47" s="195"/>
      <c r="L47" s="195"/>
      <c r="M47" s="195"/>
    </row>
  </sheetData>
  <mergeCells count="37">
    <mergeCell ref="A42:A47"/>
    <mergeCell ref="J42:J47"/>
    <mergeCell ref="K42:K47"/>
    <mergeCell ref="L42:L47"/>
    <mergeCell ref="M42:M47"/>
    <mergeCell ref="A34:A39"/>
    <mergeCell ref="J34:J39"/>
    <mergeCell ref="K34:K39"/>
    <mergeCell ref="L34:L39"/>
    <mergeCell ref="M34:M39"/>
    <mergeCell ref="A28:A33"/>
    <mergeCell ref="J28:J33"/>
    <mergeCell ref="K28:K33"/>
    <mergeCell ref="L28:L33"/>
    <mergeCell ref="M28:M33"/>
    <mergeCell ref="N10:P15"/>
    <mergeCell ref="M10:M15"/>
    <mergeCell ref="J4:J9"/>
    <mergeCell ref="K4:K9"/>
    <mergeCell ref="L4:L9"/>
    <mergeCell ref="M4:M9"/>
    <mergeCell ref="J10:J15"/>
    <mergeCell ref="K10:K15"/>
    <mergeCell ref="L10:L15"/>
    <mergeCell ref="A1:D1"/>
    <mergeCell ref="A4:A9"/>
    <mergeCell ref="K16:K21"/>
    <mergeCell ref="A10:A15"/>
    <mergeCell ref="A16:A21"/>
    <mergeCell ref="J16:J21"/>
    <mergeCell ref="L16:L21"/>
    <mergeCell ref="M16:M21"/>
    <mergeCell ref="A22:A27"/>
    <mergeCell ref="J22:J27"/>
    <mergeCell ref="K22:K27"/>
    <mergeCell ref="L22:L27"/>
    <mergeCell ref="M22:M27"/>
  </mergeCells>
  <pageMargins left="0.75" right="0.75" top="0.75" bottom="0.5" header="0.5" footer="0.75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Hüllflächen, Himmelsricht.</vt:lpstr>
      <vt:lpstr>Strukturen Hüllfläche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Till Schmidt</cp:lastModifiedBy>
  <cp:lastPrinted>2020-05-27T07:16:42Z</cp:lastPrinted>
  <dcterms:created xsi:type="dcterms:W3CDTF">2020-05-27T06:42:45Z</dcterms:created>
  <dcterms:modified xsi:type="dcterms:W3CDTF">2021-03-31T07:44:21Z</dcterms:modified>
</cp:coreProperties>
</file>