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Метод 1" sheetId="1" r:id="rId1"/>
    <sheet name="Метод 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54" i="2" l="1"/>
  <c r="D55" i="2" s="1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D5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D51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D50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D47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I31" i="2"/>
  <c r="J31" i="2"/>
  <c r="K31" i="2"/>
  <c r="L31" i="2"/>
  <c r="M31" i="2"/>
  <c r="N31" i="2"/>
  <c r="O31" i="2"/>
  <c r="P31" i="2"/>
  <c r="Q31" i="2"/>
  <c r="R31" i="2"/>
  <c r="S31" i="2"/>
  <c r="T31" i="2"/>
  <c r="J32" i="2"/>
  <c r="K32" i="2"/>
  <c r="L32" i="2"/>
  <c r="M32" i="2"/>
  <c r="N32" i="2"/>
  <c r="O32" i="2"/>
  <c r="P32" i="2"/>
  <c r="Q32" i="2"/>
  <c r="R32" i="2"/>
  <c r="S32" i="2"/>
  <c r="T32" i="2"/>
  <c r="K33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M35" i="2"/>
  <c r="N35" i="2"/>
  <c r="O35" i="2"/>
  <c r="P35" i="2"/>
  <c r="Q35" i="2"/>
  <c r="R35" i="2"/>
  <c r="S35" i="2"/>
  <c r="T35" i="2"/>
  <c r="N36" i="2"/>
  <c r="O36" i="2"/>
  <c r="P36" i="2"/>
  <c r="Q36" i="2"/>
  <c r="R36" i="2"/>
  <c r="S36" i="2"/>
  <c r="T36" i="2"/>
  <c r="O37" i="2"/>
  <c r="P37" i="2"/>
  <c r="Q37" i="2"/>
  <c r="R37" i="2"/>
  <c r="S37" i="2"/>
  <c r="T37" i="2"/>
  <c r="P38" i="2"/>
  <c r="Q38" i="2"/>
  <c r="R38" i="2"/>
  <c r="S38" i="2"/>
  <c r="T38" i="2"/>
  <c r="Q39" i="2"/>
  <c r="R39" i="2"/>
  <c r="S39" i="2"/>
  <c r="T39" i="2"/>
  <c r="R40" i="2"/>
  <c r="S40" i="2"/>
  <c r="T40" i="2"/>
  <c r="S41" i="2"/>
  <c r="T41" i="2"/>
  <c r="T42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21" i="2"/>
  <c r="U3" i="2"/>
  <c r="U4" i="2"/>
  <c r="U22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Q3" i="2"/>
  <c r="Q22" i="2" s="1"/>
  <c r="Q27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M3" i="2"/>
  <c r="M4" i="2"/>
  <c r="M5" i="2"/>
  <c r="M22" i="2" s="1"/>
  <c r="M27" i="2" s="1"/>
  <c r="M6" i="2"/>
  <c r="M7" i="2"/>
  <c r="M8" i="2"/>
  <c r="M9" i="2"/>
  <c r="M10" i="2"/>
  <c r="M11" i="2"/>
  <c r="M12" i="2"/>
  <c r="M13" i="2"/>
  <c r="M2" i="2"/>
  <c r="M28" i="2" s="1"/>
  <c r="L3" i="2"/>
  <c r="L4" i="2"/>
  <c r="L5" i="2"/>
  <c r="L6" i="2"/>
  <c r="L7" i="2"/>
  <c r="L8" i="2"/>
  <c r="L9" i="2"/>
  <c r="L10" i="2"/>
  <c r="L11" i="2"/>
  <c r="L12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2" i="2"/>
  <c r="I3" i="2"/>
  <c r="I22" i="2" s="1"/>
  <c r="I27" i="2" s="1"/>
  <c r="I4" i="2"/>
  <c r="I5" i="2"/>
  <c r="I6" i="2"/>
  <c r="I7" i="2"/>
  <c r="I8" i="2"/>
  <c r="I9" i="2"/>
  <c r="I2" i="2"/>
  <c r="H3" i="2"/>
  <c r="H4" i="2"/>
  <c r="H5" i="2"/>
  <c r="H6" i="2"/>
  <c r="H7" i="2"/>
  <c r="H8" i="2"/>
  <c r="H2" i="2"/>
  <c r="G3" i="2"/>
  <c r="G4" i="2"/>
  <c r="G5" i="2"/>
  <c r="G6" i="2"/>
  <c r="G7" i="2"/>
  <c r="G2" i="2"/>
  <c r="F3" i="2"/>
  <c r="F4" i="2"/>
  <c r="F5" i="2"/>
  <c r="F6" i="2"/>
  <c r="F2" i="2"/>
  <c r="E3" i="2"/>
  <c r="E4" i="2"/>
  <c r="E5" i="2"/>
  <c r="E22" i="2" s="1"/>
  <c r="E2" i="2"/>
  <c r="E26" i="2" s="1"/>
  <c r="D3" i="2"/>
  <c r="D4" i="2"/>
  <c r="D2" i="2"/>
  <c r="D22" i="2" s="1"/>
  <c r="D56" i="2" l="1"/>
  <c r="U27" i="2"/>
  <c r="F27" i="2"/>
  <c r="O26" i="2"/>
  <c r="I28" i="2"/>
  <c r="Q28" i="2"/>
  <c r="R27" i="2"/>
  <c r="H27" i="2"/>
  <c r="K26" i="2"/>
  <c r="O29" i="2"/>
  <c r="F22" i="2"/>
  <c r="F26" i="2" s="1"/>
  <c r="J22" i="2"/>
  <c r="J27" i="2" s="1"/>
  <c r="N22" i="2"/>
  <c r="R22" i="2"/>
  <c r="F25" i="2"/>
  <c r="F28" i="2"/>
  <c r="D26" i="2"/>
  <c r="U30" i="2"/>
  <c r="Q30" i="2"/>
  <c r="M30" i="2"/>
  <c r="I30" i="2"/>
  <c r="R29" i="2"/>
  <c r="N29" i="2"/>
  <c r="O28" i="2"/>
  <c r="K28" i="2"/>
  <c r="L27" i="2"/>
  <c r="U26" i="2"/>
  <c r="Q26" i="2"/>
  <c r="M26" i="2"/>
  <c r="I26" i="2"/>
  <c r="R25" i="2"/>
  <c r="O25" i="2"/>
  <c r="G22" i="2"/>
  <c r="G29" i="2" s="1"/>
  <c r="K22" i="2"/>
  <c r="O22" i="2"/>
  <c r="S22" i="2"/>
  <c r="S26" i="2" s="1"/>
  <c r="G25" i="2"/>
  <c r="E27" i="2"/>
  <c r="E25" i="2"/>
  <c r="H28" i="2"/>
  <c r="L30" i="2"/>
  <c r="U29" i="2"/>
  <c r="Q29" i="2"/>
  <c r="M29" i="2"/>
  <c r="I29" i="2"/>
  <c r="R28" i="2"/>
  <c r="S27" i="2"/>
  <c r="O27" i="2"/>
  <c r="K27" i="2"/>
  <c r="L26" i="2"/>
  <c r="U25" i="2"/>
  <c r="Q25" i="2"/>
  <c r="M25" i="2"/>
  <c r="I25" i="2"/>
  <c r="D25" i="2"/>
  <c r="H22" i="2"/>
  <c r="H29" i="2" s="1"/>
  <c r="L22" i="2"/>
  <c r="L28" i="2" s="1"/>
  <c r="P22" i="2"/>
  <c r="P28" i="2" s="1"/>
  <c r="T22" i="2"/>
  <c r="T27" i="2" s="1"/>
  <c r="H25" i="2"/>
  <c r="O30" i="2"/>
  <c r="K30" i="2"/>
  <c r="L29" i="2"/>
  <c r="U28" i="2"/>
  <c r="E67" i="1"/>
  <c r="E66" i="1"/>
  <c r="E65" i="1"/>
  <c r="F62" i="1"/>
  <c r="G62" i="1"/>
  <c r="H62" i="1"/>
  <c r="I62" i="1"/>
  <c r="J62" i="1"/>
  <c r="K62" i="1"/>
  <c r="L62" i="1"/>
  <c r="E62" i="1"/>
  <c r="F61" i="1"/>
  <c r="G61" i="1"/>
  <c r="H61" i="1"/>
  <c r="I61" i="1"/>
  <c r="J61" i="1"/>
  <c r="K61" i="1"/>
  <c r="L61" i="1"/>
  <c r="E61" i="1"/>
  <c r="L59" i="1"/>
  <c r="K59" i="1"/>
  <c r="J59" i="1"/>
  <c r="I59" i="1"/>
  <c r="H59" i="1"/>
  <c r="G59" i="1"/>
  <c r="F59" i="1"/>
  <c r="E59" i="1"/>
  <c r="Z13" i="1"/>
  <c r="J34" i="1"/>
  <c r="W35" i="1"/>
  <c r="W34" i="1"/>
  <c r="AJ36" i="1"/>
  <c r="AJ35" i="1"/>
  <c r="M54" i="1"/>
  <c r="M53" i="1"/>
  <c r="AH54" i="1"/>
  <c r="AH53" i="1"/>
  <c r="AG54" i="1"/>
  <c r="AG53" i="1"/>
  <c r="AF54" i="1"/>
  <c r="AD54" i="1"/>
  <c r="AE54" i="1"/>
  <c r="AC54" i="1"/>
  <c r="AB54" i="1"/>
  <c r="AA54" i="1"/>
  <c r="Z54" i="1"/>
  <c r="Y54" i="1"/>
  <c r="X54" i="1"/>
  <c r="AF53" i="1"/>
  <c r="AE53" i="1"/>
  <c r="AD53" i="1"/>
  <c r="AC53" i="1"/>
  <c r="AB53" i="1"/>
  <c r="AA53" i="1"/>
  <c r="Z53" i="1"/>
  <c r="Y53" i="1"/>
  <c r="X53" i="1"/>
  <c r="Y51" i="1"/>
  <c r="X51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N54" i="1"/>
  <c r="N53" i="1"/>
  <c r="AI35" i="1"/>
  <c r="N30" i="2" l="1"/>
  <c r="N26" i="2"/>
  <c r="P26" i="2"/>
  <c r="G26" i="2"/>
  <c r="P29" i="2"/>
  <c r="S30" i="2"/>
  <c r="T26" i="2"/>
  <c r="J28" i="2"/>
  <c r="P30" i="2"/>
  <c r="G28" i="2"/>
  <c r="G27" i="2"/>
  <c r="J25" i="2"/>
  <c r="P27" i="2"/>
  <c r="S28" i="2"/>
  <c r="T25" i="2"/>
  <c r="L25" i="2"/>
  <c r="T28" i="2"/>
  <c r="S29" i="2"/>
  <c r="S25" i="2"/>
  <c r="J26" i="2"/>
  <c r="J30" i="2"/>
  <c r="T29" i="2"/>
  <c r="H26" i="2"/>
  <c r="H30" i="2"/>
  <c r="N28" i="2"/>
  <c r="T30" i="2"/>
  <c r="K29" i="2"/>
  <c r="K25" i="2"/>
  <c r="N25" i="2"/>
  <c r="J29" i="2"/>
  <c r="R26" i="2"/>
  <c r="R30" i="2"/>
  <c r="P25" i="2"/>
  <c r="N27" i="2"/>
  <c r="L54" i="1"/>
  <c r="L53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Q32" i="1"/>
  <c r="AD33" i="1"/>
  <c r="AH36" i="1" s="1"/>
  <c r="AC33" i="1"/>
  <c r="AC35" i="1" s="1"/>
  <c r="F51" i="1"/>
  <c r="E51" i="1"/>
  <c r="AI36" i="1"/>
  <c r="AE36" i="1"/>
  <c r="AE35" i="1"/>
  <c r="AD35" i="1"/>
  <c r="K36" i="1"/>
  <c r="K35" i="1"/>
  <c r="X35" i="1"/>
  <c r="X34" i="1"/>
  <c r="V35" i="1"/>
  <c r="U35" i="1"/>
  <c r="T35" i="1"/>
  <c r="S35" i="1"/>
  <c r="R35" i="1"/>
  <c r="Q35" i="1"/>
  <c r="V34" i="1"/>
  <c r="F32" i="1"/>
  <c r="I35" i="1" s="1"/>
  <c r="G32" i="1"/>
  <c r="E32" i="1"/>
  <c r="R32" i="1"/>
  <c r="U34" i="1"/>
  <c r="R34" i="1"/>
  <c r="AC13" i="1"/>
  <c r="K34" i="1"/>
  <c r="H36" i="1"/>
  <c r="G36" i="1"/>
  <c r="F36" i="1"/>
  <c r="E36" i="1"/>
  <c r="J36" i="1" s="1"/>
  <c r="I36" i="1"/>
  <c r="G35" i="1"/>
  <c r="E35" i="1"/>
  <c r="I34" i="1"/>
  <c r="H34" i="1"/>
  <c r="G34" i="1"/>
  <c r="F34" i="1"/>
  <c r="E34" i="1"/>
  <c r="F43" i="1"/>
  <c r="F44" i="1"/>
  <c r="F45" i="1"/>
  <c r="F46" i="1"/>
  <c r="F47" i="1"/>
  <c r="F48" i="1"/>
  <c r="F49" i="1"/>
  <c r="F50" i="1"/>
  <c r="F42" i="1"/>
  <c r="E43" i="1"/>
  <c r="E44" i="1"/>
  <c r="E45" i="1"/>
  <c r="E46" i="1"/>
  <c r="E47" i="1"/>
  <c r="E48" i="1"/>
  <c r="E49" i="1"/>
  <c r="E50" i="1"/>
  <c r="E42" i="1"/>
  <c r="AD26" i="1"/>
  <c r="AD27" i="1"/>
  <c r="AD28" i="1"/>
  <c r="AD29" i="1"/>
  <c r="AD30" i="1"/>
  <c r="AD31" i="1"/>
  <c r="AD32" i="1"/>
  <c r="AD25" i="1"/>
  <c r="AC26" i="1"/>
  <c r="AC27" i="1"/>
  <c r="AC28" i="1"/>
  <c r="AC29" i="1"/>
  <c r="AC30" i="1"/>
  <c r="AC31" i="1"/>
  <c r="AC32" i="1"/>
  <c r="AC25" i="1"/>
  <c r="R26" i="1"/>
  <c r="R27" i="1"/>
  <c r="R28" i="1"/>
  <c r="R29" i="1"/>
  <c r="R30" i="1"/>
  <c r="R31" i="1"/>
  <c r="R25" i="1"/>
  <c r="Q26" i="1"/>
  <c r="Q27" i="1"/>
  <c r="Q28" i="1"/>
  <c r="Q29" i="1"/>
  <c r="Q30" i="1"/>
  <c r="Q31" i="1"/>
  <c r="Q25" i="1"/>
  <c r="G27" i="1"/>
  <c r="G28" i="1"/>
  <c r="G29" i="1"/>
  <c r="G30" i="1"/>
  <c r="G31" i="1"/>
  <c r="G26" i="1"/>
  <c r="F27" i="1"/>
  <c r="F28" i="1"/>
  <c r="F29" i="1"/>
  <c r="F30" i="1"/>
  <c r="F31" i="1"/>
  <c r="F26" i="1"/>
  <c r="E27" i="1"/>
  <c r="E28" i="1"/>
  <c r="E29" i="1"/>
  <c r="E30" i="1"/>
  <c r="E31" i="1"/>
  <c r="E26" i="1"/>
  <c r="Y6" i="1"/>
  <c r="Y7" i="1"/>
  <c r="Y8" i="1"/>
  <c r="Y9" i="1"/>
  <c r="Y5" i="1"/>
  <c r="X6" i="1"/>
  <c r="X7" i="1"/>
  <c r="X8" i="1"/>
  <c r="X9" i="1"/>
  <c r="X5" i="1"/>
  <c r="W6" i="1"/>
  <c r="W7" i="1"/>
  <c r="W8" i="1"/>
  <c r="W10" i="1" s="1"/>
  <c r="W9" i="1"/>
  <c r="W5" i="1"/>
  <c r="V6" i="1"/>
  <c r="V7" i="1"/>
  <c r="V8" i="1"/>
  <c r="V9" i="1"/>
  <c r="V5" i="1"/>
  <c r="Q6" i="1"/>
  <c r="Q7" i="1"/>
  <c r="Q8" i="1"/>
  <c r="Q5" i="1"/>
  <c r="P6" i="1"/>
  <c r="P7" i="1"/>
  <c r="P8" i="1"/>
  <c r="P5" i="1"/>
  <c r="O6" i="1"/>
  <c r="O9" i="1" s="1"/>
  <c r="O7" i="1"/>
  <c r="O8" i="1"/>
  <c r="O5" i="1"/>
  <c r="Q14" i="1" s="1"/>
  <c r="N6" i="1"/>
  <c r="N7" i="1"/>
  <c r="N8" i="1"/>
  <c r="N5" i="1"/>
  <c r="M8" i="1"/>
  <c r="M6" i="1"/>
  <c r="M7" i="1"/>
  <c r="M5" i="1"/>
  <c r="J6" i="1"/>
  <c r="J8" i="1" s="1"/>
  <c r="H16" i="1" s="1"/>
  <c r="J7" i="1"/>
  <c r="J5" i="1"/>
  <c r="I6" i="1"/>
  <c r="I7" i="1"/>
  <c r="I5" i="1"/>
  <c r="I8" i="1" s="1"/>
  <c r="H15" i="1" s="1"/>
  <c r="H6" i="1"/>
  <c r="H7" i="1"/>
  <c r="H5" i="1"/>
  <c r="H8" i="1" s="1"/>
  <c r="E14" i="1" s="1"/>
  <c r="G6" i="1"/>
  <c r="G7" i="1"/>
  <c r="G5" i="1"/>
  <c r="F6" i="1"/>
  <c r="F8" i="1" s="1"/>
  <c r="H12" i="1" s="1"/>
  <c r="F7" i="1"/>
  <c r="F5" i="1"/>
  <c r="E6" i="1"/>
  <c r="E7" i="1"/>
  <c r="E5" i="1"/>
  <c r="AI53" i="1" l="1"/>
  <c r="AI54" i="1"/>
  <c r="AC36" i="1"/>
  <c r="AF36" i="1"/>
  <c r="AK36" i="1"/>
  <c r="AD36" i="1"/>
  <c r="AG36" i="1"/>
  <c r="AF35" i="1"/>
  <c r="AH35" i="1"/>
  <c r="AK35" i="1"/>
  <c r="AG35" i="1"/>
  <c r="AL35" i="1" s="1"/>
  <c r="AL36" i="1"/>
  <c r="L36" i="1"/>
  <c r="J35" i="1"/>
  <c r="L35" i="1" s="1"/>
  <c r="M34" i="1" s="1"/>
  <c r="H35" i="1"/>
  <c r="F35" i="1"/>
  <c r="S34" i="1"/>
  <c r="T34" i="1"/>
  <c r="Q34" i="1"/>
  <c r="Y34" i="1"/>
  <c r="O16" i="1"/>
  <c r="E12" i="1"/>
  <c r="V14" i="1"/>
  <c r="AA14" i="1"/>
  <c r="W14" i="1"/>
  <c r="V10" i="1"/>
  <c r="M9" i="1"/>
  <c r="O12" i="1" s="1"/>
  <c r="N9" i="1"/>
  <c r="M13" i="1"/>
  <c r="N14" i="1"/>
  <c r="O14" i="1"/>
  <c r="W13" i="1"/>
  <c r="X14" i="1"/>
  <c r="Y14" i="1"/>
  <c r="Q12" i="1"/>
  <c r="L34" i="1"/>
  <c r="Y10" i="1"/>
  <c r="X16" i="1" s="1"/>
  <c r="Q9" i="1"/>
  <c r="M16" i="1" s="1"/>
  <c r="M14" i="1"/>
  <c r="P14" i="1" s="1"/>
  <c r="R14" i="1" s="1"/>
  <c r="N16" i="1"/>
  <c r="N12" i="1"/>
  <c r="X13" i="1"/>
  <c r="H11" i="1"/>
  <c r="AA16" i="1"/>
  <c r="E8" i="1"/>
  <c r="G8" i="1"/>
  <c r="E13" i="1" s="1"/>
  <c r="X10" i="1"/>
  <c r="W15" i="1" s="1"/>
  <c r="P9" i="1"/>
  <c r="Q15" i="1" s="1"/>
  <c r="M12" i="1"/>
  <c r="E15" i="1"/>
  <c r="E16" i="1"/>
  <c r="F14" i="1"/>
  <c r="G14" i="1" s="1"/>
  <c r="I14" i="1" s="1"/>
  <c r="F15" i="1"/>
  <c r="H14" i="1"/>
  <c r="F12" i="1"/>
  <c r="G12" i="1" s="1"/>
  <c r="I12" i="1" s="1"/>
  <c r="F16" i="1"/>
  <c r="G16" i="1" s="1"/>
  <c r="I16" i="1" s="1"/>
  <c r="AJ53" i="1" l="1"/>
  <c r="O54" i="1"/>
  <c r="O53" i="1"/>
  <c r="P53" i="1" s="1"/>
  <c r="AM35" i="1"/>
  <c r="Y35" i="1"/>
  <c r="Z34" i="1" s="1"/>
  <c r="V15" i="1"/>
  <c r="X15" i="1"/>
  <c r="Y16" i="1"/>
  <c r="N13" i="1"/>
  <c r="O13" i="1"/>
  <c r="Z14" i="1"/>
  <c r="AB14" i="1" s="1"/>
  <c r="M15" i="1"/>
  <c r="F13" i="1"/>
  <c r="G13" i="1" s="1"/>
  <c r="I13" i="1" s="1"/>
  <c r="P12" i="1"/>
  <c r="R12" i="1" s="1"/>
  <c r="F11" i="1"/>
  <c r="Y15" i="1"/>
  <c r="O15" i="1"/>
  <c r="E11" i="1"/>
  <c r="G11" i="1" s="1"/>
  <c r="I11" i="1" s="1"/>
  <c r="AA15" i="1"/>
  <c r="W16" i="1"/>
  <c r="N15" i="1"/>
  <c r="Q13" i="1"/>
  <c r="P13" i="1"/>
  <c r="R13" i="1" s="1"/>
  <c r="V16" i="1"/>
  <c r="Z16" i="1" s="1"/>
  <c r="AB16" i="1" s="1"/>
  <c r="G15" i="1"/>
  <c r="I15" i="1" s="1"/>
  <c r="P16" i="1"/>
  <c r="Q16" i="1"/>
  <c r="V13" i="1"/>
  <c r="Y13" i="1"/>
  <c r="AA13" i="1"/>
  <c r="AB13" i="1" s="1"/>
  <c r="H13" i="1"/>
  <c r="P15" i="1" l="1"/>
  <c r="R15" i="1" s="1"/>
  <c r="S12" i="1" s="1"/>
  <c r="R16" i="1"/>
  <c r="J11" i="1"/>
  <c r="Z15" i="1"/>
  <c r="AB15" i="1" s="1"/>
</calcChain>
</file>

<file path=xl/sharedStrings.xml><?xml version="1.0" encoding="utf-8"?>
<sst xmlns="http://schemas.openxmlformats.org/spreadsheetml/2006/main" count="267" uniqueCount="142">
  <si>
    <t>Z</t>
  </si>
  <si>
    <t>K=1</t>
  </si>
  <si>
    <t>Z11</t>
  </si>
  <si>
    <t>Z12</t>
  </si>
  <si>
    <t>Z13</t>
  </si>
  <si>
    <t>Z14</t>
  </si>
  <si>
    <t>Z15</t>
  </si>
  <si>
    <t>Z16</t>
  </si>
  <si>
    <t>n=3</t>
  </si>
  <si>
    <t>t</t>
  </si>
  <si>
    <t>K=2</t>
  </si>
  <si>
    <t>K=3</t>
  </si>
  <si>
    <t>K=4</t>
  </si>
  <si>
    <t>K=5</t>
  </si>
  <si>
    <t>K=6</t>
  </si>
  <si>
    <t>Формуємо відрізки</t>
  </si>
  <si>
    <t>n=4</t>
  </si>
  <si>
    <t>Z21</t>
  </si>
  <si>
    <t>n=5</t>
  </si>
  <si>
    <t>n=6</t>
  </si>
  <si>
    <t>n=7</t>
  </si>
  <si>
    <t>n=8</t>
  </si>
  <si>
    <t>n=9</t>
  </si>
  <si>
    <t>n=10</t>
  </si>
  <si>
    <t>Середнє значення</t>
  </si>
  <si>
    <t>Накопичені відхилення</t>
  </si>
  <si>
    <t>Х11</t>
  </si>
  <si>
    <t>Х12</t>
  </si>
  <si>
    <t>R (розмах)</t>
  </si>
  <si>
    <t>S (cт. відхилення)</t>
  </si>
  <si>
    <t>R/S</t>
  </si>
  <si>
    <t>(R/S)sr</t>
  </si>
  <si>
    <t>Х21</t>
  </si>
  <si>
    <t>Х22</t>
  </si>
  <si>
    <t>Х23</t>
  </si>
  <si>
    <t>Х31</t>
  </si>
  <si>
    <t>Х32</t>
  </si>
  <si>
    <t>Х33</t>
  </si>
  <si>
    <t>Х34</t>
  </si>
  <si>
    <t>Х41</t>
  </si>
  <si>
    <t>Х42</t>
  </si>
  <si>
    <t>Х43</t>
  </si>
  <si>
    <t>Х44</t>
  </si>
  <si>
    <t>Х45</t>
  </si>
  <si>
    <t>Х51</t>
  </si>
  <si>
    <t>Х52</t>
  </si>
  <si>
    <t>Х53</t>
  </si>
  <si>
    <t>Х54</t>
  </si>
  <si>
    <t>Х55</t>
  </si>
  <si>
    <t>Х56</t>
  </si>
  <si>
    <t>Х61</t>
  </si>
  <si>
    <t>Х62</t>
  </si>
  <si>
    <t>Х63</t>
  </si>
  <si>
    <t>Х64</t>
  </si>
  <si>
    <t>Х65</t>
  </si>
  <si>
    <t>Х66</t>
  </si>
  <si>
    <t>Х67</t>
  </si>
  <si>
    <t>Х71</t>
  </si>
  <si>
    <t>Х72</t>
  </si>
  <si>
    <t>Х73</t>
  </si>
  <si>
    <t>Х74</t>
  </si>
  <si>
    <t>Х75</t>
  </si>
  <si>
    <t>Х76</t>
  </si>
  <si>
    <t>Х77</t>
  </si>
  <si>
    <t>Х78</t>
  </si>
  <si>
    <t>Z22</t>
  </si>
  <si>
    <t>Z23</t>
  </si>
  <si>
    <t>Z24</t>
  </si>
  <si>
    <t>Z25</t>
  </si>
  <si>
    <t>Z31</t>
  </si>
  <si>
    <t>Z32</t>
  </si>
  <si>
    <t>Z33</t>
  </si>
  <si>
    <t>Z41</t>
  </si>
  <si>
    <t>Z42</t>
  </si>
  <si>
    <t>Z51</t>
  </si>
  <si>
    <t>Z52</t>
  </si>
  <si>
    <t>Z61</t>
  </si>
  <si>
    <t>Z62</t>
  </si>
  <si>
    <t>Х81</t>
  </si>
  <si>
    <t>Х82</t>
  </si>
  <si>
    <t>Х83</t>
  </si>
  <si>
    <t>Х84</t>
  </si>
  <si>
    <t>Х85</t>
  </si>
  <si>
    <t>Х86</t>
  </si>
  <si>
    <t>Х87</t>
  </si>
  <si>
    <t>Х88</t>
  </si>
  <si>
    <t>Х89</t>
  </si>
  <si>
    <t>Перша ітерація</t>
  </si>
  <si>
    <t>Друга ітерація</t>
  </si>
  <si>
    <t>Третя ітерація</t>
  </si>
  <si>
    <t>Четверта ітерація</t>
  </si>
  <si>
    <t>П'ята ітерація</t>
  </si>
  <si>
    <t>Сьома ітерація</t>
  </si>
  <si>
    <t>Шоста ітерація</t>
  </si>
  <si>
    <t>Восьма ітерація</t>
  </si>
  <si>
    <t>Z34</t>
  </si>
  <si>
    <t>Z43</t>
  </si>
  <si>
    <t>Z71</t>
  </si>
  <si>
    <t>Z72</t>
  </si>
  <si>
    <t>Z81</t>
  </si>
  <si>
    <t>Z82</t>
  </si>
  <si>
    <t>n</t>
  </si>
  <si>
    <t>xk</t>
  </si>
  <si>
    <t>yk</t>
  </si>
  <si>
    <t>H</t>
  </si>
  <si>
    <t>C</t>
  </si>
  <si>
    <t>D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</si>
  <si>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</si>
  <si>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</si>
  <si>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</si>
  <si>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</si>
  <si>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</si>
  <si>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</si>
  <si>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</si>
  <si>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</si>
  <si>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</si>
  <si>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</si>
  <si>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Z17</t>
  </si>
  <si>
    <t>Z18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</si>
  <si>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</si>
  <si>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</si>
  <si>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</si>
  <si>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</si>
  <si>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</si>
  <si>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</si>
  <si>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</si>
  <si>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</si>
  <si>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</si>
  <si>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</si>
  <si>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</si>
  <si>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</si>
  <si>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</si>
  <si>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</si>
  <si>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</si>
  <si>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</si>
  <si>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</si>
  <si>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</si>
  <si>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</si>
  <si>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Точки</t>
  </si>
  <si>
    <t>R</t>
  </si>
  <si>
    <t>S</t>
  </si>
  <si>
    <t>n/2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</si>
</sst>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164" fontId="1" fillId="0" borderId="0" xfId="0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1" fillId="3" borderId="2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/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Fill="1" applyBorder="1"/>
    <xf numFmtId="2" fontId="1" fillId="5" borderId="1" xfId="0" applyNumberFormat="1" applyFont="1" applyFill="1" applyBorder="1"/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2" fontId="1" fillId="5" borderId="1" xfId="0" applyNumberFormat="1" applyFont="1" applyFill="1" applyBorder="1" applyAlignment="1">
      <alignment horizontal="center"/>
    </xf>
    <xf numFmtId="165" fontId="1" fillId="0" borderId="1" xfId="0" applyNumberFormat="1" applyFont="1" applyBorder="1"/>
    <xf numFmtId="165" fontId="2" fillId="6" borderId="1" xfId="0" applyNumberFormat="1" applyFont="1" applyFill="1" applyBorder="1"/>
    <xf numFmtId="165" fontId="4" fillId="0" borderId="1" xfId="0" applyNumberFormat="1" applyFont="1" applyBorder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0" fillId="3" borderId="1" xfId="0" applyNumberFormat="1" applyFill="1" applyBorder="1"/>
    <xf numFmtId="165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/>
    <xf numFmtId="16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1'!$D$62</c:f>
              <c:strCache>
                <c:ptCount val="1"/>
                <c:pt idx="0">
                  <c:v>yk</c:v>
                </c:pt>
              </c:strCache>
            </c:strRef>
          </c:tx>
          <c:marker>
            <c:symbol val="none"/>
          </c:marker>
          <c:dPt>
            <c:idx val="2"/>
            <c:marker>
              <c:symbol val="auto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Lbls>
            <c:dLbl>
              <c:idx val="2"/>
              <c:layout>
                <c:manualLayout>
                  <c:x val="-1.29136400322841E-2"/>
                  <c:y val="-6.621226874391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'Метод 1'!$H$61:$L$61</c:f>
              <c:numCache>
                <c:formatCode>0.000</c:formatCode>
                <c:ptCount val="5"/>
                <c:pt idx="0">
                  <c:v>0.47712125471966244</c:v>
                </c:pt>
                <c:pt idx="1">
                  <c:v>0.54406804435027567</c:v>
                </c:pt>
                <c:pt idx="2">
                  <c:v>0.6020599913279624</c:v>
                </c:pt>
                <c:pt idx="3">
                  <c:v>0.65321251377534373</c:v>
                </c:pt>
                <c:pt idx="4">
                  <c:v>0.69897000433601886</c:v>
                </c:pt>
              </c:numCache>
            </c:numRef>
          </c:xVal>
          <c:yVal>
            <c:numRef>
              <c:f>'Метод 1'!$H$62:$L$62</c:f>
              <c:numCache>
                <c:formatCode>0.000</c:formatCode>
                <c:ptCount val="5"/>
                <c:pt idx="0">
                  <c:v>4.5510536807604529E-2</c:v>
                </c:pt>
                <c:pt idx="1">
                  <c:v>6.6659521128225693E-2</c:v>
                </c:pt>
                <c:pt idx="2">
                  <c:v>0.13142469259817269</c:v>
                </c:pt>
                <c:pt idx="3">
                  <c:v>0.12724213895338307</c:v>
                </c:pt>
                <c:pt idx="4">
                  <c:v>0.14233468528067911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712"/>
        <c:axId val="14757248"/>
      </c:scatterChart>
      <c:valAx>
        <c:axId val="147557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4757248"/>
        <c:crosses val="autoZero"/>
        <c:crossBetween val="midCat"/>
      </c:valAx>
      <c:valAx>
        <c:axId val="14757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75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2'!$C$52</c:f>
              <c:strCache>
                <c:ptCount val="1"/>
                <c:pt idx="0">
                  <c:v>yk</c:v>
                </c:pt>
              </c:strCache>
            </c:strRef>
          </c:tx>
          <c:marker>
            <c:symbol val="none"/>
          </c:marker>
          <c:dPt>
            <c:idx val="4"/>
            <c:marker>
              <c:symbol val="auto"/>
            </c:marker>
            <c:bubble3D val="0"/>
          </c:dPt>
          <c:xVal>
            <c:numRef>
              <c:f>'Метод 2'!$F$51:$U$51</c:f>
              <c:numCache>
                <c:formatCode>0.000</c:formatCode>
                <c:ptCount val="16"/>
                <c:pt idx="0">
                  <c:v>0.3979400086720376</c:v>
                </c:pt>
                <c:pt idx="1">
                  <c:v>0.47712125471966244</c:v>
                </c:pt>
                <c:pt idx="2">
                  <c:v>0.54406804435027567</c:v>
                </c:pt>
                <c:pt idx="3">
                  <c:v>0.6020599913279624</c:v>
                </c:pt>
                <c:pt idx="4">
                  <c:v>0.65321251377534373</c:v>
                </c:pt>
                <c:pt idx="5">
                  <c:v>0.69897000433601886</c:v>
                </c:pt>
                <c:pt idx="6">
                  <c:v>0.74036268949424389</c:v>
                </c:pt>
                <c:pt idx="7">
                  <c:v>0.77815125038364363</c:v>
                </c:pt>
                <c:pt idx="8">
                  <c:v>0.81291335664285558</c:v>
                </c:pt>
                <c:pt idx="9">
                  <c:v>0.84509804001425681</c:v>
                </c:pt>
                <c:pt idx="10">
                  <c:v>0.87506126339170009</c:v>
                </c:pt>
                <c:pt idx="11">
                  <c:v>0.90308998699194354</c:v>
                </c:pt>
                <c:pt idx="12">
                  <c:v>0.92941892571429274</c:v>
                </c:pt>
                <c:pt idx="13">
                  <c:v>0.95424250943932487</c:v>
                </c:pt>
                <c:pt idx="14">
                  <c:v>0.97772360528884772</c:v>
                </c:pt>
                <c:pt idx="15">
                  <c:v>1</c:v>
                </c:pt>
              </c:numCache>
            </c:numRef>
          </c:xVal>
          <c:yVal>
            <c:numRef>
              <c:f>'Метод 2'!$F$52:$U$52</c:f>
              <c:numCache>
                <c:formatCode>0.000</c:formatCode>
                <c:ptCount val="16"/>
                <c:pt idx="0">
                  <c:v>5.9370953688657538E-2</c:v>
                </c:pt>
                <c:pt idx="1">
                  <c:v>9.9942144732376392E-2</c:v>
                </c:pt>
                <c:pt idx="2">
                  <c:v>0.14905901825916232</c:v>
                </c:pt>
                <c:pt idx="3">
                  <c:v>0.19943592444390837</c:v>
                </c:pt>
                <c:pt idx="4">
                  <c:v>0.21978393421290657</c:v>
                </c:pt>
                <c:pt idx="5">
                  <c:v>0.19350047513949839</c:v>
                </c:pt>
                <c:pt idx="6">
                  <c:v>0.18733928064984423</c:v>
                </c:pt>
                <c:pt idx="7">
                  <c:v>0.13495769227732773</c:v>
                </c:pt>
                <c:pt idx="8">
                  <c:v>0.12589465330696656</c:v>
                </c:pt>
                <c:pt idx="9">
                  <c:v>0.14166295346697341</c:v>
                </c:pt>
                <c:pt idx="10">
                  <c:v>0.12076806026695625</c:v>
                </c:pt>
                <c:pt idx="11">
                  <c:v>0.12329780606979925</c:v>
                </c:pt>
                <c:pt idx="12">
                  <c:v>0.16663709856610115</c:v>
                </c:pt>
                <c:pt idx="13">
                  <c:v>0.20491483854644063</c:v>
                </c:pt>
                <c:pt idx="14">
                  <c:v>0.23318649911782294</c:v>
                </c:pt>
                <c:pt idx="15">
                  <c:v>0.25455752471480181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'Метод 2'!$C$53</c:f>
              <c:strCache>
                <c:ptCount val="1"/>
                <c:pt idx="0">
                  <c:v>yk</c:v>
                </c:pt>
              </c:strCache>
            </c:strRef>
          </c:tx>
          <c:marker>
            <c:symbol val="none"/>
          </c:marker>
          <c:xVal>
            <c:numRef>
              <c:f>'Метод 2'!$F$51:$U$51</c:f>
              <c:numCache>
                <c:formatCode>0.000</c:formatCode>
                <c:ptCount val="16"/>
                <c:pt idx="0">
                  <c:v>0.3979400086720376</c:v>
                </c:pt>
                <c:pt idx="1">
                  <c:v>0.47712125471966244</c:v>
                </c:pt>
                <c:pt idx="2">
                  <c:v>0.54406804435027567</c:v>
                </c:pt>
                <c:pt idx="3">
                  <c:v>0.6020599913279624</c:v>
                </c:pt>
                <c:pt idx="4">
                  <c:v>0.65321251377534373</c:v>
                </c:pt>
                <c:pt idx="5">
                  <c:v>0.69897000433601886</c:v>
                </c:pt>
                <c:pt idx="6">
                  <c:v>0.74036268949424389</c:v>
                </c:pt>
                <c:pt idx="7">
                  <c:v>0.77815125038364363</c:v>
                </c:pt>
                <c:pt idx="8">
                  <c:v>0.81291335664285558</c:v>
                </c:pt>
                <c:pt idx="9">
                  <c:v>0.84509804001425681</c:v>
                </c:pt>
                <c:pt idx="10">
                  <c:v>0.87506126339170009</c:v>
                </c:pt>
                <c:pt idx="11">
                  <c:v>0.90308998699194354</c:v>
                </c:pt>
                <c:pt idx="12">
                  <c:v>0.92941892571429274</c:v>
                </c:pt>
                <c:pt idx="13">
                  <c:v>0.95424250943932487</c:v>
                </c:pt>
                <c:pt idx="14">
                  <c:v>0.97772360528884772</c:v>
                </c:pt>
                <c:pt idx="15">
                  <c:v>1</c:v>
                </c:pt>
              </c:numCache>
            </c:numRef>
          </c:xVal>
          <c:yVal>
            <c:numRef>
              <c:f>'Метод 2'!$F$53:$U$53</c:f>
              <c:numCache>
                <c:formatCode>0.000</c:formatCode>
                <c:ptCount val="16"/>
                <c:pt idx="0">
                  <c:v>2.3626077825731524E-2</c:v>
                </c:pt>
                <c:pt idx="1">
                  <c:v>4.7684521494085523E-2</c:v>
                </c:pt>
                <c:pt idx="2">
                  <c:v>8.1098248557034472E-2</c:v>
                </c:pt>
                <c:pt idx="3">
                  <c:v>0.12007239094118363</c:v>
                </c:pt>
                <c:pt idx="4">
                  <c:v>0.14356561615464747</c:v>
                </c:pt>
                <c:pt idx="5">
                  <c:v>0.13525102794727689</c:v>
                </c:pt>
                <c:pt idx="6">
                  <c:v>0.13869901366983564</c:v>
                </c:pt>
                <c:pt idx="7">
                  <c:v>0.10501749699449359</c:v>
                </c:pt>
                <c:pt idx="8">
                  <c:v>0.10234144520315476</c:v>
                </c:pt>
                <c:pt idx="9">
                  <c:v>0.1197190843175701</c:v>
                </c:pt>
                <c:pt idx="10">
                  <c:v>0.10567945139456771</c:v>
                </c:pt>
                <c:pt idx="11">
                  <c:v>0.11134901407971018</c:v>
                </c:pt>
                <c:pt idx="12">
                  <c:v>0.15487567313345244</c:v>
                </c:pt>
                <c:pt idx="13">
                  <c:v>0.19553844975590962</c:v>
                </c:pt>
                <c:pt idx="14">
                  <c:v>0.22799194462216255</c:v>
                </c:pt>
                <c:pt idx="15">
                  <c:v>0.25455752471480181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44576"/>
        <c:axId val="155542656"/>
      </c:scatterChart>
      <c:valAx>
        <c:axId val="155544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55542656"/>
        <c:crosses val="autoZero"/>
        <c:crossBetween val="midCat"/>
      </c:valAx>
      <c:valAx>
        <c:axId val="155542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554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815974</xdr:colOff>
      <xdr:row>55</xdr:row>
      <xdr:rowOff>184149</xdr:rowOff>
    </xdr:from>
    <xdr:to>
      <xdr:col>23</xdr:col>
      <xdr:colOff>539749</xdr:colOff>
      <xdr:row>73</xdr:row>
      <xdr:rowOff>15874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55</xdr:row>
      <xdr:rowOff>104774</xdr:rowOff>
    </xdr:from>
    <xdr:to>
      <xdr:col>20</xdr:col>
      <xdr:colOff>714375</xdr:colOff>
      <xdr:row>75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abSelected="1" zoomScale="60" zoomScaleNormal="60" workbookViewId="0">
      <selection activeCell="C2" sqref="C2"/>
    </sheetView>
  </sheetViews>
  <sheetFormatPr defaultRowHeight="15" x14ac:dyDescent="0.25"/>
  <cols>
    <col min="1" max="3" width="9.140625" style="2"/>
    <col min="4" max="4" width="17" style="2" customWidth="1"/>
    <col min="5" max="5" width="9.140625" style="2"/>
    <col min="6" max="6" width="13.28515625" style="2" bestFit="1" customWidth="1"/>
    <col min="7" max="7" width="13.85546875" style="2" customWidth="1"/>
    <col min="8" max="8" width="13.140625" style="2" customWidth="1"/>
    <col min="9" max="9" width="9.140625" style="2"/>
    <col min="10" max="10" width="10.5703125" style="2" customWidth="1"/>
    <col min="11" max="11" width="11.42578125" style="2" customWidth="1"/>
    <col min="12" max="12" width="16.7109375" style="2" customWidth="1"/>
    <col min="13" max="13" width="12.28515625" style="2" customWidth="1"/>
    <col min="14" max="14" width="12.5703125" style="2" customWidth="1"/>
    <col min="15" max="15" width="9.140625" style="2"/>
    <col min="16" max="16" width="12.85546875" style="2" customWidth="1"/>
    <col min="17" max="17" width="11.42578125" style="2" customWidth="1"/>
    <col min="18" max="20" width="9.140625" style="2"/>
    <col min="21" max="21" width="13.140625" style="2" customWidth="1"/>
    <col min="22" max="22" width="9.140625" style="2"/>
    <col min="23" max="23" width="14.5703125" style="2" customWidth="1"/>
    <col min="24" max="24" width="11.42578125" style="2" customWidth="1"/>
    <col min="25" max="25" width="9.140625" style="2"/>
    <col min="26" max="26" width="11.7109375" style="2" customWidth="1"/>
    <col min="27" max="27" width="12.85546875" style="2" customWidth="1"/>
    <col min="28" max="28" width="18.28515625" style="2" customWidth="1"/>
    <col min="29" max="32" width="9.140625" style="2"/>
    <col min="33" max="33" width="11.7109375" style="2" customWidth="1"/>
    <col min="34" max="34" width="14.28515625" style="2" customWidth="1"/>
    <col min="35" max="35" width="9.140625" style="2"/>
    <col min="36" max="36" width="11" style="2" customWidth="1"/>
    <col min="37" max="37" width="11.7109375" style="2" customWidth="1"/>
    <col min="38" max="16384" width="9.140625" style="2"/>
  </cols>
  <sheetData>
    <row r="1" spans="1:29" x14ac:dyDescent="0.25">
      <c r="A1" s="1" t="s">
        <v>9</v>
      </c>
      <c r="B1" s="1" t="s">
        <v>0</v>
      </c>
      <c r="C1" s="24"/>
      <c r="E1" s="2" t="s">
        <v>15</v>
      </c>
    </row>
    <row r="2" spans="1:29" x14ac:dyDescent="0.25">
      <c r="A2" s="3">
        <v>1</v>
      </c>
      <c r="B2" s="9">
        <v>29.047699999999999</v>
      </c>
      <c r="C2" s="19"/>
      <c r="D2" s="14" t="s">
        <v>87</v>
      </c>
      <c r="L2" s="14" t="s">
        <v>88</v>
      </c>
      <c r="U2" s="2" t="s">
        <v>89</v>
      </c>
    </row>
    <row r="3" spans="1:29" x14ac:dyDescent="0.25">
      <c r="A3" s="3">
        <v>2</v>
      </c>
      <c r="B3" s="9">
        <v>28.963899999999999</v>
      </c>
      <c r="C3" s="19"/>
      <c r="D3" s="23" t="s">
        <v>8</v>
      </c>
      <c r="E3" s="4" t="s">
        <v>1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L3" s="23" t="s">
        <v>16</v>
      </c>
      <c r="M3" s="4" t="s">
        <v>1</v>
      </c>
      <c r="N3" s="4" t="s">
        <v>10</v>
      </c>
      <c r="O3" s="4" t="s">
        <v>11</v>
      </c>
      <c r="P3" s="4" t="s">
        <v>12</v>
      </c>
      <c r="Q3" s="4" t="s">
        <v>13</v>
      </c>
      <c r="R3" s="12"/>
      <c r="S3" s="12"/>
      <c r="U3" s="2" t="s">
        <v>18</v>
      </c>
      <c r="V3" s="4" t="s">
        <v>1</v>
      </c>
      <c r="W3" s="4" t="s">
        <v>10</v>
      </c>
      <c r="X3" s="4" t="s">
        <v>11</v>
      </c>
      <c r="Y3" s="4" t="s">
        <v>12</v>
      </c>
    </row>
    <row r="4" spans="1:29" x14ac:dyDescent="0.25">
      <c r="A4" s="3">
        <v>3</v>
      </c>
      <c r="B4" s="9">
        <v>28.659800000000001</v>
      </c>
      <c r="C4" s="19"/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M4" s="5" t="s">
        <v>17</v>
      </c>
      <c r="N4" s="5" t="s">
        <v>65</v>
      </c>
      <c r="O4" s="5" t="s">
        <v>66</v>
      </c>
      <c r="P4" s="5" t="s">
        <v>67</v>
      </c>
      <c r="Q4" s="5" t="s">
        <v>68</v>
      </c>
      <c r="R4" s="7"/>
      <c r="S4" s="7"/>
      <c r="V4" s="5" t="s">
        <v>69</v>
      </c>
      <c r="W4" s="5" t="s">
        <v>70</v>
      </c>
      <c r="X4" s="5" t="s">
        <v>71</v>
      </c>
      <c r="Y4" s="5" t="s">
        <v>95</v>
      </c>
    </row>
    <row r="5" spans="1:29" x14ac:dyDescent="0.25">
      <c r="A5" s="3">
        <v>4</v>
      </c>
      <c r="B5" s="9">
        <v>28.7515</v>
      </c>
      <c r="C5" s="19"/>
      <c r="E5" s="9">
        <f>B2</f>
        <v>29.047699999999999</v>
      </c>
      <c r="F5" s="6">
        <f>B5</f>
        <v>28.7515</v>
      </c>
      <c r="G5" s="6">
        <f>B8</f>
        <v>29.253699999999998</v>
      </c>
      <c r="H5" s="6">
        <f>B11</f>
        <v>28.884</v>
      </c>
      <c r="I5" s="6">
        <f>B14</f>
        <v>28.570799999999998</v>
      </c>
      <c r="J5" s="6">
        <f>B17</f>
        <v>28.3324</v>
      </c>
      <c r="M5" s="9">
        <f>B2</f>
        <v>29.047699999999999</v>
      </c>
      <c r="N5" s="6">
        <f>B6</f>
        <v>28.66</v>
      </c>
      <c r="O5" s="6">
        <f>B10</f>
        <v>29.2151</v>
      </c>
      <c r="P5" s="6">
        <f>B14</f>
        <v>28.570799999999998</v>
      </c>
      <c r="Q5" s="6">
        <f>B18</f>
        <v>27.8217</v>
      </c>
      <c r="R5" s="8"/>
      <c r="S5" s="8"/>
      <c r="V5" s="9">
        <f>B2</f>
        <v>29.047699999999999</v>
      </c>
      <c r="W5" s="6">
        <f>B7</f>
        <v>28.66</v>
      </c>
      <c r="X5" s="6">
        <f>B12</f>
        <v>28.944199999999999</v>
      </c>
      <c r="Y5" s="6">
        <f>B17</f>
        <v>28.3324</v>
      </c>
    </row>
    <row r="6" spans="1:29" x14ac:dyDescent="0.25">
      <c r="A6" s="3">
        <v>5</v>
      </c>
      <c r="B6" s="9">
        <v>28.66</v>
      </c>
      <c r="C6" s="19"/>
      <c r="E6" s="9">
        <f t="shared" ref="E6:E7" si="0">B3</f>
        <v>28.963899999999999</v>
      </c>
      <c r="F6" s="6">
        <f t="shared" ref="F6:F7" si="1">B6</f>
        <v>28.66</v>
      </c>
      <c r="G6" s="6">
        <f t="shared" ref="G6:G7" si="2">B9</f>
        <v>29.124500000000001</v>
      </c>
      <c r="H6" s="6">
        <f t="shared" ref="H6:H7" si="3">B12</f>
        <v>28.944199999999999</v>
      </c>
      <c r="I6" s="6">
        <f t="shared" ref="I6:I7" si="4">B15</f>
        <v>28.602900000000002</v>
      </c>
      <c r="J6" s="6">
        <f t="shared" ref="J6:J7" si="5">B18</f>
        <v>27.8217</v>
      </c>
      <c r="M6" s="9">
        <f>B3</f>
        <v>28.963899999999999</v>
      </c>
      <c r="N6" s="6">
        <f>B7</f>
        <v>28.66</v>
      </c>
      <c r="O6" s="6">
        <f>B11</f>
        <v>28.884</v>
      </c>
      <c r="P6" s="6">
        <f>B15</f>
        <v>28.602900000000002</v>
      </c>
      <c r="Q6" s="6">
        <f>B19</f>
        <v>27.725300000000001</v>
      </c>
      <c r="R6" s="8"/>
      <c r="S6" s="8"/>
      <c r="V6" s="9">
        <f>B3</f>
        <v>28.963899999999999</v>
      </c>
      <c r="W6" s="6">
        <f>B8</f>
        <v>29.253699999999998</v>
      </c>
      <c r="X6" s="6">
        <f>B13</f>
        <v>28.7681</v>
      </c>
      <c r="Y6" s="6">
        <f>B18</f>
        <v>27.8217</v>
      </c>
    </row>
    <row r="7" spans="1:29" x14ac:dyDescent="0.25">
      <c r="A7" s="3">
        <v>6</v>
      </c>
      <c r="B7" s="9">
        <v>28.66</v>
      </c>
      <c r="C7" s="19"/>
      <c r="E7" s="9">
        <f t="shared" si="0"/>
        <v>28.659800000000001</v>
      </c>
      <c r="F7" s="6">
        <f t="shared" si="1"/>
        <v>28.66</v>
      </c>
      <c r="G7" s="6">
        <f t="shared" si="2"/>
        <v>29.2151</v>
      </c>
      <c r="H7" s="6">
        <f t="shared" si="3"/>
        <v>28.7681</v>
      </c>
      <c r="I7" s="6">
        <f t="shared" si="4"/>
        <v>28.256499999999999</v>
      </c>
      <c r="J7" s="6">
        <f t="shared" si="5"/>
        <v>27.725300000000001</v>
      </c>
      <c r="M7" s="9">
        <f>B4</f>
        <v>28.659800000000001</v>
      </c>
      <c r="N7" s="6">
        <f>B8</f>
        <v>29.253699999999998</v>
      </c>
      <c r="O7" s="6">
        <f>B12</f>
        <v>28.944199999999999</v>
      </c>
      <c r="P7" s="6">
        <f>B16</f>
        <v>28.256499999999999</v>
      </c>
      <c r="Q7" s="6">
        <f>B20</f>
        <v>27.725300000000001</v>
      </c>
      <c r="R7" s="8"/>
      <c r="S7" s="8"/>
      <c r="V7" s="9">
        <f>B4</f>
        <v>28.659800000000001</v>
      </c>
      <c r="W7" s="6">
        <f>B9</f>
        <v>29.124500000000001</v>
      </c>
      <c r="X7" s="6">
        <f>B14</f>
        <v>28.570799999999998</v>
      </c>
      <c r="Y7" s="6">
        <f>B19</f>
        <v>27.725300000000001</v>
      </c>
    </row>
    <row r="8" spans="1:29" x14ac:dyDescent="0.25">
      <c r="A8" s="3">
        <v>7</v>
      </c>
      <c r="B8" s="9">
        <v>29.253699999999998</v>
      </c>
      <c r="C8" s="19"/>
      <c r="D8" s="2" t="s">
        <v>24</v>
      </c>
      <c r="E8" s="10">
        <f>AVERAGE(E5:E7)</f>
        <v>28.890466666666669</v>
      </c>
      <c r="F8" s="10">
        <f t="shared" ref="F8:J8" si="6">AVERAGE(F5:F7)</f>
        <v>28.6905</v>
      </c>
      <c r="G8" s="10">
        <f t="shared" si="6"/>
        <v>29.197766666666666</v>
      </c>
      <c r="H8" s="10">
        <f t="shared" si="6"/>
        <v>28.865433333333332</v>
      </c>
      <c r="I8" s="10">
        <f t="shared" si="6"/>
        <v>28.476733333333332</v>
      </c>
      <c r="J8" s="10">
        <f t="shared" si="6"/>
        <v>27.959800000000001</v>
      </c>
      <c r="M8" s="9">
        <f>B5</f>
        <v>28.7515</v>
      </c>
      <c r="N8" s="6">
        <f>B9</f>
        <v>29.124500000000001</v>
      </c>
      <c r="O8" s="6">
        <f>B13</f>
        <v>28.7681</v>
      </c>
      <c r="P8" s="6">
        <f>B17</f>
        <v>28.3324</v>
      </c>
      <c r="Q8" s="6">
        <f>B21</f>
        <v>27.725300000000001</v>
      </c>
      <c r="R8" s="8"/>
      <c r="S8" s="8"/>
      <c r="V8" s="9">
        <f>B5</f>
        <v>28.7515</v>
      </c>
      <c r="W8" s="6">
        <f>B10</f>
        <v>29.2151</v>
      </c>
      <c r="X8" s="6">
        <f>B15</f>
        <v>28.602900000000002</v>
      </c>
      <c r="Y8" s="6">
        <f>B20</f>
        <v>27.725300000000001</v>
      </c>
    </row>
    <row r="9" spans="1:29" x14ac:dyDescent="0.25">
      <c r="A9" s="3">
        <v>8</v>
      </c>
      <c r="B9" s="9">
        <v>29.124500000000001</v>
      </c>
      <c r="C9" s="19"/>
      <c r="L9" s="2" t="s">
        <v>24</v>
      </c>
      <c r="M9" s="10">
        <f>AVERAGE(M5:M8)</f>
        <v>28.855725</v>
      </c>
      <c r="N9" s="10">
        <f t="shared" ref="N9:Q9" si="7">AVERAGE(N5:N8)</f>
        <v>28.92455</v>
      </c>
      <c r="O9" s="10">
        <f t="shared" si="7"/>
        <v>28.952850000000002</v>
      </c>
      <c r="P9" s="10">
        <f t="shared" si="7"/>
        <v>28.440649999999998</v>
      </c>
      <c r="Q9" s="10">
        <f t="shared" si="7"/>
        <v>27.749400000000001</v>
      </c>
      <c r="R9" s="8"/>
      <c r="S9" s="8"/>
      <c r="V9" s="9">
        <f>B6</f>
        <v>28.66</v>
      </c>
      <c r="W9" s="6">
        <f>B11</f>
        <v>28.884</v>
      </c>
      <c r="X9" s="6">
        <f>B16</f>
        <v>28.256499999999999</v>
      </c>
      <c r="Y9" s="6">
        <f>B21</f>
        <v>27.725300000000001</v>
      </c>
    </row>
    <row r="10" spans="1:29" ht="30" x14ac:dyDescent="0.25">
      <c r="A10" s="3">
        <v>9</v>
      </c>
      <c r="B10" s="9">
        <v>29.2151</v>
      </c>
      <c r="C10" s="19"/>
      <c r="D10" s="16" t="s">
        <v>25</v>
      </c>
      <c r="E10" s="3" t="s">
        <v>26</v>
      </c>
      <c r="F10" s="3" t="s">
        <v>27</v>
      </c>
      <c r="G10" s="3" t="s">
        <v>28</v>
      </c>
      <c r="H10" s="17" t="s">
        <v>29</v>
      </c>
      <c r="I10" s="3" t="s">
        <v>30</v>
      </c>
      <c r="J10" s="21" t="s">
        <v>31</v>
      </c>
      <c r="R10" s="13"/>
      <c r="S10" s="13"/>
      <c r="U10" s="15" t="s">
        <v>24</v>
      </c>
      <c r="V10" s="10">
        <f>AVERAGE(V5:V9)</f>
        <v>28.816579999999998</v>
      </c>
      <c r="W10" s="10">
        <f t="shared" ref="W10:Y10" si="8">AVERAGE(W5:W9)</f>
        <v>29.027459999999998</v>
      </c>
      <c r="X10" s="10">
        <f t="shared" si="8"/>
        <v>28.628499999999995</v>
      </c>
      <c r="Y10" s="10">
        <f t="shared" si="8"/>
        <v>27.866000000000003</v>
      </c>
    </row>
    <row r="11" spans="1:29" ht="30" x14ac:dyDescent="0.25">
      <c r="A11" s="3">
        <v>10</v>
      </c>
      <c r="B11" s="9">
        <v>28.884</v>
      </c>
      <c r="C11" s="19"/>
      <c r="D11" s="3" t="s">
        <v>1</v>
      </c>
      <c r="E11" s="6">
        <f>(E5-$E$8)+(E6-$E$8)</f>
        <v>0.2306666666666608</v>
      </c>
      <c r="F11" s="18">
        <f>(E5-E$8)+(E6-E$8)+(E7-E$8)</f>
        <v>-7.1054273576010019E-15</v>
      </c>
      <c r="G11" s="6">
        <f>MAX(E11:F11)-MIN(E11:F11)</f>
        <v>0.23066666666666791</v>
      </c>
      <c r="H11" s="6">
        <f>SQRT((E5-E8)^2+(E6-E8)^2+(E7-E8)^2)</f>
        <v>0.28865530770568881</v>
      </c>
      <c r="I11" s="6">
        <f>G11/H11</f>
        <v>0.79910765715714549</v>
      </c>
      <c r="J11" s="22">
        <f>AVERAGE(I11:I16)</f>
        <v>0.58049293919822287</v>
      </c>
      <c r="L11" s="16" t="s">
        <v>25</v>
      </c>
      <c r="M11" s="3" t="s">
        <v>32</v>
      </c>
      <c r="N11" s="3" t="s">
        <v>33</v>
      </c>
      <c r="O11" s="3" t="s">
        <v>34</v>
      </c>
      <c r="P11" s="3" t="s">
        <v>28</v>
      </c>
      <c r="Q11" s="17" t="s">
        <v>29</v>
      </c>
      <c r="R11" s="3" t="s">
        <v>30</v>
      </c>
      <c r="S11" s="21" t="s">
        <v>31</v>
      </c>
      <c r="U11" s="15"/>
    </row>
    <row r="12" spans="1:29" ht="35.25" customHeight="1" x14ac:dyDescent="0.25">
      <c r="A12" s="3">
        <v>11</v>
      </c>
      <c r="B12" s="9">
        <v>28.944199999999999</v>
      </c>
      <c r="C12" s="19"/>
      <c r="D12" s="3" t="s">
        <v>10</v>
      </c>
      <c r="E12" s="6">
        <f>(F$5-F$8)+(F$6-F$8)</f>
        <v>3.0499999999999972E-2</v>
      </c>
      <c r="F12" s="18">
        <f>(F5-F$8)+(F6-F$8)+(F7-F$8)</f>
        <v>0</v>
      </c>
      <c r="G12" s="6">
        <f t="shared" ref="G12:G16" si="9">MAX(E12:F12)-MIN(E12:F12)</f>
        <v>3.0499999999999972E-2</v>
      </c>
      <c r="H12" s="6">
        <f>SQRT((F$5-F$8)^2+(F$6-F$8)^2+(F$7-F$8)^2)</f>
        <v>7.4709437154886857E-2</v>
      </c>
      <c r="I12" s="6">
        <f t="shared" ref="I12:I16" si="10">G12/H12</f>
        <v>0.40824829046386307</v>
      </c>
      <c r="J12" s="6"/>
      <c r="L12" s="3" t="s">
        <v>1</v>
      </c>
      <c r="M12" s="6">
        <f>(M$5-M$9)+(M$6-M$9)</f>
        <v>0.30014999999999858</v>
      </c>
      <c r="N12" s="18">
        <f>(M$5-M$9)+(M$6-M$9)+(M$7-M$9)</f>
        <v>0.10422499999999957</v>
      </c>
      <c r="O12" s="18">
        <f>(M$5-M$9)+(M$6-M$9)+(M$7-M$9)+(M$8-M$9)</f>
        <v>0</v>
      </c>
      <c r="P12" s="18">
        <f>MAX(M12:O12)-MIN(M12:O12)</f>
        <v>0.30014999999999858</v>
      </c>
      <c r="Q12" s="6">
        <f>SQRT((M$5-M$9)^2+(M$6-M$9)^2+(M$7-M$9)^2+(M$8-M$9)^2)</f>
        <v>0.31273900859982129</v>
      </c>
      <c r="R12" s="6">
        <f>P12/Q12</f>
        <v>0.95974595987822064</v>
      </c>
      <c r="S12" s="22">
        <f>AVERAGE(R12:R16)</f>
        <v>0.74532898781039669</v>
      </c>
      <c r="U12" s="16" t="s">
        <v>25</v>
      </c>
      <c r="V12" s="3" t="s">
        <v>35</v>
      </c>
      <c r="W12" s="3" t="s">
        <v>36</v>
      </c>
      <c r="X12" s="3" t="s">
        <v>37</v>
      </c>
      <c r="Y12" s="3" t="s">
        <v>38</v>
      </c>
      <c r="Z12" s="3" t="s">
        <v>28</v>
      </c>
      <c r="AA12" s="17" t="s">
        <v>29</v>
      </c>
      <c r="AB12" s="3" t="s">
        <v>30</v>
      </c>
      <c r="AC12" s="21" t="s">
        <v>31</v>
      </c>
    </row>
    <row r="13" spans="1:29" x14ac:dyDescent="0.25">
      <c r="A13" s="3">
        <v>12</v>
      </c>
      <c r="B13" s="9">
        <v>28.7681</v>
      </c>
      <c r="C13" s="19"/>
      <c r="D13" s="3" t="s">
        <v>11</v>
      </c>
      <c r="E13" s="6">
        <f>(G$5-G$8)+(G$6-G$8)</f>
        <v>-1.7333333333333201E-2</v>
      </c>
      <c r="F13" s="18">
        <f>(G5-G$8)+(G6-G$8)+(G7-G$8)</f>
        <v>0</v>
      </c>
      <c r="G13" s="6">
        <f t="shared" si="9"/>
        <v>1.7333333333333201E-2</v>
      </c>
      <c r="H13" s="6">
        <f>SQRT((G$5-G$8)^2+(G$6-G$8)^2+(G$7-G$8)^2)</f>
        <v>9.3792252700669862E-2</v>
      </c>
      <c r="I13" s="6">
        <f t="shared" si="10"/>
        <v>0.1848055978424048</v>
      </c>
      <c r="J13" s="6"/>
      <c r="L13" s="3" t="s">
        <v>10</v>
      </c>
      <c r="M13" s="6">
        <f>(N$5-N$9)+(N$6-N$9)</f>
        <v>-0.52909999999999968</v>
      </c>
      <c r="N13" s="18">
        <f>(N$5-N$9)+(N$6-N$9)+(N$7-N$9)</f>
        <v>-0.19995000000000118</v>
      </c>
      <c r="O13" s="18">
        <f>(N$5-N$9)+(N$6-N$9)+(N$7-N$9)+(N$8-N$9)</f>
        <v>0</v>
      </c>
      <c r="P13" s="18">
        <f t="shared" ref="P13:P16" si="11">MAX(M13:O13)-MIN(M13:O13)</f>
        <v>0.52909999999999968</v>
      </c>
      <c r="Q13" s="6">
        <f>SQRT((N$5-N$9)^2+(N$6-N$9)^2+(N$7-N$9)^2+(N$8-N$9)^2)</f>
        <v>0.53692935289477273</v>
      </c>
      <c r="R13" s="6">
        <f t="shared" ref="R13:R16" si="12">P13/Q13</f>
        <v>0.98541828109682905</v>
      </c>
      <c r="S13" s="6"/>
      <c r="U13" s="3" t="s">
        <v>1</v>
      </c>
      <c r="V13" s="26">
        <f>(V$5-V$10)+(V$6-V$10)</f>
        <v>0.37844000000000122</v>
      </c>
      <c r="W13" s="26">
        <f>(V$5-V$10)+(V$6-V$10)+(V$7-V$10)</f>
        <v>0.22166000000000352</v>
      </c>
      <c r="X13" s="26">
        <f>(V$5-V$10)+(V$6-V$10)+(V$7-V$10)+(V$8-V$10)</f>
        <v>0.15658000000000527</v>
      </c>
      <c r="Y13" s="26">
        <f>(V$5-V$10)+(V$6-V$10)+(V$7-V$10)+(V$8-V$10)+(V$9-V10)</f>
        <v>7.1054273576010019E-15</v>
      </c>
      <c r="Z13" s="26">
        <f>MAX(V13:Y13)-MIN(V13:Y13)</f>
        <v>0.37843999999999411</v>
      </c>
      <c r="AA13" s="26">
        <f>SQRT((V$5-V$10)^2+(V$6-V$10)^2+(V$7-V$10)^2+(V$8-V$10)^2+(V$9-V$10)^2)</f>
        <v>0.3584024386077736</v>
      </c>
      <c r="AB13" s="26">
        <f>Z13/AA13</f>
        <v>1.0559079940138161</v>
      </c>
      <c r="AC13" s="22">
        <f>AVERAGE(AB13:AB16)</f>
        <v>0.63227952550640776</v>
      </c>
    </row>
    <row r="14" spans="1:29" x14ac:dyDescent="0.25">
      <c r="A14" s="3">
        <v>13</v>
      </c>
      <c r="B14" s="9">
        <v>28.570799999999998</v>
      </c>
      <c r="C14" s="19"/>
      <c r="D14" s="3" t="s">
        <v>12</v>
      </c>
      <c r="E14" s="6">
        <f>(H$5-H8)+(H$6-H$8)</f>
        <v>9.7333333333335048E-2</v>
      </c>
      <c r="F14" s="18">
        <f>(H5-H$8)+(H6-H$8)+(H7-H$8)</f>
        <v>3.5527136788005009E-15</v>
      </c>
      <c r="G14" s="6">
        <f t="shared" si="9"/>
        <v>9.7333333333331495E-2</v>
      </c>
      <c r="H14" s="6">
        <f>SQRT((H$5-H$8)^2+(H$6-H$8)^2+(H$7-H$8)^2)</f>
        <v>0.12658075156462917</v>
      </c>
      <c r="I14" s="6">
        <f t="shared" si="10"/>
        <v>0.76894260881075094</v>
      </c>
      <c r="J14" s="6"/>
      <c r="L14" s="3" t="s">
        <v>11</v>
      </c>
      <c r="M14" s="6">
        <f>(O$5-O$6)+(O$6-O$9)</f>
        <v>0.2622499999999981</v>
      </c>
      <c r="N14" s="18">
        <f>(O$5-O$9)+(O$6-O$9)+(O$7-O$9)</f>
        <v>0.18474999999999397</v>
      </c>
      <c r="O14" s="18">
        <f>(O$5-O$9)+(O$6-O$9)+(O$7-O$9)+(O$8-O$9)</f>
        <v>-7.1054273576010019E-15</v>
      </c>
      <c r="P14" s="18">
        <f t="shared" si="11"/>
        <v>0.2622500000000052</v>
      </c>
      <c r="Q14" s="6">
        <f>SQRT((O$5-O$9)^2+(O$6-O$9)^2+(O$7-O$9)^2+(O$8-O$9)^2)</f>
        <v>0.32821147146314006</v>
      </c>
      <c r="R14" s="6">
        <f t="shared" si="12"/>
        <v>0.79902752585373094</v>
      </c>
      <c r="S14" s="6"/>
      <c r="U14" s="3" t="s">
        <v>10</v>
      </c>
      <c r="V14" s="26">
        <f>(W$5-W$10)+(W$6-W$10)</f>
        <v>-0.14121999999999701</v>
      </c>
      <c r="W14" s="26">
        <f>(W$5-W$10)+(W$6-W$10)+(W$7-W$10)</f>
        <v>-4.4179999999993669E-2</v>
      </c>
      <c r="X14" s="26">
        <f>(W$5-W$10)+(W$6-W$10)+(W$7-W$10)+(W$8-W$10)</f>
        <v>0.14346000000000814</v>
      </c>
      <c r="Y14" s="26">
        <f>(W$5-W$10)+(W$6-W$10)+(W$7-W$10)+(W$8-W$10)+(W$9-W10)</f>
        <v>1.0658141036401503E-14</v>
      </c>
      <c r="Z14" s="26">
        <f t="shared" ref="Z14:Z16" si="13">MAX(V14:Y14)-MIN(V14:Y14)</f>
        <v>0.28468000000000515</v>
      </c>
      <c r="AA14" s="26">
        <f>SQRT((W$5-W$10)^2+(W$6-W$10)^2+(W$7-W$10)^2+(W$8-W$10)^2+(W$9-W$10)^2)</f>
        <v>0.50141568782797297</v>
      </c>
      <c r="AB14" s="26">
        <f t="shared" ref="AB14:AB16" si="14">Z14/AA14</f>
        <v>0.56775247945108953</v>
      </c>
      <c r="AC14" s="6"/>
    </row>
    <row r="15" spans="1:29" x14ac:dyDescent="0.25">
      <c r="A15" s="3">
        <v>14</v>
      </c>
      <c r="B15" s="9">
        <v>28.602900000000002</v>
      </c>
      <c r="C15" s="19"/>
      <c r="D15" s="3" t="s">
        <v>13</v>
      </c>
      <c r="E15" s="6">
        <f>(I$5-I$8)+(I$6-I$8)</f>
        <v>0.22023333333333639</v>
      </c>
      <c r="F15" s="18">
        <f>(I5-I$8)+(I6-I$8)+(I7-I$8)</f>
        <v>3.5527136788005009E-15</v>
      </c>
      <c r="G15" s="6">
        <f t="shared" si="9"/>
        <v>0.22023333333333284</v>
      </c>
      <c r="H15" s="6">
        <f>SQRT((I$5-I$8)^2+(I$6-I$8)^2+(I$7-I$8)^2)</f>
        <v>0.27068300032818321</v>
      </c>
      <c r="I15" s="6">
        <f t="shared" si="10"/>
        <v>0.81362085194236855</v>
      </c>
      <c r="J15" s="6"/>
      <c r="L15" s="3" t="s">
        <v>12</v>
      </c>
      <c r="M15" s="6">
        <f>(P$5-P9)+(P$6-P$9)</f>
        <v>0.29240000000000421</v>
      </c>
      <c r="N15" s="18">
        <f>(P$5-P$9)+(P$6-P$9)+(P$7-P$9)</f>
        <v>0.10825000000000529</v>
      </c>
      <c r="O15" s="18">
        <f>(P$5-P$9)+(P$6-P$9)+(P$7-P$9)+(P$8-P$9)</f>
        <v>7.1054273576010019E-15</v>
      </c>
      <c r="P15" s="18">
        <f t="shared" si="11"/>
        <v>0.29239999999999711</v>
      </c>
      <c r="Q15" s="6">
        <f>SQRT((P$5-P$9)^2+(P$6-P$9)^2+(P$7-P$9)^2+(P$8-P$9)^2)</f>
        <v>0.29814991195705653</v>
      </c>
      <c r="R15" s="6">
        <f t="shared" si="12"/>
        <v>0.98071469510315468</v>
      </c>
      <c r="S15" s="6"/>
      <c r="U15" s="3" t="s">
        <v>11</v>
      </c>
      <c r="V15" s="26">
        <f>(X$5-X$10)+(X$6-X$10)</f>
        <v>0.45530000000000825</v>
      </c>
      <c r="W15" s="26">
        <f>(X$5-X$10)+(X$6-X$10)+(X$7-X$10)</f>
        <v>0.39760000000001128</v>
      </c>
      <c r="X15" s="26">
        <f>(X$5-X$10)+(X$6-X$10)+(X$7-X$10)+(X$8-X$10)</f>
        <v>0.37200000000001765</v>
      </c>
      <c r="Y15" s="26">
        <f>(X$5-X$10)+(X$6-X$10)+(X$7-X$10)+(X$8-X$10)+(X$9-X10)</f>
        <v>2.1316282072803006E-14</v>
      </c>
      <c r="Z15" s="26">
        <f t="shared" si="13"/>
        <v>0.45529999999998694</v>
      </c>
      <c r="AA15" s="26">
        <f>SQRT((X$5-X$10)^2+(X$6-X$10)^2+(X$7-X$10)^2+(X$8-X$10)^2+(X$9-X$10)^2)</f>
        <v>0.51139348842158716</v>
      </c>
      <c r="AB15" s="26">
        <f t="shared" si="14"/>
        <v>0.89031247035480954</v>
      </c>
      <c r="AC15" s="6"/>
    </row>
    <row r="16" spans="1:29" x14ac:dyDescent="0.25">
      <c r="A16" s="3">
        <v>15</v>
      </c>
      <c r="B16" s="9">
        <v>28.256499999999999</v>
      </c>
      <c r="C16" s="19"/>
      <c r="D16" s="3" t="s">
        <v>14</v>
      </c>
      <c r="E16" s="6">
        <f>(J$5-J$8)+(J$6-J$8)</f>
        <v>0.23449999999999704</v>
      </c>
      <c r="F16" s="18">
        <f>(J5-J$8)+(J6-J$8)+(J7-J$8)</f>
        <v>-3.5527136788005009E-15</v>
      </c>
      <c r="G16" s="6">
        <f t="shared" si="9"/>
        <v>0.2345000000000006</v>
      </c>
      <c r="H16" s="6">
        <f>SQRT((J$5-J$8)^2+(J$6-J$8)^2+(J$7-J$8)^2)</f>
        <v>0.46140288252242156</v>
      </c>
      <c r="I16" s="6">
        <f t="shared" si="10"/>
        <v>0.50823262897280497</v>
      </c>
      <c r="J16" s="6"/>
      <c r="L16" s="3" t="s">
        <v>13</v>
      </c>
      <c r="M16" s="6">
        <f>(Q$5-Q$9)+(Q$6-Q$9)</f>
        <v>4.81999999999978E-2</v>
      </c>
      <c r="N16" s="18">
        <f>(Q$5-Q$9)+(Q$6-Q$9)+(Q$7-Q$9)</f>
        <v>2.4099999999997124E-2</v>
      </c>
      <c r="O16" s="18">
        <f>(Q$5-Q$9)+(Q$6-Q$9)+(Q$7-Q$9)+(Q$8-Q$9)</f>
        <v>-3.5527136788005009E-15</v>
      </c>
      <c r="P16" s="18">
        <f t="shared" si="11"/>
        <v>4.8200000000001353E-2</v>
      </c>
      <c r="Q16" s="6">
        <f>SQRT((Q$5-Q$9)^2+(Q$6-Q$9)^2+(Q$7-Q$9)^2+(Q$8-PM$9)^2)</f>
        <v>27.725415217810536</v>
      </c>
      <c r="R16" s="6">
        <f t="shared" si="12"/>
        <v>1.738477120048256E-3</v>
      </c>
      <c r="S16" s="6"/>
      <c r="U16" s="3" t="s">
        <v>12</v>
      </c>
      <c r="V16" s="26">
        <f>(Y$5-Y10)+(Y$6-Y$10)</f>
        <v>0.42209999999999326</v>
      </c>
      <c r="W16" s="26">
        <f>(Y$5-Y$10)+(Y$6-Y$10)+(Y$7-Y$10)</f>
        <v>0.28139999999999077</v>
      </c>
      <c r="X16" s="26">
        <f>(Y$5-Y$10)+(Y$6-Y$10)+(Y$7-Y$10)+(Y$8-Y$10)</f>
        <v>0.14069999999998828</v>
      </c>
      <c r="Y16" s="26">
        <f>(Y$5-Y$10)+(Y$6-Y$10)+(Y$7-Y$10)+(Y$8-Y$10)+(Y$9-Y10)</f>
        <v>-1.4210854715202004E-14</v>
      </c>
      <c r="Z16" s="26">
        <f t="shared" si="13"/>
        <v>0.42210000000000747</v>
      </c>
      <c r="AA16" s="26">
        <f>SQRT((Y$5-Y$10)^2+(Y$6-Y$10)^2+(XV$7-Y$10)^2+(XV$8-XV$10)^2+(Y$9-Y$10)^2)</f>
        <v>27.870293215895668</v>
      </c>
      <c r="AB16" s="26">
        <f t="shared" si="14"/>
        <v>1.5145158205916005E-2</v>
      </c>
      <c r="AC16" s="6"/>
    </row>
    <row r="17" spans="1:30" x14ac:dyDescent="0.25">
      <c r="A17" s="3">
        <v>16</v>
      </c>
      <c r="B17" s="9">
        <v>28.3324</v>
      </c>
      <c r="C17" s="19"/>
      <c r="I17" s="7"/>
    </row>
    <row r="18" spans="1:30" x14ac:dyDescent="0.25">
      <c r="A18" s="3">
        <v>17</v>
      </c>
      <c r="B18" s="9">
        <v>27.8217</v>
      </c>
      <c r="C18" s="19"/>
      <c r="I18" s="8"/>
    </row>
    <row r="19" spans="1:30" x14ac:dyDescent="0.25">
      <c r="A19" s="3">
        <v>18</v>
      </c>
      <c r="B19" s="9">
        <v>27.725300000000001</v>
      </c>
      <c r="C19" s="19"/>
      <c r="I19" s="8"/>
    </row>
    <row r="20" spans="1:30" x14ac:dyDescent="0.25">
      <c r="A20" s="3">
        <v>19</v>
      </c>
      <c r="B20" s="9">
        <v>27.725300000000001</v>
      </c>
      <c r="C20" s="19"/>
      <c r="I20" s="8"/>
    </row>
    <row r="21" spans="1:30" x14ac:dyDescent="0.25">
      <c r="A21" s="3">
        <v>20</v>
      </c>
      <c r="B21" s="9">
        <v>27.725300000000001</v>
      </c>
      <c r="C21" s="19"/>
      <c r="I21" s="8"/>
    </row>
    <row r="22" spans="1:30" x14ac:dyDescent="0.25">
      <c r="P22" s="14" t="s">
        <v>91</v>
      </c>
      <c r="AB22" s="14" t="s">
        <v>93</v>
      </c>
    </row>
    <row r="23" spans="1:30" x14ac:dyDescent="0.25">
      <c r="D23" s="14" t="s">
        <v>90</v>
      </c>
      <c r="P23" s="23" t="s">
        <v>20</v>
      </c>
      <c r="Q23" s="4" t="s">
        <v>1</v>
      </c>
      <c r="R23" s="4" t="s">
        <v>10</v>
      </c>
      <c r="AB23" s="23" t="s">
        <v>21</v>
      </c>
      <c r="AC23" s="4" t="s">
        <v>1</v>
      </c>
      <c r="AD23" s="4" t="s">
        <v>10</v>
      </c>
    </row>
    <row r="24" spans="1:30" x14ac:dyDescent="0.25">
      <c r="D24" s="23" t="s">
        <v>19</v>
      </c>
      <c r="E24" s="4" t="s">
        <v>1</v>
      </c>
      <c r="F24" s="4" t="s">
        <v>10</v>
      </c>
      <c r="G24" s="4" t="s">
        <v>11</v>
      </c>
      <c r="Q24" s="5" t="s">
        <v>74</v>
      </c>
      <c r="R24" s="5" t="s">
        <v>75</v>
      </c>
      <c r="AC24" s="5" t="s">
        <v>76</v>
      </c>
      <c r="AD24" s="5" t="s">
        <v>77</v>
      </c>
    </row>
    <row r="25" spans="1:30" x14ac:dyDescent="0.25">
      <c r="E25" s="5" t="s">
        <v>72</v>
      </c>
      <c r="F25" s="5" t="s">
        <v>73</v>
      </c>
      <c r="G25" s="5" t="s">
        <v>96</v>
      </c>
      <c r="Q25" s="9">
        <f t="shared" ref="Q25:Q31" si="15">B2</f>
        <v>29.047699999999999</v>
      </c>
      <c r="R25" s="6">
        <f t="shared" ref="R25:R31" si="16">B9</f>
        <v>29.124500000000001</v>
      </c>
      <c r="AC25" s="9">
        <f t="shared" ref="AC25:AC32" si="17">B2</f>
        <v>29.047699999999999</v>
      </c>
      <c r="AD25" s="6">
        <f t="shared" ref="AD25:AD32" si="18">B10</f>
        <v>29.2151</v>
      </c>
    </row>
    <row r="26" spans="1:30" x14ac:dyDescent="0.25">
      <c r="E26" s="9">
        <f>B2</f>
        <v>29.047699999999999</v>
      </c>
      <c r="F26" s="6">
        <f>B8</f>
        <v>29.253699999999998</v>
      </c>
      <c r="G26" s="6">
        <f>B14</f>
        <v>28.570799999999998</v>
      </c>
      <c r="Q26" s="9">
        <f t="shared" si="15"/>
        <v>28.963899999999999</v>
      </c>
      <c r="R26" s="6">
        <f t="shared" si="16"/>
        <v>29.2151</v>
      </c>
      <c r="AC26" s="9">
        <f t="shared" si="17"/>
        <v>28.963899999999999</v>
      </c>
      <c r="AD26" s="6">
        <f t="shared" si="18"/>
        <v>28.884</v>
      </c>
    </row>
    <row r="27" spans="1:30" x14ac:dyDescent="0.25">
      <c r="E27" s="9">
        <f t="shared" ref="E27:E31" si="19">B3</f>
        <v>28.963899999999999</v>
      </c>
      <c r="F27" s="6">
        <f t="shared" ref="F27:F31" si="20">B9</f>
        <v>29.124500000000001</v>
      </c>
      <c r="G27" s="6">
        <f t="shared" ref="G27:G31" si="21">B15</f>
        <v>28.602900000000002</v>
      </c>
      <c r="Q27" s="9">
        <f t="shared" si="15"/>
        <v>28.659800000000001</v>
      </c>
      <c r="R27" s="6">
        <f t="shared" si="16"/>
        <v>28.884</v>
      </c>
      <c r="AC27" s="9">
        <f t="shared" si="17"/>
        <v>28.659800000000001</v>
      </c>
      <c r="AD27" s="6">
        <f t="shared" si="18"/>
        <v>28.944199999999999</v>
      </c>
    </row>
    <row r="28" spans="1:30" x14ac:dyDescent="0.25">
      <c r="E28" s="9">
        <f t="shared" si="19"/>
        <v>28.659800000000001</v>
      </c>
      <c r="F28" s="6">
        <f t="shared" si="20"/>
        <v>29.2151</v>
      </c>
      <c r="G28" s="6">
        <f t="shared" si="21"/>
        <v>28.256499999999999</v>
      </c>
      <c r="Q28" s="9">
        <f t="shared" si="15"/>
        <v>28.7515</v>
      </c>
      <c r="R28" s="6">
        <f t="shared" si="16"/>
        <v>28.944199999999999</v>
      </c>
      <c r="AC28" s="9">
        <f t="shared" si="17"/>
        <v>28.7515</v>
      </c>
      <c r="AD28" s="6">
        <f t="shared" si="18"/>
        <v>28.7681</v>
      </c>
    </row>
    <row r="29" spans="1:30" x14ac:dyDescent="0.25">
      <c r="E29" s="9">
        <f t="shared" si="19"/>
        <v>28.7515</v>
      </c>
      <c r="F29" s="6">
        <f t="shared" si="20"/>
        <v>28.884</v>
      </c>
      <c r="G29" s="6">
        <f t="shared" si="21"/>
        <v>28.3324</v>
      </c>
      <c r="Q29" s="9">
        <f t="shared" si="15"/>
        <v>28.66</v>
      </c>
      <c r="R29" s="6">
        <f t="shared" si="16"/>
        <v>28.7681</v>
      </c>
      <c r="AC29" s="9">
        <f t="shared" si="17"/>
        <v>28.66</v>
      </c>
      <c r="AD29" s="6">
        <f t="shared" si="18"/>
        <v>28.570799999999998</v>
      </c>
    </row>
    <row r="30" spans="1:30" x14ac:dyDescent="0.25">
      <c r="E30" s="9">
        <f t="shared" si="19"/>
        <v>28.66</v>
      </c>
      <c r="F30" s="6">
        <f t="shared" si="20"/>
        <v>28.944199999999999</v>
      </c>
      <c r="G30" s="6">
        <f t="shared" si="21"/>
        <v>27.8217</v>
      </c>
      <c r="Q30" s="9">
        <f t="shared" si="15"/>
        <v>28.66</v>
      </c>
      <c r="R30" s="6">
        <f t="shared" si="16"/>
        <v>28.570799999999998</v>
      </c>
      <c r="S30" s="8"/>
      <c r="AC30" s="9">
        <f t="shared" si="17"/>
        <v>28.66</v>
      </c>
      <c r="AD30" s="6">
        <f t="shared" si="18"/>
        <v>28.602900000000002</v>
      </c>
    </row>
    <row r="31" spans="1:30" x14ac:dyDescent="0.25">
      <c r="E31" s="9">
        <f t="shared" si="19"/>
        <v>28.66</v>
      </c>
      <c r="F31" s="6">
        <f t="shared" si="20"/>
        <v>28.7681</v>
      </c>
      <c r="G31" s="6">
        <f t="shared" si="21"/>
        <v>27.725300000000001</v>
      </c>
      <c r="Q31" s="9">
        <f t="shared" si="15"/>
        <v>29.253699999999998</v>
      </c>
      <c r="R31" s="6">
        <f t="shared" si="16"/>
        <v>28.602900000000002</v>
      </c>
      <c r="S31" s="8"/>
      <c r="AC31" s="9">
        <f t="shared" si="17"/>
        <v>29.253699999999998</v>
      </c>
      <c r="AD31" s="6">
        <f t="shared" si="18"/>
        <v>28.256499999999999</v>
      </c>
    </row>
    <row r="32" spans="1:30" ht="30" x14ac:dyDescent="0.25">
      <c r="D32" s="2" t="s">
        <v>24</v>
      </c>
      <c r="E32" s="20">
        <f>AVERAGE(E26:E31)</f>
        <v>28.790483333333331</v>
      </c>
      <c r="F32" s="20">
        <f t="shared" ref="F32:G32" si="22">AVERAGE(F26:F31)</f>
        <v>29.031600000000001</v>
      </c>
      <c r="G32" s="20">
        <f t="shared" si="22"/>
        <v>28.218266666666665</v>
      </c>
      <c r="P32" s="15" t="s">
        <v>24</v>
      </c>
      <c r="Q32" s="20">
        <f>AVERAGE(Q25:Q31)</f>
        <v>28.856657142857141</v>
      </c>
      <c r="R32" s="20">
        <f>AVERAGE(R25:R31)</f>
        <v>28.872800000000002</v>
      </c>
      <c r="S32" s="8"/>
      <c r="AC32" s="9">
        <f t="shared" si="17"/>
        <v>29.124500000000001</v>
      </c>
      <c r="AD32" s="6">
        <f t="shared" si="18"/>
        <v>28.3324</v>
      </c>
    </row>
    <row r="33" spans="4:39" ht="30" x14ac:dyDescent="0.25">
      <c r="D33" s="16" t="s">
        <v>25</v>
      </c>
      <c r="E33" s="3" t="s">
        <v>39</v>
      </c>
      <c r="F33" s="3" t="s">
        <v>40</v>
      </c>
      <c r="G33" s="3" t="s">
        <v>41</v>
      </c>
      <c r="H33" s="3" t="s">
        <v>42</v>
      </c>
      <c r="I33" s="3" t="s">
        <v>43</v>
      </c>
      <c r="J33" s="3" t="s">
        <v>28</v>
      </c>
      <c r="K33" s="17" t="s">
        <v>29</v>
      </c>
      <c r="L33" s="3" t="s">
        <v>30</v>
      </c>
      <c r="M33" s="21" t="s">
        <v>31</v>
      </c>
      <c r="P33" s="16" t="s">
        <v>25</v>
      </c>
      <c r="Q33" s="3" t="s">
        <v>44</v>
      </c>
      <c r="R33" s="3" t="s">
        <v>45</v>
      </c>
      <c r="S33" s="3" t="s">
        <v>46</v>
      </c>
      <c r="T33" s="3" t="s">
        <v>47</v>
      </c>
      <c r="U33" s="3" t="s">
        <v>48</v>
      </c>
      <c r="V33" s="3" t="s">
        <v>49</v>
      </c>
      <c r="W33" s="3" t="s">
        <v>28</v>
      </c>
      <c r="X33" s="17" t="s">
        <v>29</v>
      </c>
      <c r="Y33" s="3" t="s">
        <v>30</v>
      </c>
      <c r="Z33" s="21" t="s">
        <v>31</v>
      </c>
      <c r="AB33" s="15" t="s">
        <v>24</v>
      </c>
      <c r="AC33" s="20">
        <f>AVERAGE(AC25:AC32)</f>
        <v>28.890137500000002</v>
      </c>
      <c r="AD33" s="20">
        <f>AVERAGE(AD25:AD32)</f>
        <v>28.696750000000002</v>
      </c>
      <c r="AE33" s="8"/>
    </row>
    <row r="34" spans="4:39" ht="30" x14ac:dyDescent="0.25">
      <c r="D34" s="3" t="s">
        <v>1</v>
      </c>
      <c r="E34" s="26">
        <f>(E$26-E$32)+(E$27-E$32)</f>
        <v>0.43063333333333631</v>
      </c>
      <c r="F34" s="26">
        <f>(E$26-E$32)+(E$27-E$32)+(E$28-E$32)</f>
        <v>0.29995000000000616</v>
      </c>
      <c r="G34" s="26">
        <f>(E$26-E$32)+(E$27-E$32)+(E$28-E$32)+(E$29-E$32)</f>
        <v>0.26096666666667545</v>
      </c>
      <c r="H34" s="26">
        <f>(E$26-E$32)+(E$27-E$32)+(E$28-E$32)+(E$29-E$32)+(E$30-E32)</f>
        <v>0.13048333333334483</v>
      </c>
      <c r="I34" s="26">
        <f>(E$26-E$32)+(E$27-E$32)+(E$28-E$32)+(E$29-E$32)+(E$30-E32)+(E$31-E32)</f>
        <v>1.4210854715202004E-14</v>
      </c>
      <c r="J34" s="26">
        <f>MAX(E34:I34)-MIN(E34:I34)</f>
        <v>0.4306333333333221</v>
      </c>
      <c r="K34" s="27">
        <f>SQRT((E$26-E$32)^2+(E$27-E$32)^2+(E$28-E$32)^2+(E$29-E$32)^2+(E$30-E$32)^2+(E$31-E$32)^2)</f>
        <v>0.38585410239277251</v>
      </c>
      <c r="L34" s="26">
        <f>J34/K34</f>
        <v>1.1160522349324862</v>
      </c>
      <c r="M34" s="22">
        <f>AVERAGE(L34:L36)</f>
        <v>1.110479477344527</v>
      </c>
      <c r="P34" s="3" t="s">
        <v>1</v>
      </c>
      <c r="Q34" s="26">
        <f>(Q$25-Q$32)+(Q$26-Q$32)</f>
        <v>0.29828571428571493</v>
      </c>
      <c r="R34" s="26">
        <f>(Q$25-Q$32)+(Q$26-Q$32)+(Q$27-Q$32)</f>
        <v>0.10142857142857409</v>
      </c>
      <c r="S34" s="26">
        <f>(Q$25-Q$32)+(Q$26-Q$32)+(Q$27-Q$32)+(Q$28-Q$32)</f>
        <v>-3.7285714285673066E-3</v>
      </c>
      <c r="T34" s="26">
        <f>(Q$25-Q$32)+(Q$26-Q$32)+(Q$27-Q$32)+(Q$28-Q$32)+(Q$29-Q32)</f>
        <v>-0.20038571428570862</v>
      </c>
      <c r="U34" s="26">
        <f>(Q$25-Q$32)+(Q$26-Q$32)+(Q$27-Q$32)+(Q$28-Q$32)+(Q$29-Q32)+(Q$30-Q32)</f>
        <v>-0.39704285714284993</v>
      </c>
      <c r="V34" s="26">
        <f>(Q$25-Q$32)+(Q$26-Q$32)+(Q$27-Q$32)+(Q$28-Q$32)+(Q$29-Q32)+(Q$30-Q32)+(Q31-Q32)</f>
        <v>7.1054273576010019E-15</v>
      </c>
      <c r="W34" s="26">
        <f>MAX(Q34:V34)-MIN(Q34:V34)</f>
        <v>0.69532857142856486</v>
      </c>
      <c r="X34" s="27">
        <f>SQRT((Q25-Q32)^2+(Q$26-Q$32)^2+(Q$27-Q$32)^2+(Q$28-Q$32)^2+(Q$29-Q$32)^2+(Q$30-Q$32)^2+(Q$31-Q$32)^2)</f>
        <v>0.57688842694480791</v>
      </c>
      <c r="Y34" s="26">
        <f>W34/X34</f>
        <v>1.2053085812641695</v>
      </c>
      <c r="Z34" s="28">
        <f>AVERAGE(Y34:Y35)</f>
        <v>1.1658952183028128</v>
      </c>
      <c r="AB34" s="16" t="s">
        <v>25</v>
      </c>
      <c r="AC34" s="3" t="s">
        <v>50</v>
      </c>
      <c r="AD34" s="3" t="s">
        <v>51</v>
      </c>
      <c r="AE34" s="3" t="s">
        <v>52</v>
      </c>
      <c r="AF34" s="3" t="s">
        <v>53</v>
      </c>
      <c r="AG34" s="3" t="s">
        <v>54</v>
      </c>
      <c r="AH34" s="3" t="s">
        <v>55</v>
      </c>
      <c r="AI34" s="3" t="s">
        <v>56</v>
      </c>
      <c r="AJ34" s="3" t="s">
        <v>28</v>
      </c>
      <c r="AK34" s="17" t="s">
        <v>29</v>
      </c>
      <c r="AL34" s="3" t="s">
        <v>30</v>
      </c>
      <c r="AM34" s="21" t="s">
        <v>31</v>
      </c>
    </row>
    <row r="35" spans="4:39" x14ac:dyDescent="0.25">
      <c r="D35" s="3" t="s">
        <v>10</v>
      </c>
      <c r="E35" s="26">
        <f>(F$26-F$32)+(F$27-F$32)</f>
        <v>0.31499999999999773</v>
      </c>
      <c r="F35" s="26">
        <f>(F$27-F$32)+(F$26-F$32)+(F$28-F$32)</f>
        <v>0.49849999999999639</v>
      </c>
      <c r="G35" s="26">
        <f>(F$26-F$32)+(F$27-F$32)+(F$28-F$32)+(F$29-F$32)</f>
        <v>0.35089999999999577</v>
      </c>
      <c r="H35" s="26">
        <f>(F$26-F$32)+(F$27-F$32)+(F$28-F$32)+(F$29-F$32)+(F$30-F$32)</f>
        <v>0.26349999999999341</v>
      </c>
      <c r="I35" s="26">
        <f>(F$26-F$32)+(F$27-F$32)+(F$28-F$32)+(F$29-F$32)+(F$30-F$32)+(F$31-F$32)</f>
        <v>-7.1054273576010019E-15</v>
      </c>
      <c r="J35" s="26">
        <f t="shared" ref="J35:J36" si="23">MAX(E35:I35)-MIN(E35:I35)</f>
        <v>0.4985000000000035</v>
      </c>
      <c r="K35" s="27">
        <f>SQRT((F$26-F$32)^2+(F$28-F$32)^2+(F$27-F$32)^2+(F$29-F$32)^2+(F$30-F$32)^2+(F$31-F$32)^2)</f>
        <v>0.43644912647409356</v>
      </c>
      <c r="L35" s="26">
        <f t="shared" ref="L35:L36" si="24">J35/K35</f>
        <v>1.1421720648800362</v>
      </c>
      <c r="M35" s="6"/>
      <c r="P35" s="3" t="s">
        <v>10</v>
      </c>
      <c r="Q35" s="26">
        <f>(R$25-R$32)+(R$26-R$32)</f>
        <v>0.59399999999999764</v>
      </c>
      <c r="R35" s="26">
        <f>(R$26-R$32)+(R$25-R$32)+(R$27-R$32)</f>
        <v>0.60519999999999641</v>
      </c>
      <c r="S35" s="26">
        <f>(R$25-R$32)+(R$26-R$32)+(R$27-R$32)+(R$28-R$32)</f>
        <v>0.67659999999999343</v>
      </c>
      <c r="T35" s="26">
        <f>(R$25-R$32)+(R$26-R$32)+(R$27-R$32)+(R$28-R$32)+(R$29-R$32)</f>
        <v>0.5718999999999923</v>
      </c>
      <c r="U35" s="26">
        <f>(R$25-R$32)+(R$26-R$32)+(R$27-R$32)+(R$28-R$32)+(R$29-R$32)+(R$30-R$32)</f>
        <v>0.26989999999998915</v>
      </c>
      <c r="V35" s="26">
        <f>(R$25-R$32)+(R$26-R$32)+(R$27-R$32)+(R$28-R$32)+(R$29-R$32)+(R$30-R$32)+(R31-R32)</f>
        <v>-1.0658141036401503E-14</v>
      </c>
      <c r="W35" s="26">
        <f>MAX(Q35:V35)-MIN(Q35:V35)</f>
        <v>0.67660000000000409</v>
      </c>
      <c r="X35" s="27">
        <f>SQRT((R25-R32)^2+(R$26-R$32)^2+(R$28-R$32)^2+(R$27-R$32)^2+(R$29-R$32)^2+(R$30-R$32)^2+(R$31-R$32)^2)</f>
        <v>0.60063106812751543</v>
      </c>
      <c r="Y35" s="26">
        <f>W35/X35</f>
        <v>1.1264818553414562</v>
      </c>
      <c r="Z35" s="26"/>
      <c r="AB35" s="3" t="s">
        <v>1</v>
      </c>
      <c r="AC35" s="26">
        <f>(AC$25-AC$33)+(AC$26-AC$33)</f>
        <v>0.23132499999999467</v>
      </c>
      <c r="AD35" s="26">
        <f>(AC$25-AC$33)+(AC$26-AC$33)+(AC$27-AC$33)</f>
        <v>9.8749999999370175E-4</v>
      </c>
      <c r="AE35" s="26">
        <f>(AC$25-AC$33)+(AC$26-AC$33)+(AC$27-AC$33)+(AC$28-AC$33)</f>
        <v>-0.13765000000000782</v>
      </c>
      <c r="AF35" s="26">
        <f>(AC$25-AC$33)+(AC$26-AC$33)+(AC$27-AC$33)+(AC$28-AC$33)+(AC$29-AC33)</f>
        <v>-0.36778750000000926</v>
      </c>
      <c r="AG35" s="26">
        <f>(AC$25-AC$33)+(AC$26-AC$33)+(AC$27-AC$33)+(AC$28-AC$33)+(AC$29-AC33)+(AC$30-AC33)</f>
        <v>-0.5979250000000107</v>
      </c>
      <c r="AH35" s="26">
        <f>(AC$25-AC$33)+(AC$26-AC$33)+(AC$27-AC$33)+(AC$28-AC$33)+(AC$29-AC33)+(AC$30-AC33)+(AC32-AC33)</f>
        <v>-0.36356250000001111</v>
      </c>
      <c r="AI35" s="26">
        <f>(AC$25-AC$33)+(AC$26-AC$33)+(AC$27-AC$33)+(AC$28-AC$33)+(AC$29-AC33)+(AC$30-AC33)+(AC31-AC33)+(AC32-AC33)</f>
        <v>-1.4210854715202004E-14</v>
      </c>
      <c r="AJ35" s="26">
        <f>MAX(AC35:AI35)-MIN(AC35:AI35)</f>
        <v>0.82925000000000537</v>
      </c>
      <c r="AK35" s="27">
        <f>SQRT((AC25-AC33)^2+(AC26-AC33)^2+(AC$26-AC$33)^2+(AC$27-AC$33)^2+(AC$28-AC$33)^2+(AC$29-AC$33)^2+(AC$30-AC$33)^2+(AC$31-AC$33)^2)</f>
        <v>0.58829219249451059</v>
      </c>
      <c r="AL35" s="26">
        <f>AJ35/AK35</f>
        <v>1.4095886543789942</v>
      </c>
      <c r="AM35" s="28">
        <f>AVERAGE(AL35:AL36)</f>
        <v>1.3533953892608248</v>
      </c>
    </row>
    <row r="36" spans="4:39" x14ac:dyDescent="0.25">
      <c r="D36" s="3" t="s">
        <v>11</v>
      </c>
      <c r="E36" s="26">
        <f>(G$26-G$32)+(G$27-G$32)</f>
        <v>0.73716666666667052</v>
      </c>
      <c r="F36" s="26">
        <f>(G$27-G$32)+(G$26-G$32)+(G$28-G$32)</f>
        <v>0.77540000000000475</v>
      </c>
      <c r="G36" s="26">
        <f>(G$26-G$32)+(G$27-G$32)+(G$28-G$32)+(G$29-G$32)</f>
        <v>0.88953333333333973</v>
      </c>
      <c r="H36" s="26">
        <f>(G$26-G$32)+(G$27-G$32)+(G$28-G$32)+(G$29-G$32)+(G$30-G$32)</f>
        <v>0.49296666666667477</v>
      </c>
      <c r="I36" s="26">
        <f>(G$26-G$32)+(G$27-G$32)+(G$28-G$32)+(G$29-G$32)+(G$30-G$32)+(G$31-G$32)</f>
        <v>1.0658141036401503E-14</v>
      </c>
      <c r="J36" s="26">
        <f t="shared" si="23"/>
        <v>0.88953333333332907</v>
      </c>
      <c r="K36" s="27">
        <f>SQRT((G$26-G$32)^2+(G$27-G$32)^2+(G$28-G$32)^2+(G$30-G$32)^2+(G$29-G$32)^2+(G$31-G$32)^2)</f>
        <v>0.82884981349659048</v>
      </c>
      <c r="L36" s="26">
        <f t="shared" si="24"/>
        <v>1.073214132221058</v>
      </c>
      <c r="M36" s="6"/>
      <c r="P36" s="4"/>
      <c r="R36" s="11"/>
      <c r="S36" s="11"/>
      <c r="T36" s="11"/>
      <c r="U36" s="11"/>
      <c r="V36" s="11"/>
      <c r="W36" s="13"/>
      <c r="AB36" s="3" t="s">
        <v>10</v>
      </c>
      <c r="AC36" s="26">
        <f>(AD$25-AD$33)+(AD$26-AD$33)</f>
        <v>0.7055999999999969</v>
      </c>
      <c r="AD36" s="26">
        <f>(AD$26-AD$33)+(AD$25-AD$33)+(AD$27-AD$33)</f>
        <v>0.95304999999999396</v>
      </c>
      <c r="AE36" s="26">
        <f>(AD$25-AD$33)+(AD$26-AD$33)+(AD$27-AD$33)+(AD$28-AD$33)</f>
        <v>1.0243999999999929</v>
      </c>
      <c r="AF36" s="26">
        <f>(AD$25-AD$33)+(AD$26-AD$33)+(AD$27-AD$33)+(AD$28-AD$33)+(AD$29-AD$33)</f>
        <v>0.89844999999998976</v>
      </c>
      <c r="AG36" s="26">
        <f>(AD$25-AD$33)+(AD$26-AD$33)+(AD$27-AD$33)+(AD$28-AD$33)+(AD$29-AD$33)+(AD$30-AD$33)</f>
        <v>0.80459999999998999</v>
      </c>
      <c r="AH36" s="26">
        <f>(AD$25-AD$33)+(AD$26-AD$33)+(AD$27-AD$33)+(AD$28-AD$33)+(AD$29-AD$33)+(AD$30-AD$33)+(AD32-AD33)</f>
        <v>0.44024999999998826</v>
      </c>
      <c r="AI36" s="26">
        <f>(AD$25-AD$33)+(AD$26-AD$33)+(AD$27-AD$33)+(AD$28-AD$33)+(AD$29-AD$33)+(AD$30-AD$33)+(AD31-AD33)+(AD32-AD33)</f>
        <v>-1.4210854715202004E-14</v>
      </c>
      <c r="AJ36" s="26">
        <f>MAX(AC36:AI36)-MIN(AC36:AI36)</f>
        <v>1.0244000000000071</v>
      </c>
      <c r="AK36" s="27">
        <f>SQRT((AD25-AD33)^2+(AD26-AD33)^2+(AD$26-AD$33)^2+(AD$28-AD$33)^2+(AD$27-AD$33)^2+(AD$29-AD$33)^2+(AD$30-AD$33)^2+(AD$31-AD$33)^2)</f>
        <v>0.78969960111424542</v>
      </c>
      <c r="AL36" s="26">
        <f>AJ36/AK36</f>
        <v>1.2972021241426557</v>
      </c>
      <c r="AM36" s="26"/>
    </row>
    <row r="38" spans="4:39" x14ac:dyDescent="0.25">
      <c r="W38" s="14" t="s">
        <v>94</v>
      </c>
    </row>
    <row r="39" spans="4:39" x14ac:dyDescent="0.25">
      <c r="D39" s="14" t="s">
        <v>92</v>
      </c>
      <c r="W39" s="23" t="s">
        <v>23</v>
      </c>
      <c r="X39" s="4" t="s">
        <v>1</v>
      </c>
      <c r="Y39" s="4" t="s">
        <v>10</v>
      </c>
    </row>
    <row r="40" spans="4:39" x14ac:dyDescent="0.25">
      <c r="D40" s="23" t="s">
        <v>22</v>
      </c>
      <c r="E40" s="4" t="s">
        <v>1</v>
      </c>
      <c r="F40" s="4" t="s">
        <v>10</v>
      </c>
      <c r="X40" s="5" t="s">
        <v>99</v>
      </c>
      <c r="Y40" s="5" t="s">
        <v>100</v>
      </c>
    </row>
    <row r="41" spans="4:39" x14ac:dyDescent="0.25">
      <c r="E41" s="5" t="s">
        <v>97</v>
      </c>
      <c r="F41" s="5" t="s">
        <v>98</v>
      </c>
      <c r="X41" s="9">
        <f t="shared" ref="X41:X50" si="25">B2</f>
        <v>29.047699999999999</v>
      </c>
      <c r="Y41" s="6">
        <f t="shared" ref="Y41:Y50" si="26">B12</f>
        <v>28.944199999999999</v>
      </c>
    </row>
    <row r="42" spans="4:39" x14ac:dyDescent="0.25">
      <c r="E42" s="9">
        <f t="shared" ref="E42:E50" si="27">B2</f>
        <v>29.047699999999999</v>
      </c>
      <c r="F42" s="6">
        <f t="shared" ref="F42:F50" si="28">B11</f>
        <v>28.884</v>
      </c>
      <c r="X42" s="9">
        <f t="shared" si="25"/>
        <v>28.963899999999999</v>
      </c>
      <c r="Y42" s="6">
        <f t="shared" si="26"/>
        <v>28.7681</v>
      </c>
    </row>
    <row r="43" spans="4:39" x14ac:dyDescent="0.25">
      <c r="E43" s="9">
        <f t="shared" si="27"/>
        <v>28.963899999999999</v>
      </c>
      <c r="F43" s="6">
        <f t="shared" si="28"/>
        <v>28.944199999999999</v>
      </c>
      <c r="X43" s="9">
        <f t="shared" si="25"/>
        <v>28.659800000000001</v>
      </c>
      <c r="Y43" s="6">
        <f t="shared" si="26"/>
        <v>28.570799999999998</v>
      </c>
    </row>
    <row r="44" spans="4:39" x14ac:dyDescent="0.25">
      <c r="E44" s="9">
        <f t="shared" si="27"/>
        <v>28.659800000000001</v>
      </c>
      <c r="F44" s="6">
        <f t="shared" si="28"/>
        <v>28.7681</v>
      </c>
      <c r="X44" s="9">
        <f t="shared" si="25"/>
        <v>28.7515</v>
      </c>
      <c r="Y44" s="6">
        <f t="shared" si="26"/>
        <v>28.602900000000002</v>
      </c>
    </row>
    <row r="45" spans="4:39" x14ac:dyDescent="0.25">
      <c r="E45" s="9">
        <f t="shared" si="27"/>
        <v>28.7515</v>
      </c>
      <c r="F45" s="6">
        <f t="shared" si="28"/>
        <v>28.570799999999998</v>
      </c>
      <c r="X45" s="9">
        <f t="shared" si="25"/>
        <v>28.66</v>
      </c>
      <c r="Y45" s="6">
        <f t="shared" si="26"/>
        <v>28.256499999999999</v>
      </c>
    </row>
    <row r="46" spans="4:39" x14ac:dyDescent="0.25">
      <c r="E46" s="9">
        <f t="shared" si="27"/>
        <v>28.66</v>
      </c>
      <c r="F46" s="6">
        <f t="shared" si="28"/>
        <v>28.602900000000002</v>
      </c>
      <c r="X46" s="9">
        <f t="shared" si="25"/>
        <v>28.66</v>
      </c>
      <c r="Y46" s="6">
        <f t="shared" si="26"/>
        <v>28.3324</v>
      </c>
    </row>
    <row r="47" spans="4:39" x14ac:dyDescent="0.25">
      <c r="E47" s="9">
        <f t="shared" si="27"/>
        <v>28.66</v>
      </c>
      <c r="F47" s="6">
        <f t="shared" si="28"/>
        <v>28.256499999999999</v>
      </c>
      <c r="X47" s="9">
        <f t="shared" si="25"/>
        <v>29.253699999999998</v>
      </c>
      <c r="Y47" s="6">
        <f t="shared" si="26"/>
        <v>27.8217</v>
      </c>
    </row>
    <row r="48" spans="4:39" x14ac:dyDescent="0.25">
      <c r="E48" s="9">
        <f t="shared" si="27"/>
        <v>29.253699999999998</v>
      </c>
      <c r="F48" s="6">
        <f t="shared" si="28"/>
        <v>28.3324</v>
      </c>
      <c r="X48" s="9">
        <f t="shared" si="25"/>
        <v>29.124500000000001</v>
      </c>
      <c r="Y48" s="6">
        <f t="shared" si="26"/>
        <v>27.725300000000001</v>
      </c>
    </row>
    <row r="49" spans="4:36" x14ac:dyDescent="0.25">
      <c r="E49" s="9">
        <f t="shared" si="27"/>
        <v>29.124500000000001</v>
      </c>
      <c r="F49" s="6">
        <f t="shared" si="28"/>
        <v>27.8217</v>
      </c>
      <c r="X49" s="9">
        <f t="shared" si="25"/>
        <v>29.2151</v>
      </c>
      <c r="Y49" s="6">
        <f t="shared" si="26"/>
        <v>27.725300000000001</v>
      </c>
    </row>
    <row r="50" spans="4:36" x14ac:dyDescent="0.25">
      <c r="E50" s="9">
        <f t="shared" si="27"/>
        <v>29.2151</v>
      </c>
      <c r="F50" s="6">
        <f t="shared" si="28"/>
        <v>27.725300000000001</v>
      </c>
      <c r="X50" s="9">
        <f t="shared" si="25"/>
        <v>28.884</v>
      </c>
      <c r="Y50" s="6">
        <f t="shared" si="26"/>
        <v>27.725300000000001</v>
      </c>
    </row>
    <row r="51" spans="4:36" ht="30" x14ac:dyDescent="0.25">
      <c r="D51" s="15" t="s">
        <v>24</v>
      </c>
      <c r="E51" s="20">
        <f>AVERAGE(E42:E50)</f>
        <v>28.926244444444446</v>
      </c>
      <c r="F51" s="20">
        <f>AVERAGE(F42:F50)</f>
        <v>28.433988888888891</v>
      </c>
      <c r="G51" s="8"/>
      <c r="W51" s="15" t="s">
        <v>24</v>
      </c>
      <c r="X51" s="20">
        <f>AVERAGE(X41:X50)</f>
        <v>28.922020000000003</v>
      </c>
      <c r="Y51" s="20">
        <f>AVERAGE(Y41:Y50)</f>
        <v>28.247249999999998</v>
      </c>
      <c r="Z51" s="8"/>
    </row>
    <row r="52" spans="4:36" ht="30" x14ac:dyDescent="0.25">
      <c r="D52" s="29" t="s">
        <v>25</v>
      </c>
      <c r="E52" s="30" t="s">
        <v>57</v>
      </c>
      <c r="F52" s="30" t="s">
        <v>58</v>
      </c>
      <c r="G52" s="30" t="s">
        <v>59</v>
      </c>
      <c r="H52" s="30" t="s">
        <v>60</v>
      </c>
      <c r="I52" s="30" t="s">
        <v>61</v>
      </c>
      <c r="J52" s="30" t="s">
        <v>62</v>
      </c>
      <c r="K52" s="30" t="s">
        <v>63</v>
      </c>
      <c r="L52" s="30" t="s">
        <v>64</v>
      </c>
      <c r="M52" s="30" t="s">
        <v>28</v>
      </c>
      <c r="N52" s="31" t="s">
        <v>29</v>
      </c>
      <c r="O52" s="30" t="s">
        <v>30</v>
      </c>
      <c r="P52" s="32" t="s">
        <v>31</v>
      </c>
      <c r="W52" s="16" t="s">
        <v>25</v>
      </c>
      <c r="X52" s="3" t="s">
        <v>78</v>
      </c>
      <c r="Y52" s="3" t="s">
        <v>79</v>
      </c>
      <c r="Z52" s="3" t="s">
        <v>80</v>
      </c>
      <c r="AA52" s="3" t="s">
        <v>81</v>
      </c>
      <c r="AB52" s="3" t="s">
        <v>82</v>
      </c>
      <c r="AC52" s="3" t="s">
        <v>83</v>
      </c>
      <c r="AD52" s="3" t="s">
        <v>84</v>
      </c>
      <c r="AE52" s="3" t="s">
        <v>85</v>
      </c>
      <c r="AF52" s="3" t="s">
        <v>86</v>
      </c>
      <c r="AG52" s="3" t="s">
        <v>28</v>
      </c>
      <c r="AH52" s="17" t="s">
        <v>29</v>
      </c>
      <c r="AI52" s="3" t="s">
        <v>30</v>
      </c>
      <c r="AJ52" s="21" t="s">
        <v>31</v>
      </c>
    </row>
    <row r="53" spans="4:36" x14ac:dyDescent="0.25">
      <c r="D53" s="30" t="s">
        <v>1</v>
      </c>
      <c r="E53" s="26">
        <f>(E$42-E$51)+(E$43-E$51)</f>
        <v>0.15911111111110543</v>
      </c>
      <c r="F53" s="26">
        <f>(E$42-E$51)+(E$43-E$51)+(E$44-E$51)</f>
        <v>-0.10733333333334016</v>
      </c>
      <c r="G53" s="26">
        <f>(E$42-E$51)+(E$43-E$51)+(E$44-E$51)+(E$45-E$51)</f>
        <v>-0.28207777777778631</v>
      </c>
      <c r="H53" s="26">
        <f>(E$42-E$51)+(E$43-E$51)+(E$44-E$51)+(E$45-E$51)+(E$46-E51)</f>
        <v>-0.54832222222223237</v>
      </c>
      <c r="I53" s="26">
        <f>(E$42-E$51)+(E$43-E$51)+(E$44-E$51)+(E$45-E$51)+(E$46-E51)+(E$47-E51)</f>
        <v>-0.81456666666667843</v>
      </c>
      <c r="J53" s="26">
        <f>(E$42-E$51)+(E$43-E$51)+(E$44-E$51)+(E$45-E$51)+(E$46-E51)+(E$47-E51)+(E48-E51)</f>
        <v>-0.48711111111112615</v>
      </c>
      <c r="K53" s="26">
        <f>(E$42-E$51)+(E$43-E$51)+(E$44-E$51)+(E$45-E$51)+(E$46-E51)+(E$47-E51)+(E48-E51)+(E49-E51)</f>
        <v>-0.28885555555557119</v>
      </c>
      <c r="L53" s="26">
        <f>(E$42-E$51)+(E$43-E$51)+(E$44-E$51)+(E$45-E$51)+(E$46-E51)+(E$47-E51)+(E48-E51)+(E49-E51)+(E50-E51)</f>
        <v>-1.7763568394002505E-14</v>
      </c>
      <c r="M53" s="26">
        <f>MAX(E53:L53)-MIN(E53:L53)</f>
        <v>0.97367777777778386</v>
      </c>
      <c r="N53" s="27">
        <f>SQRT((E42-E51)^2+(E43-E51)^2+(E44-E51)^2+(E45-E51)^2+(E46-E51)^2+(E47-E51)^2+(E48-E51)^2+(E49-E51)^2+(E50-E51)^2)</f>
        <v>0.69959974429828131</v>
      </c>
      <c r="O53" s="27">
        <f>M53/N53</f>
        <v>1.3917640561095554</v>
      </c>
      <c r="P53" s="28">
        <f>AVERAGE(O53:O54)</f>
        <v>1.340423826456735</v>
      </c>
      <c r="W53" s="3" t="s">
        <v>1</v>
      </c>
      <c r="X53" s="26">
        <f>(X$41-X$51)+(X$42-X$51)</f>
        <v>0.16755999999999105</v>
      </c>
      <c r="Y53" s="26">
        <f>(X$41-X$51)+(X$42-X$51)+(X$43-X$51)</f>
        <v>-9.4660000000011735E-2</v>
      </c>
      <c r="Z53" s="26">
        <f>(X$41-X$51)+(X$42-X$51)+(X$43-X$51)+(X$44-X$51)</f>
        <v>-0.26518000000001507</v>
      </c>
      <c r="AA53" s="26">
        <f>(X$41-X$51)+(X$42-X$51)+(X$44-X$51)+(X$43-X$51)+(X$45-X51)</f>
        <v>-0.52720000000001832</v>
      </c>
      <c r="AB53" s="26">
        <f>(X$42-X$51)+(X$43-X$51)+(X$44-X$51)+(X$45-X$51)+(X$46-X51)+(X$41-X51)</f>
        <v>-0.78922000000002157</v>
      </c>
      <c r="AC53" s="26">
        <f>(X$42-X$51)+(X$43-X$51)+(X$44-X$51)+(X$45-X$51)+(X$46-X51)+(X$47-X51)+(X41-X51)</f>
        <v>-0.45754000000002648</v>
      </c>
      <c r="AD53" s="26">
        <f>(X$42-X$51)+(X$43-X$51)+(X$44-X$51)+(X$45-X$51)+(X$46-X51)+(X$47-X51)+(X48-X51)+(X41-X51)</f>
        <v>-0.25506000000002871</v>
      </c>
      <c r="AE53" s="26">
        <f>(X$42-X$51)+(X$43-X$51)+(X$44-X$51)+(X$45-X$51)+(X$46-X51)+(X$47-X51)+(X48-X51)+(X49-X51)+(X50-X51)</f>
        <v>-0.1256800000000311</v>
      </c>
      <c r="AF53" s="26">
        <f>(Y$42-Y$51)+(Y$43-Y$51)+(Y$44-Y$51)+(Y$45-Y$51)+(Y$46-Y51)+(Y$47-Y51)+(Y48-Y51)+(Y49-Y51)+(Y50-Y51)+(Y41-Y51)</f>
        <v>2.4868995751603507E-14</v>
      </c>
      <c r="AG53" s="26">
        <f>MAX(X53:AF53)-MIN(X53:AF53)</f>
        <v>0.95678000000001262</v>
      </c>
      <c r="AH53" s="27">
        <f>SQRT((X41-X51)^2+(X42-X51)^2+(X43-X51)^2+(X44-X51)^2+(X45-X51)^2+(X46-X51)^2+(X47-X51)^2+(X48-X51)^2+(X49-X51)^2+(X50-X51)^2)</f>
        <v>0.7007466988862654</v>
      </c>
      <c r="AI53" s="27">
        <f>AG53/AH53</f>
        <v>1.365372111664136</v>
      </c>
      <c r="AJ53" s="28">
        <f>AVERAGE(AI53:AI54)</f>
        <v>1.3878249321341922</v>
      </c>
    </row>
    <row r="54" spans="4:36" x14ac:dyDescent="0.25">
      <c r="D54" s="30" t="s">
        <v>10</v>
      </c>
      <c r="E54" s="26">
        <f>(F$42-F$51)+(F$43-F$51)</f>
        <v>0.96022222222221743</v>
      </c>
      <c r="F54" s="26">
        <f>(F$42-F$51)+(F$43-F$51)+(F$44-F$51)</f>
        <v>1.2943333333333271</v>
      </c>
      <c r="G54" s="26">
        <f>(F$42-F$51)+(F$43-F$51)+(F$44-F$51)+(F$45-F$51)</f>
        <v>1.4311444444444348</v>
      </c>
      <c r="H54" s="26">
        <f>(F$42-F$51)+(F$43-F$51)+(F$44-F$51)+(F$45-F$51)+(F$46-F$51)</f>
        <v>1.6000555555555458</v>
      </c>
      <c r="I54" s="26">
        <f>(F$42-F$51)+(F$43-F$51)+(F$44-F$51)+(F$45-F$51)+(F$46-F$51)+(F$47-F$51)</f>
        <v>1.4225666666666541</v>
      </c>
      <c r="J54" s="26">
        <f>(F$42-F$51)+(F$43-F$51)+(F$44-F$51)+(F$45-F$51)+(F$46-F$51)+(F$47-F$51)+(F48-F51)</f>
        <v>1.3209777777777632</v>
      </c>
      <c r="K54" s="26">
        <f>(F$42-F$51)+(F$43-F$51)+(F$44-F$51)+(F$45-F$51)+(F$46-F$51)+(F$47-F$51)+(F48-F51)+(F49-F51)</f>
        <v>0.70868888888887227</v>
      </c>
      <c r="L54" s="26">
        <f>(F$42-F$51)+(F$43-F$51)+(F$44-F$51)+(F$45-F$51)+(F$46-F$51)+(F$47-F$51)+(F48-F51)+(F49-F51)+(F50-F51)</f>
        <v>-1.7763568394002505E-14</v>
      </c>
      <c r="M54" s="26">
        <f>MAX(E54:L54)-MIN(E54:L54)</f>
        <v>1.6000555555555636</v>
      </c>
      <c r="N54" s="27">
        <f>SQRT((F42-F51)^2+(F43-F51)^2+(F44-F51)^2+(F45-F51)^2+(F46-F51)^2+(F47-F51)^2+(F48-F51)^2+(F49-F51)^2+(F50-F51)^2)</f>
        <v>1.2412349047979949</v>
      </c>
      <c r="O54" s="27">
        <f>M54/N54</f>
        <v>1.2890835968039145</v>
      </c>
      <c r="P54" s="27"/>
      <c r="W54" s="3" t="s">
        <v>10</v>
      </c>
      <c r="X54" s="26">
        <f>(Y$42-Y$51)+(Y$41-Y$51)</f>
        <v>1.217800000000004</v>
      </c>
      <c r="Y54" s="26">
        <f>(Y$42-Y$51)+(Y$43-Y$51)+(Y$41-Y$51)</f>
        <v>1.5413500000000049</v>
      </c>
      <c r="Z54" s="26">
        <f>(Y$42-Y$51)+(Y$43-Y$51)+(Y$44-Y$51)+(Y$41-Y$51)</f>
        <v>1.8970000000000091</v>
      </c>
      <c r="AA54" s="26">
        <f>(Y$42-Y$51)+(Y$43-Y$51)+(Y$44-Y$51)+(Y$45-Y$51)+(Y$41-Y$51)</f>
        <v>1.9062500000000107</v>
      </c>
      <c r="AB54" s="26">
        <f>(Y$42-Y$51)+(Y$43-Y$51)+(Y$44-Y$51)+(Y$45-Y$51)+(Y$46-Y$51)+(Y$41-Y$51)</f>
        <v>1.9914000000000129</v>
      </c>
      <c r="AC54" s="26">
        <f>(Y$42-Y$51)+(Y$43-Y$51)+(Y$44-Y$51)+(Y$45-Y$51)+(Y$46-Y$51)+(Y$47-Y$51)+(Y41-Y51)</f>
        <v>1.5658500000000153</v>
      </c>
      <c r="AD54" s="26">
        <f>(Y$42-Y$51)+(Y$43-Y$51)+(Y$44-Y$51)+(Y$45-Y$51)+(Y$46-Y$51)+(Y$47-Y$51)+(Y48-Y51)+(Y41-Y51)</f>
        <v>1.0439000000000185</v>
      </c>
      <c r="AE54" s="26">
        <f>(Y$42-Y$51)+(Y$43-Y$51)+(Y$44-Y$51)+(Y$45-Y$51)+(Y$46-Y$51)+(Y$47-Y$51)+(Y48-Y51)+(Y49-Y51)+(Y41-Y51)</f>
        <v>0.52195000000002167</v>
      </c>
      <c r="AF54" s="26">
        <f>(Y$42-Y$51)+(Y$43-Y$51)+(Y$44-Y$51)+(Y$45-Y$51)+(Y$46-Y$51)+(Y$47-Y$51)+(Y48-Y51)+(Y49-Y51)+(Y41-Y51)+(Y50-Y51)</f>
        <v>2.4868995751603507E-14</v>
      </c>
      <c r="AG54" s="26">
        <f>MAX(X54:AF54)-MIN(X54:AF54)</f>
        <v>1.9913999999999881</v>
      </c>
      <c r="AH54" s="27">
        <f>SQRT((Y41-Y51)^2+(Y42-Y51)^2+(Y43-Y51)^2+(Y44-Y51)^2+(Y45-Y51)^2+(Y46-Y51)^2+(Y47-Y51)^2+(Y48-Y51)^2+(Y49-Y51)^2+(Y50-Y51)^2)</f>
        <v>1.4120622666865639</v>
      </c>
      <c r="AI54" s="27">
        <f>AG54/AH54</f>
        <v>1.4102777526042483</v>
      </c>
      <c r="AJ54" s="27"/>
    </row>
    <row r="58" spans="4:36" x14ac:dyDescent="0.25">
      <c r="D58" s="21" t="s">
        <v>101</v>
      </c>
      <c r="E58" s="3">
        <v>3</v>
      </c>
      <c r="F58" s="3">
        <v>4</v>
      </c>
      <c r="G58" s="3">
        <v>5</v>
      </c>
      <c r="H58" s="3">
        <v>6</v>
      </c>
      <c r="I58" s="3">
        <v>7</v>
      </c>
      <c r="J58" s="25">
        <v>8</v>
      </c>
      <c r="K58" s="3">
        <v>9</v>
      </c>
      <c r="L58" s="3">
        <v>10</v>
      </c>
    </row>
    <row r="59" spans="4:36" x14ac:dyDescent="0.25">
      <c r="D59" s="21" t="s">
        <v>31</v>
      </c>
      <c r="E59" s="26">
        <f>J11</f>
        <v>0.58049293919822287</v>
      </c>
      <c r="F59" s="26">
        <f>S12</f>
        <v>0.74532898781039669</v>
      </c>
      <c r="G59" s="26">
        <f>AC13</f>
        <v>0.63227952550640776</v>
      </c>
      <c r="H59" s="26">
        <f>M34</f>
        <v>1.110479477344527</v>
      </c>
      <c r="I59" s="26">
        <f>Z34</f>
        <v>1.1658952183028128</v>
      </c>
      <c r="J59" s="26">
        <f>AM35</f>
        <v>1.3533953892608248</v>
      </c>
      <c r="K59" s="26">
        <f>P53</f>
        <v>1.340423826456735</v>
      </c>
      <c r="L59" s="26">
        <f>AJ53</f>
        <v>1.3878249321341922</v>
      </c>
    </row>
    <row r="61" spans="4:36" x14ac:dyDescent="0.25">
      <c r="D61" s="25" t="s">
        <v>102</v>
      </c>
      <c r="E61" s="33">
        <f>LOG10(E58/2)</f>
        <v>0.17609125905568124</v>
      </c>
      <c r="F61" s="33">
        <f t="shared" ref="F61:L61" si="29">LOG10(F58/2)</f>
        <v>0.3010299956639812</v>
      </c>
      <c r="G61" s="33">
        <f t="shared" si="29"/>
        <v>0.3979400086720376</v>
      </c>
      <c r="H61" s="33">
        <f t="shared" si="29"/>
        <v>0.47712125471966244</v>
      </c>
      <c r="I61" s="33">
        <f t="shared" si="29"/>
        <v>0.54406804435027567</v>
      </c>
      <c r="J61" s="34">
        <f t="shared" si="29"/>
        <v>0.6020599913279624</v>
      </c>
      <c r="K61" s="33">
        <f t="shared" si="29"/>
        <v>0.65321251377534373</v>
      </c>
      <c r="L61" s="33">
        <f t="shared" si="29"/>
        <v>0.69897000433601886</v>
      </c>
    </row>
    <row r="62" spans="4:36" x14ac:dyDescent="0.25">
      <c r="D62" s="25" t="s">
        <v>103</v>
      </c>
      <c r="E62" s="35">
        <f>LOG10(E59)</f>
        <v>-0.23620305841618938</v>
      </c>
      <c r="F62" s="35">
        <f t="shared" ref="F62:L62" si="30">LOG10(F59)</f>
        <v>-0.12765198758327403</v>
      </c>
      <c r="G62" s="35">
        <f t="shared" si="30"/>
        <v>-0.19909088129536179</v>
      </c>
      <c r="H62" s="33">
        <f t="shared" si="30"/>
        <v>4.5510536807604529E-2</v>
      </c>
      <c r="I62" s="33">
        <f t="shared" si="30"/>
        <v>6.6659521128225693E-2</v>
      </c>
      <c r="J62" s="34">
        <f t="shared" si="30"/>
        <v>0.13142469259817269</v>
      </c>
      <c r="K62" s="33">
        <f t="shared" si="30"/>
        <v>0.12724213895338307</v>
      </c>
      <c r="L62" s="33">
        <f t="shared" si="30"/>
        <v>0.14233468528067911</v>
      </c>
    </row>
    <row r="65" spans="4:5" x14ac:dyDescent="0.25">
      <c r="D65" s="25" t="s">
        <v>104</v>
      </c>
      <c r="E65" s="6">
        <f>0.1314/J61</f>
        <v>0.21825067583409968</v>
      </c>
    </row>
    <row r="66" spans="4:5" x14ac:dyDescent="0.25">
      <c r="D66" s="25" t="s">
        <v>105</v>
      </c>
      <c r="E66" s="6">
        <f>2^(2*E65-1)-1</f>
        <v>-0.32334077914703785</v>
      </c>
    </row>
    <row r="67" spans="4:5" x14ac:dyDescent="0.25">
      <c r="D67" s="25" t="s">
        <v>106</v>
      </c>
      <c r="E67" s="6">
        <f>2-E65</f>
        <v>1.7817493241659004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60" zoomScaleNormal="60" workbookViewId="0">
      <selection activeCell="D55" sqref="D55"/>
    </sheetView>
  </sheetViews>
  <sheetFormatPr defaultRowHeight="15" x14ac:dyDescent="0.25"/>
  <cols>
    <col min="3" max="3" width="23.42578125" customWidth="1"/>
    <col min="4" max="4" width="14.85546875" bestFit="1" customWidth="1"/>
    <col min="21" max="21" width="11.28515625" customWidth="1"/>
  </cols>
  <sheetData>
    <row r="1" spans="1:21" x14ac:dyDescent="0.25">
      <c r="A1" s="1" t="s">
        <v>9</v>
      </c>
      <c r="B1" s="1" t="s">
        <v>0</v>
      </c>
      <c r="D1" s="36" t="s">
        <v>107</v>
      </c>
      <c r="E1" s="36" t="s">
        <v>108</v>
      </c>
      <c r="F1" s="36" t="s">
        <v>109</v>
      </c>
      <c r="G1" s="36" t="s">
        <v>110</v>
      </c>
      <c r="H1" s="36" t="s">
        <v>111</v>
      </c>
      <c r="I1" s="36" t="s">
        <v>112</v>
      </c>
      <c r="J1" s="36" t="s">
        <v>113</v>
      </c>
      <c r="K1" s="36" t="s">
        <v>114</v>
      </c>
      <c r="L1" s="36" t="s">
        <v>115</v>
      </c>
      <c r="M1" s="36" t="s">
        <v>116</v>
      </c>
      <c r="N1" s="36" t="s">
        <v>2</v>
      </c>
      <c r="O1" s="36" t="s">
        <v>3</v>
      </c>
      <c r="P1" s="36" t="s">
        <v>4</v>
      </c>
      <c r="Q1" s="36" t="s">
        <v>5</v>
      </c>
      <c r="R1" s="36" t="s">
        <v>6</v>
      </c>
      <c r="S1" s="36" t="s">
        <v>7</v>
      </c>
      <c r="T1" s="36" t="s">
        <v>117</v>
      </c>
      <c r="U1" s="36" t="s">
        <v>118</v>
      </c>
    </row>
    <row r="2" spans="1:21" x14ac:dyDescent="0.25">
      <c r="A2" s="3">
        <v>1</v>
      </c>
      <c r="B2" s="9">
        <v>29.047699999999999</v>
      </c>
      <c r="D2" s="37">
        <f>B2</f>
        <v>29.047699999999999</v>
      </c>
      <c r="E2" s="37">
        <f>B2</f>
        <v>29.047699999999999</v>
      </c>
      <c r="F2" s="37">
        <f>B2</f>
        <v>29.047699999999999</v>
      </c>
      <c r="G2" s="37">
        <f>B2</f>
        <v>29.047699999999999</v>
      </c>
      <c r="H2" s="37">
        <f>B2</f>
        <v>29.047699999999999</v>
      </c>
      <c r="I2" s="37">
        <f>B2</f>
        <v>29.047699999999999</v>
      </c>
      <c r="J2" s="37">
        <f>B2</f>
        <v>29.047699999999999</v>
      </c>
      <c r="K2" s="37">
        <f>B2</f>
        <v>29.047699999999999</v>
      </c>
      <c r="L2" s="37">
        <f>B2</f>
        <v>29.047699999999999</v>
      </c>
      <c r="M2" s="37">
        <f>B2</f>
        <v>29.047699999999999</v>
      </c>
      <c r="N2" s="37">
        <f>B2</f>
        <v>29.047699999999999</v>
      </c>
      <c r="O2" s="37">
        <f>B2</f>
        <v>29.047699999999999</v>
      </c>
      <c r="P2" s="37">
        <f>B2</f>
        <v>29.047699999999999</v>
      </c>
      <c r="Q2" s="37">
        <f>B2</f>
        <v>29.047699999999999</v>
      </c>
      <c r="R2" s="37">
        <f>B2</f>
        <v>29.047699999999999</v>
      </c>
      <c r="S2" s="37">
        <f>B2</f>
        <v>29.047699999999999</v>
      </c>
      <c r="T2" s="37">
        <f>B2</f>
        <v>29.047699999999999</v>
      </c>
      <c r="U2" s="37">
        <f>B2</f>
        <v>29.047699999999999</v>
      </c>
    </row>
    <row r="3" spans="1:21" x14ac:dyDescent="0.25">
      <c r="A3" s="3">
        <v>2</v>
      </c>
      <c r="B3" s="9">
        <v>28.963899999999999</v>
      </c>
      <c r="D3" s="37">
        <f t="shared" ref="D3:D4" si="0">B3</f>
        <v>28.963899999999999</v>
      </c>
      <c r="E3" s="37">
        <f t="shared" ref="E3:E5" si="1">B3</f>
        <v>28.963899999999999</v>
      </c>
      <c r="F3" s="37">
        <f t="shared" ref="F3:F6" si="2">B3</f>
        <v>28.963899999999999</v>
      </c>
      <c r="G3" s="37">
        <f t="shared" ref="G3:G7" si="3">B3</f>
        <v>28.963899999999999</v>
      </c>
      <c r="H3" s="37">
        <f t="shared" ref="H3:H8" si="4">B3</f>
        <v>28.963899999999999</v>
      </c>
      <c r="I3" s="37">
        <f t="shared" ref="I3:I9" si="5">B3</f>
        <v>28.963899999999999</v>
      </c>
      <c r="J3" s="37">
        <f t="shared" ref="J3:J10" si="6">B3</f>
        <v>28.963899999999999</v>
      </c>
      <c r="K3" s="37">
        <f t="shared" ref="K3:K11" si="7">B3</f>
        <v>28.963899999999999</v>
      </c>
      <c r="L3" s="37">
        <f t="shared" ref="L3:L12" si="8">B3</f>
        <v>28.963899999999999</v>
      </c>
      <c r="M3" s="37">
        <f t="shared" ref="M3:M13" si="9">B3</f>
        <v>28.963899999999999</v>
      </c>
      <c r="N3" s="37">
        <f t="shared" ref="N3:N14" si="10">B3</f>
        <v>28.963899999999999</v>
      </c>
      <c r="O3" s="37">
        <f t="shared" ref="O3:O15" si="11">B3</f>
        <v>28.963899999999999</v>
      </c>
      <c r="P3" s="37">
        <f t="shared" ref="P3:P16" si="12">B3</f>
        <v>28.963899999999999</v>
      </c>
      <c r="Q3" s="37">
        <f t="shared" ref="Q3:Q17" si="13">B3</f>
        <v>28.963899999999999</v>
      </c>
      <c r="R3" s="37">
        <f t="shared" ref="R3:R18" si="14">B3</f>
        <v>28.963899999999999</v>
      </c>
      <c r="S3" s="37">
        <f t="shared" ref="S3:S19" si="15">B3</f>
        <v>28.963899999999999</v>
      </c>
      <c r="T3" s="37">
        <f t="shared" ref="T3:T20" si="16">B3</f>
        <v>28.963899999999999</v>
      </c>
      <c r="U3" s="37">
        <f t="shared" ref="U3:U21" si="17">B3</f>
        <v>28.963899999999999</v>
      </c>
    </row>
    <row r="4" spans="1:21" x14ac:dyDescent="0.25">
      <c r="A4" s="3">
        <v>3</v>
      </c>
      <c r="B4" s="9">
        <v>28.659800000000001</v>
      </c>
      <c r="D4" s="37">
        <f t="shared" si="0"/>
        <v>28.659800000000001</v>
      </c>
      <c r="E4" s="37">
        <f t="shared" si="1"/>
        <v>28.659800000000001</v>
      </c>
      <c r="F4" s="37">
        <f t="shared" si="2"/>
        <v>28.659800000000001</v>
      </c>
      <c r="G4" s="37">
        <f t="shared" si="3"/>
        <v>28.659800000000001</v>
      </c>
      <c r="H4" s="37">
        <f t="shared" si="4"/>
        <v>28.659800000000001</v>
      </c>
      <c r="I4" s="37">
        <f t="shared" si="5"/>
        <v>28.659800000000001</v>
      </c>
      <c r="J4" s="37">
        <f t="shared" si="6"/>
        <v>28.659800000000001</v>
      </c>
      <c r="K4" s="37">
        <f t="shared" si="7"/>
        <v>28.659800000000001</v>
      </c>
      <c r="L4" s="37">
        <f t="shared" si="8"/>
        <v>28.659800000000001</v>
      </c>
      <c r="M4" s="37">
        <f t="shared" si="9"/>
        <v>28.659800000000001</v>
      </c>
      <c r="N4" s="37">
        <f t="shared" si="10"/>
        <v>28.659800000000001</v>
      </c>
      <c r="O4" s="37">
        <f t="shared" si="11"/>
        <v>28.659800000000001</v>
      </c>
      <c r="P4" s="37">
        <f t="shared" si="12"/>
        <v>28.659800000000001</v>
      </c>
      <c r="Q4" s="37">
        <f t="shared" si="13"/>
        <v>28.659800000000001</v>
      </c>
      <c r="R4" s="37">
        <f t="shared" si="14"/>
        <v>28.659800000000001</v>
      </c>
      <c r="S4" s="37">
        <f t="shared" si="15"/>
        <v>28.659800000000001</v>
      </c>
      <c r="T4" s="37">
        <f t="shared" si="16"/>
        <v>28.659800000000001</v>
      </c>
      <c r="U4" s="37">
        <f t="shared" si="17"/>
        <v>28.659800000000001</v>
      </c>
    </row>
    <row r="5" spans="1:21" x14ac:dyDescent="0.25">
      <c r="A5" s="3">
        <v>4</v>
      </c>
      <c r="B5" s="9">
        <v>28.7515</v>
      </c>
      <c r="E5" s="37">
        <f t="shared" si="1"/>
        <v>28.7515</v>
      </c>
      <c r="F5" s="39">
        <f t="shared" si="2"/>
        <v>28.7515</v>
      </c>
      <c r="G5" s="39">
        <f t="shared" si="3"/>
        <v>28.7515</v>
      </c>
      <c r="H5" s="37">
        <f t="shared" si="4"/>
        <v>28.7515</v>
      </c>
      <c r="I5" s="37">
        <f t="shared" si="5"/>
        <v>28.7515</v>
      </c>
      <c r="J5" s="37">
        <f t="shared" si="6"/>
        <v>28.7515</v>
      </c>
      <c r="K5" s="37">
        <f t="shared" si="7"/>
        <v>28.7515</v>
      </c>
      <c r="L5" s="37">
        <f t="shared" si="8"/>
        <v>28.7515</v>
      </c>
      <c r="M5" s="37">
        <f t="shared" si="9"/>
        <v>28.7515</v>
      </c>
      <c r="N5" s="37">
        <f t="shared" si="10"/>
        <v>28.7515</v>
      </c>
      <c r="O5" s="37">
        <f t="shared" si="11"/>
        <v>28.7515</v>
      </c>
      <c r="P5" s="37">
        <f t="shared" si="12"/>
        <v>28.7515</v>
      </c>
      <c r="Q5" s="37">
        <f t="shared" si="13"/>
        <v>28.7515</v>
      </c>
      <c r="R5" s="37">
        <f t="shared" si="14"/>
        <v>28.7515</v>
      </c>
      <c r="S5" s="37">
        <f t="shared" si="15"/>
        <v>28.7515</v>
      </c>
      <c r="T5" s="37">
        <f t="shared" si="16"/>
        <v>28.7515</v>
      </c>
      <c r="U5" s="37">
        <f t="shared" si="17"/>
        <v>28.7515</v>
      </c>
    </row>
    <row r="6" spans="1:21" x14ac:dyDescent="0.25">
      <c r="A6" s="3">
        <v>5</v>
      </c>
      <c r="B6" s="9">
        <v>28.66</v>
      </c>
      <c r="F6" s="37">
        <f t="shared" si="2"/>
        <v>28.66</v>
      </c>
      <c r="G6" s="37">
        <f t="shared" si="3"/>
        <v>28.66</v>
      </c>
      <c r="H6" s="38">
        <f t="shared" si="4"/>
        <v>28.66</v>
      </c>
      <c r="I6" s="37">
        <f t="shared" si="5"/>
        <v>28.66</v>
      </c>
      <c r="J6" s="37">
        <f t="shared" si="6"/>
        <v>28.66</v>
      </c>
      <c r="K6" s="37">
        <f t="shared" si="7"/>
        <v>28.66</v>
      </c>
      <c r="L6" s="37">
        <f t="shared" si="8"/>
        <v>28.66</v>
      </c>
      <c r="M6" s="37">
        <f t="shared" si="9"/>
        <v>28.66</v>
      </c>
      <c r="N6" s="37">
        <f t="shared" si="10"/>
        <v>28.66</v>
      </c>
      <c r="O6" s="37">
        <f t="shared" si="11"/>
        <v>28.66</v>
      </c>
      <c r="P6" s="37">
        <f t="shared" si="12"/>
        <v>28.66</v>
      </c>
      <c r="Q6" s="37">
        <f t="shared" si="13"/>
        <v>28.66</v>
      </c>
      <c r="R6" s="37">
        <f t="shared" si="14"/>
        <v>28.66</v>
      </c>
      <c r="S6" s="37">
        <f t="shared" si="15"/>
        <v>28.66</v>
      </c>
      <c r="T6" s="37">
        <f t="shared" si="16"/>
        <v>28.66</v>
      </c>
      <c r="U6" s="37">
        <f t="shared" si="17"/>
        <v>28.66</v>
      </c>
    </row>
    <row r="7" spans="1:21" x14ac:dyDescent="0.25">
      <c r="A7" s="3">
        <v>6</v>
      </c>
      <c r="B7" s="9">
        <v>28.66</v>
      </c>
      <c r="G7" s="37">
        <f t="shared" si="3"/>
        <v>28.66</v>
      </c>
      <c r="H7" s="38">
        <f t="shared" si="4"/>
        <v>28.66</v>
      </c>
      <c r="I7" s="37">
        <f t="shared" si="5"/>
        <v>28.66</v>
      </c>
      <c r="J7" s="37">
        <f t="shared" si="6"/>
        <v>28.66</v>
      </c>
      <c r="K7" s="37">
        <f t="shared" si="7"/>
        <v>28.66</v>
      </c>
      <c r="L7" s="37">
        <f t="shared" si="8"/>
        <v>28.66</v>
      </c>
      <c r="M7" s="37">
        <f t="shared" si="9"/>
        <v>28.66</v>
      </c>
      <c r="N7" s="37">
        <f t="shared" si="10"/>
        <v>28.66</v>
      </c>
      <c r="O7" s="37">
        <f t="shared" si="11"/>
        <v>28.66</v>
      </c>
      <c r="P7" s="37">
        <f t="shared" si="12"/>
        <v>28.66</v>
      </c>
      <c r="Q7" s="37">
        <f t="shared" si="13"/>
        <v>28.66</v>
      </c>
      <c r="R7" s="37">
        <f t="shared" si="14"/>
        <v>28.66</v>
      </c>
      <c r="S7" s="37">
        <f t="shared" si="15"/>
        <v>28.66</v>
      </c>
      <c r="T7" s="37">
        <f t="shared" si="16"/>
        <v>28.66</v>
      </c>
      <c r="U7" s="37">
        <f t="shared" si="17"/>
        <v>28.66</v>
      </c>
    </row>
    <row r="8" spans="1:21" x14ac:dyDescent="0.25">
      <c r="A8" s="3">
        <v>7</v>
      </c>
      <c r="B8" s="9">
        <v>29.253699999999998</v>
      </c>
      <c r="H8" s="37">
        <f t="shared" si="4"/>
        <v>29.253699999999998</v>
      </c>
      <c r="I8" s="39">
        <f t="shared" si="5"/>
        <v>29.253699999999998</v>
      </c>
      <c r="J8" s="39">
        <f t="shared" si="6"/>
        <v>29.253699999999998</v>
      </c>
      <c r="K8" s="39">
        <f t="shared" si="7"/>
        <v>29.253699999999998</v>
      </c>
      <c r="L8" s="39">
        <f t="shared" si="8"/>
        <v>29.253699999999998</v>
      </c>
      <c r="M8" s="39">
        <f t="shared" si="9"/>
        <v>29.253699999999998</v>
      </c>
      <c r="N8" s="37">
        <f t="shared" si="10"/>
        <v>29.253699999999998</v>
      </c>
      <c r="O8" s="37">
        <f t="shared" si="11"/>
        <v>29.253699999999998</v>
      </c>
      <c r="P8" s="37">
        <f t="shared" si="12"/>
        <v>29.253699999999998</v>
      </c>
      <c r="Q8" s="37">
        <f t="shared" si="13"/>
        <v>29.253699999999998</v>
      </c>
      <c r="R8" s="37">
        <f t="shared" si="14"/>
        <v>29.253699999999998</v>
      </c>
      <c r="S8" s="37">
        <f t="shared" si="15"/>
        <v>29.253699999999998</v>
      </c>
      <c r="T8" s="37">
        <f t="shared" si="16"/>
        <v>29.253699999999998</v>
      </c>
      <c r="U8" s="37">
        <f t="shared" si="17"/>
        <v>29.253699999999998</v>
      </c>
    </row>
    <row r="9" spans="1:21" x14ac:dyDescent="0.25">
      <c r="A9" s="3">
        <v>8</v>
      </c>
      <c r="B9" s="9">
        <v>29.124500000000001</v>
      </c>
      <c r="I9" s="37">
        <f t="shared" si="5"/>
        <v>29.124500000000001</v>
      </c>
      <c r="J9" s="37">
        <f t="shared" si="6"/>
        <v>29.124500000000001</v>
      </c>
      <c r="K9" s="37">
        <f t="shared" si="7"/>
        <v>29.124500000000001</v>
      </c>
      <c r="L9" s="37">
        <f t="shared" si="8"/>
        <v>29.124500000000001</v>
      </c>
      <c r="M9" s="37">
        <f t="shared" si="9"/>
        <v>29.124500000000001</v>
      </c>
      <c r="N9" s="38">
        <f t="shared" si="10"/>
        <v>29.124500000000001</v>
      </c>
      <c r="O9" s="37">
        <f t="shared" si="11"/>
        <v>29.124500000000001</v>
      </c>
      <c r="P9" s="37">
        <f t="shared" si="12"/>
        <v>29.124500000000001</v>
      </c>
      <c r="Q9" s="37">
        <f t="shared" si="13"/>
        <v>29.124500000000001</v>
      </c>
      <c r="R9" s="37">
        <f t="shared" si="14"/>
        <v>29.124500000000001</v>
      </c>
      <c r="S9" s="37">
        <f t="shared" si="15"/>
        <v>29.124500000000001</v>
      </c>
      <c r="T9" s="37">
        <f t="shared" si="16"/>
        <v>29.124500000000001</v>
      </c>
      <c r="U9" s="37">
        <f t="shared" si="17"/>
        <v>29.124500000000001</v>
      </c>
    </row>
    <row r="10" spans="1:21" x14ac:dyDescent="0.25">
      <c r="A10" s="3">
        <v>9</v>
      </c>
      <c r="B10" s="9">
        <v>29.2151</v>
      </c>
      <c r="J10" s="37">
        <f t="shared" si="6"/>
        <v>29.2151</v>
      </c>
      <c r="K10" s="37">
        <f t="shared" si="7"/>
        <v>29.2151</v>
      </c>
      <c r="L10" s="37">
        <f t="shared" si="8"/>
        <v>29.2151</v>
      </c>
      <c r="M10" s="37">
        <f t="shared" si="9"/>
        <v>29.2151</v>
      </c>
      <c r="N10" s="38">
        <f t="shared" si="10"/>
        <v>29.2151</v>
      </c>
      <c r="O10" s="37">
        <f t="shared" si="11"/>
        <v>29.2151</v>
      </c>
      <c r="P10" s="37">
        <f t="shared" si="12"/>
        <v>29.2151</v>
      </c>
      <c r="Q10" s="37">
        <f t="shared" si="13"/>
        <v>29.2151</v>
      </c>
      <c r="R10" s="37">
        <f t="shared" si="14"/>
        <v>29.2151</v>
      </c>
      <c r="S10" s="37">
        <f t="shared" si="15"/>
        <v>29.2151</v>
      </c>
      <c r="T10" s="37">
        <f t="shared" si="16"/>
        <v>29.2151</v>
      </c>
      <c r="U10" s="37">
        <f t="shared" si="17"/>
        <v>29.2151</v>
      </c>
    </row>
    <row r="11" spans="1:21" x14ac:dyDescent="0.25">
      <c r="A11" s="3">
        <v>10</v>
      </c>
      <c r="B11" s="9">
        <v>28.884</v>
      </c>
      <c r="K11" s="37">
        <f t="shared" si="7"/>
        <v>28.884</v>
      </c>
      <c r="L11" s="37">
        <f t="shared" si="8"/>
        <v>28.884</v>
      </c>
      <c r="M11" s="37">
        <f t="shared" si="9"/>
        <v>28.884</v>
      </c>
      <c r="N11" s="38">
        <f t="shared" si="10"/>
        <v>28.884</v>
      </c>
      <c r="O11" s="37">
        <f t="shared" si="11"/>
        <v>28.884</v>
      </c>
      <c r="P11" s="37">
        <f t="shared" si="12"/>
        <v>28.884</v>
      </c>
      <c r="Q11" s="37">
        <f t="shared" si="13"/>
        <v>28.884</v>
      </c>
      <c r="R11" s="37">
        <f t="shared" si="14"/>
        <v>28.884</v>
      </c>
      <c r="S11" s="37">
        <f t="shared" si="15"/>
        <v>28.884</v>
      </c>
      <c r="T11" s="37">
        <f t="shared" si="16"/>
        <v>28.884</v>
      </c>
      <c r="U11" s="37">
        <f t="shared" si="17"/>
        <v>28.884</v>
      </c>
    </row>
    <row r="12" spans="1:21" x14ac:dyDescent="0.25">
      <c r="A12" s="3">
        <v>11</v>
      </c>
      <c r="B12" s="9">
        <v>28.944199999999999</v>
      </c>
      <c r="L12" s="37">
        <f t="shared" si="8"/>
        <v>28.944199999999999</v>
      </c>
      <c r="M12" s="37">
        <f t="shared" si="9"/>
        <v>28.944199999999999</v>
      </c>
      <c r="N12" s="38">
        <f t="shared" si="10"/>
        <v>28.944199999999999</v>
      </c>
      <c r="O12" s="37">
        <f t="shared" si="11"/>
        <v>28.944199999999999</v>
      </c>
      <c r="P12" s="37">
        <f t="shared" si="12"/>
        <v>28.944199999999999</v>
      </c>
      <c r="Q12" s="37">
        <f t="shared" si="13"/>
        <v>28.944199999999999</v>
      </c>
      <c r="R12" s="37">
        <f t="shared" si="14"/>
        <v>28.944199999999999</v>
      </c>
      <c r="S12" s="37">
        <f t="shared" si="15"/>
        <v>28.944199999999999</v>
      </c>
      <c r="T12" s="37">
        <f t="shared" si="16"/>
        <v>28.944199999999999</v>
      </c>
      <c r="U12" s="37">
        <f t="shared" si="17"/>
        <v>28.944199999999999</v>
      </c>
    </row>
    <row r="13" spans="1:21" x14ac:dyDescent="0.25">
      <c r="A13" s="3">
        <v>12</v>
      </c>
      <c r="B13" s="9">
        <v>28.7681</v>
      </c>
      <c r="M13" s="37">
        <f t="shared" si="9"/>
        <v>28.7681</v>
      </c>
      <c r="N13" s="38">
        <f t="shared" si="10"/>
        <v>28.7681</v>
      </c>
      <c r="O13" s="37">
        <f t="shared" si="11"/>
        <v>28.7681</v>
      </c>
      <c r="P13" s="37">
        <f t="shared" si="12"/>
        <v>28.7681</v>
      </c>
      <c r="Q13" s="37">
        <f t="shared" si="13"/>
        <v>28.7681</v>
      </c>
      <c r="R13" s="37">
        <f t="shared" si="14"/>
        <v>28.7681</v>
      </c>
      <c r="S13" s="37">
        <f t="shared" si="15"/>
        <v>28.7681</v>
      </c>
      <c r="T13" s="37">
        <f t="shared" si="16"/>
        <v>28.7681</v>
      </c>
      <c r="U13" s="37">
        <f t="shared" si="17"/>
        <v>28.7681</v>
      </c>
    </row>
    <row r="14" spans="1:21" x14ac:dyDescent="0.25">
      <c r="A14" s="3">
        <v>13</v>
      </c>
      <c r="B14" s="9">
        <v>28.570799999999998</v>
      </c>
      <c r="N14" s="37">
        <f t="shared" si="10"/>
        <v>28.570799999999998</v>
      </c>
      <c r="O14" s="39">
        <f t="shared" si="11"/>
        <v>28.570799999999998</v>
      </c>
      <c r="P14" s="37">
        <f t="shared" si="12"/>
        <v>28.570799999999998</v>
      </c>
      <c r="Q14" s="37">
        <f t="shared" si="13"/>
        <v>28.570799999999998</v>
      </c>
      <c r="R14" s="37">
        <f t="shared" si="14"/>
        <v>28.570799999999998</v>
      </c>
      <c r="S14" s="37">
        <f t="shared" si="15"/>
        <v>28.570799999999998</v>
      </c>
      <c r="T14" s="37">
        <f t="shared" si="16"/>
        <v>28.570799999999998</v>
      </c>
      <c r="U14" s="37">
        <f t="shared" si="17"/>
        <v>28.570799999999998</v>
      </c>
    </row>
    <row r="15" spans="1:21" x14ac:dyDescent="0.25">
      <c r="A15" s="3">
        <v>14</v>
      </c>
      <c r="B15" s="9">
        <v>28.602900000000002</v>
      </c>
      <c r="O15" s="37">
        <f t="shared" si="11"/>
        <v>28.602900000000002</v>
      </c>
      <c r="P15" s="38">
        <f t="shared" si="12"/>
        <v>28.602900000000002</v>
      </c>
      <c r="Q15" s="37">
        <f t="shared" si="13"/>
        <v>28.602900000000002</v>
      </c>
      <c r="R15" s="37">
        <f t="shared" si="14"/>
        <v>28.602900000000002</v>
      </c>
      <c r="S15" s="37">
        <f t="shared" si="15"/>
        <v>28.602900000000002</v>
      </c>
      <c r="T15" s="37">
        <f t="shared" si="16"/>
        <v>28.602900000000002</v>
      </c>
      <c r="U15" s="37">
        <f t="shared" si="17"/>
        <v>28.602900000000002</v>
      </c>
    </row>
    <row r="16" spans="1:21" x14ac:dyDescent="0.25">
      <c r="A16" s="3">
        <v>15</v>
      </c>
      <c r="B16" s="9">
        <v>28.256499999999999</v>
      </c>
      <c r="P16" s="37">
        <f t="shared" si="12"/>
        <v>28.256499999999999</v>
      </c>
      <c r="Q16" s="37">
        <f t="shared" si="13"/>
        <v>28.256499999999999</v>
      </c>
      <c r="R16" s="37">
        <f t="shared" si="14"/>
        <v>28.256499999999999</v>
      </c>
      <c r="S16" s="37">
        <f t="shared" si="15"/>
        <v>28.256499999999999</v>
      </c>
      <c r="T16" s="37">
        <f t="shared" si="16"/>
        <v>28.256499999999999</v>
      </c>
      <c r="U16" s="37">
        <f t="shared" si="17"/>
        <v>28.256499999999999</v>
      </c>
    </row>
    <row r="17" spans="1:22" x14ac:dyDescent="0.25">
      <c r="A17" s="3">
        <v>16</v>
      </c>
      <c r="B17" s="9">
        <v>28.3324</v>
      </c>
      <c r="Q17" s="37">
        <f t="shared" si="13"/>
        <v>28.3324</v>
      </c>
      <c r="R17" s="39">
        <f t="shared" si="14"/>
        <v>28.3324</v>
      </c>
      <c r="S17" s="37">
        <f t="shared" si="15"/>
        <v>28.3324</v>
      </c>
      <c r="T17" s="37">
        <f t="shared" si="16"/>
        <v>28.3324</v>
      </c>
      <c r="U17" s="37">
        <f t="shared" si="17"/>
        <v>28.3324</v>
      </c>
    </row>
    <row r="18" spans="1:22" x14ac:dyDescent="0.25">
      <c r="A18" s="3">
        <v>17</v>
      </c>
      <c r="B18" s="9">
        <v>27.8217</v>
      </c>
      <c r="R18" s="37">
        <f t="shared" si="14"/>
        <v>27.8217</v>
      </c>
      <c r="S18" s="38">
        <f t="shared" si="15"/>
        <v>27.8217</v>
      </c>
      <c r="T18" s="37">
        <f t="shared" si="16"/>
        <v>27.8217</v>
      </c>
      <c r="U18" s="37">
        <f t="shared" si="17"/>
        <v>27.8217</v>
      </c>
    </row>
    <row r="19" spans="1:22" x14ac:dyDescent="0.25">
      <c r="A19" s="3">
        <v>18</v>
      </c>
      <c r="B19" s="9">
        <v>27.725300000000001</v>
      </c>
      <c r="S19" s="37">
        <f t="shared" si="15"/>
        <v>27.725300000000001</v>
      </c>
      <c r="T19" s="37">
        <f t="shared" si="16"/>
        <v>27.725300000000001</v>
      </c>
      <c r="U19" s="37">
        <f t="shared" si="17"/>
        <v>27.725300000000001</v>
      </c>
    </row>
    <row r="20" spans="1:22" x14ac:dyDescent="0.25">
      <c r="A20" s="3">
        <v>19</v>
      </c>
      <c r="B20" s="9">
        <v>27.725300000000001</v>
      </c>
      <c r="T20" s="37">
        <f t="shared" si="16"/>
        <v>27.725300000000001</v>
      </c>
      <c r="U20" s="37">
        <f t="shared" si="17"/>
        <v>27.725300000000001</v>
      </c>
    </row>
    <row r="21" spans="1:22" x14ac:dyDescent="0.25">
      <c r="A21" s="3">
        <v>20</v>
      </c>
      <c r="B21" s="9">
        <v>27.725300000000001</v>
      </c>
      <c r="U21" s="39">
        <f t="shared" si="17"/>
        <v>27.725300000000001</v>
      </c>
    </row>
    <row r="22" spans="1:22" x14ac:dyDescent="0.25">
      <c r="C22" s="41" t="s">
        <v>24</v>
      </c>
      <c r="D22" s="46">
        <f>AVERAGE(D2:D4)</f>
        <v>28.890466666666669</v>
      </c>
      <c r="E22" s="41">
        <f>AVERAGE(E2:E5)</f>
        <v>28.855725</v>
      </c>
      <c r="F22" s="41">
        <f>AVERAGE(F2:F6)</f>
        <v>28.816579999999998</v>
      </c>
      <c r="G22" s="41">
        <f>AVERAGE(G2:G7)</f>
        <v>28.790483333333331</v>
      </c>
      <c r="H22" s="41">
        <f>AVERAGE(H2:H8)</f>
        <v>28.856657142857141</v>
      </c>
      <c r="I22" s="41">
        <f>AVERAGE(I2:I9)</f>
        <v>28.890137500000002</v>
      </c>
      <c r="J22" s="41">
        <f>AVERAGE(J2:J10)</f>
        <v>28.926244444444446</v>
      </c>
      <c r="K22" s="41">
        <f>AVERAGE(K2:K11)</f>
        <v>28.922020000000003</v>
      </c>
      <c r="L22" s="41">
        <f>AVERAGE(L2:L12)</f>
        <v>28.924036363636368</v>
      </c>
      <c r="M22" s="41">
        <f>AVERAGE(M2:M13)</f>
        <v>28.911041666666673</v>
      </c>
      <c r="N22" s="41">
        <f>AVERAGE(N2:N14)</f>
        <v>28.884869230769237</v>
      </c>
      <c r="O22" s="41">
        <f>AVERAGE(O2:O15)</f>
        <v>28.864728571428575</v>
      </c>
      <c r="P22" s="41">
        <f>AVERAGE(P2:P16)</f>
        <v>28.824180000000005</v>
      </c>
      <c r="Q22" s="41">
        <f>AVERAGE(Q2:Q17)</f>
        <v>28.793443750000005</v>
      </c>
      <c r="R22" s="41">
        <f>AVERAGE(R2:R18)</f>
        <v>28.736282352941181</v>
      </c>
      <c r="S22" s="41">
        <f>AVERAGE(S2:S19)</f>
        <v>28.68011666666667</v>
      </c>
      <c r="T22" s="41">
        <f>AVERAGE(T2:T20)</f>
        <v>28.629863157894736</v>
      </c>
      <c r="U22" s="41">
        <f>AVERAGE(U2:U21)</f>
        <v>28.584634999999999</v>
      </c>
    </row>
    <row r="24" spans="1:22" x14ac:dyDescent="0.25">
      <c r="C24" t="s">
        <v>25</v>
      </c>
      <c r="D24" s="36" t="s">
        <v>107</v>
      </c>
      <c r="E24" s="36" t="s">
        <v>108</v>
      </c>
      <c r="F24" s="36" t="s">
        <v>109</v>
      </c>
      <c r="G24" s="36" t="s">
        <v>110</v>
      </c>
      <c r="H24" s="36" t="s">
        <v>111</v>
      </c>
      <c r="I24" s="36" t="s">
        <v>112</v>
      </c>
      <c r="J24" s="36" t="s">
        <v>113</v>
      </c>
      <c r="K24" s="36" t="s">
        <v>114</v>
      </c>
      <c r="L24" s="36" t="s">
        <v>115</v>
      </c>
      <c r="M24" s="36" t="s">
        <v>116</v>
      </c>
      <c r="N24" s="36" t="s">
        <v>2</v>
      </c>
      <c r="O24" s="36" t="s">
        <v>3</v>
      </c>
      <c r="P24" s="36" t="s">
        <v>4</v>
      </c>
      <c r="Q24" s="36" t="s">
        <v>5</v>
      </c>
      <c r="R24" s="36" t="s">
        <v>6</v>
      </c>
      <c r="S24" s="36" t="s">
        <v>7</v>
      </c>
      <c r="T24" s="36" t="s">
        <v>117</v>
      </c>
      <c r="U24" s="36" t="s">
        <v>118</v>
      </c>
      <c r="V24" s="36" t="s">
        <v>138</v>
      </c>
    </row>
    <row r="25" spans="1:22" x14ac:dyDescent="0.25">
      <c r="C25" s="36" t="s">
        <v>119</v>
      </c>
      <c r="D25" s="42">
        <f>(D2-D$22)+(D3-D$22)</f>
        <v>0.2306666666666608</v>
      </c>
      <c r="E25" s="42">
        <f>($E2-E$22)+($E3-E$22)</f>
        <v>0.30014999999999858</v>
      </c>
      <c r="F25" s="42">
        <f>($F$2-$F$22)+($F$3-$F$22)+($F$4-$F$22)+($F$5-$F$22)+($F$6-$F$22)</f>
        <v>7.1054273576010019E-15</v>
      </c>
      <c r="G25" s="42">
        <f>($G$2-$G$22)+($G$3-$G$22)</f>
        <v>0.43063333333333631</v>
      </c>
      <c r="H25" s="42">
        <f>(H$2-H$22)+(H$3-H$22)</f>
        <v>0.29828571428571493</v>
      </c>
      <c r="I25" s="42">
        <f t="shared" ref="I25:U25" si="18">(I$2-I$22)+(I$3-I$22)</f>
        <v>0.23132499999999467</v>
      </c>
      <c r="J25" s="42">
        <f t="shared" si="18"/>
        <v>0.15911111111110543</v>
      </c>
      <c r="K25" s="42">
        <f t="shared" si="18"/>
        <v>0.16755999999999105</v>
      </c>
      <c r="L25" s="42">
        <f t="shared" si="18"/>
        <v>0.16352727272726142</v>
      </c>
      <c r="M25" s="42">
        <f t="shared" si="18"/>
        <v>0.1895166666666519</v>
      </c>
      <c r="N25" s="42">
        <f t="shared" si="18"/>
        <v>0.24186153846152436</v>
      </c>
      <c r="O25" s="42">
        <f t="shared" si="18"/>
        <v>0.2821428571428477</v>
      </c>
      <c r="P25" s="42">
        <f t="shared" si="18"/>
        <v>0.36323999999998691</v>
      </c>
      <c r="Q25" s="42">
        <f t="shared" si="18"/>
        <v>0.42471249999998761</v>
      </c>
      <c r="R25" s="42">
        <f t="shared" si="18"/>
        <v>0.53903529411763529</v>
      </c>
      <c r="S25" s="42">
        <f t="shared" si="18"/>
        <v>0.65136666666665732</v>
      </c>
      <c r="T25" s="42">
        <f t="shared" si="18"/>
        <v>0.75187368421052625</v>
      </c>
      <c r="U25" s="42">
        <f t="shared" si="18"/>
        <v>0.84233000000000047</v>
      </c>
      <c r="V25">
        <v>2</v>
      </c>
    </row>
    <row r="26" spans="1:22" x14ac:dyDescent="0.25">
      <c r="C26" s="36" t="s">
        <v>120</v>
      </c>
      <c r="D26" s="42">
        <f>(D2-D$22)+(D3-D$22)+(D4-D$22)</f>
        <v>-7.1054273576010019E-15</v>
      </c>
      <c r="E26" s="42">
        <f>($E2-$E22)+($E3-$E22)+($E4-$E$22)+($E5-$E$22)</f>
        <v>0</v>
      </c>
      <c r="F26" s="42">
        <f>($F$2-$F$22)+($F$3-$F$22)</f>
        <v>0.37844000000000122</v>
      </c>
      <c r="G26" s="42">
        <f>($G$2-$G$22)+($G$3-$G$22)+($G$4-$G$22)</f>
        <v>0.29995000000000616</v>
      </c>
      <c r="H26" s="42">
        <f>(H$2-H$22)+(H$3-H$22)+(H$4-H$22)</f>
        <v>0.10142857142857409</v>
      </c>
      <c r="I26" s="42">
        <f t="shared" ref="I26:U26" si="19">(I$2-I$22)+(I$3-I$22)+(I$4-I$22)</f>
        <v>9.8749999999370175E-4</v>
      </c>
      <c r="J26" s="42">
        <f t="shared" si="19"/>
        <v>-0.10733333333334016</v>
      </c>
      <c r="K26" s="42">
        <f t="shared" si="19"/>
        <v>-9.4660000000011735E-2</v>
      </c>
      <c r="L26" s="42">
        <f t="shared" si="19"/>
        <v>-0.10070909090910618</v>
      </c>
      <c r="M26" s="42">
        <f t="shared" si="19"/>
        <v>-6.1725000000020458E-2</v>
      </c>
      <c r="N26" s="42">
        <f t="shared" si="19"/>
        <v>1.6792307692288233E-2</v>
      </c>
      <c r="O26" s="42">
        <f t="shared" si="19"/>
        <v>7.7214285714273245E-2</v>
      </c>
      <c r="P26" s="42">
        <f t="shared" si="19"/>
        <v>0.19885999999998205</v>
      </c>
      <c r="Q26" s="42">
        <f t="shared" si="19"/>
        <v>0.29106874999998311</v>
      </c>
      <c r="R26" s="42">
        <f t="shared" si="19"/>
        <v>0.46255294117645462</v>
      </c>
      <c r="S26" s="42">
        <f t="shared" si="19"/>
        <v>0.63104999999998768</v>
      </c>
      <c r="T26" s="42">
        <f t="shared" si="19"/>
        <v>0.78181052631579107</v>
      </c>
      <c r="U26" s="42">
        <f t="shared" si="19"/>
        <v>0.91749500000000239</v>
      </c>
      <c r="V26">
        <v>3</v>
      </c>
    </row>
    <row r="27" spans="1:22" x14ac:dyDescent="0.25">
      <c r="C27" s="36" t="s">
        <v>121</v>
      </c>
      <c r="D27" s="42"/>
      <c r="E27" s="42">
        <f>($E2-$E22)+($E3-$E22)+($E4-$E$22)</f>
        <v>0.10422499999999957</v>
      </c>
      <c r="F27" s="42">
        <f>($F$2-$F$22)+($F$3-$F$22)+($F$4-$F$22)+($F$5-$F$22)</f>
        <v>0.15658000000000527</v>
      </c>
      <c r="G27" s="42">
        <f>($G$2-$G$22)+($G$3-$G$22)+($G$4-$G$22)+($G$5-$G$22)</f>
        <v>0.26096666666667545</v>
      </c>
      <c r="H27" s="42">
        <f>(H$2-H$22)+(H$3-H$22)+(H$4-H$22)+(H$5-H$22)</f>
        <v>-3.7285714285673066E-3</v>
      </c>
      <c r="I27" s="42">
        <f t="shared" ref="I27:U27" si="20">(I$2-I$22)+(I$3-I$22)+(I$4-I$22)+(I$5-I$22)</f>
        <v>-0.13765000000000782</v>
      </c>
      <c r="J27" s="42">
        <f t="shared" si="20"/>
        <v>-0.28207777777778631</v>
      </c>
      <c r="K27" s="42">
        <f t="shared" si="20"/>
        <v>-0.26518000000001507</v>
      </c>
      <c r="L27" s="42">
        <f t="shared" si="20"/>
        <v>-0.27324545454547433</v>
      </c>
      <c r="M27" s="42">
        <f t="shared" si="20"/>
        <v>-0.22126666666669337</v>
      </c>
      <c r="N27" s="42">
        <f t="shared" si="20"/>
        <v>-0.11657692307694845</v>
      </c>
      <c r="O27" s="42">
        <f t="shared" si="20"/>
        <v>-3.6014285714301764E-2</v>
      </c>
      <c r="P27" s="42">
        <f t="shared" si="20"/>
        <v>0.12617999999997664</v>
      </c>
      <c r="Q27" s="42">
        <f t="shared" si="20"/>
        <v>0.24912499999997806</v>
      </c>
      <c r="R27" s="42">
        <f t="shared" si="20"/>
        <v>0.47777058823527341</v>
      </c>
      <c r="S27" s="42">
        <f t="shared" si="20"/>
        <v>0.70243333333331748</v>
      </c>
      <c r="T27" s="42">
        <f t="shared" si="20"/>
        <v>0.90344736842105533</v>
      </c>
      <c r="U27" s="42">
        <f t="shared" si="20"/>
        <v>1.0843600000000038</v>
      </c>
      <c r="V27">
        <v>4</v>
      </c>
    </row>
    <row r="28" spans="1:22" x14ac:dyDescent="0.25">
      <c r="C28" s="36" t="s">
        <v>122</v>
      </c>
      <c r="D28" s="42"/>
      <c r="E28" s="42"/>
      <c r="F28" s="42">
        <f>($F$2-$F$22)+($F$3-$F$22)+($F$4-$F$22)+($F$5-$F$22)+($F$6-$F$22)</f>
        <v>7.1054273576010019E-15</v>
      </c>
      <c r="G28" s="42">
        <f>($G$2-$G$22)+($G$3-$G$22)+($G$4-$G$22)+($G$5-$G$22)+($G$6-$G$22)</f>
        <v>0.13048333333334483</v>
      </c>
      <c r="H28" s="42">
        <f>(H$2-H$22)+(H$3-H$22)+(H$4-H$22)+(H$5-H$22)+(H$6-H$22)</f>
        <v>-0.20038571428570862</v>
      </c>
      <c r="I28" s="42">
        <f t="shared" ref="I28:U28" si="21">(I$2-I$22)+(I$3-I$22)+(I$4-I$22)+(I$5-I$22)+(I$6-I$22)</f>
        <v>-0.36778750000000926</v>
      </c>
      <c r="J28" s="42">
        <f t="shared" si="21"/>
        <v>-0.54832222222223237</v>
      </c>
      <c r="K28" s="42">
        <f t="shared" si="21"/>
        <v>-0.52720000000001832</v>
      </c>
      <c r="L28" s="42">
        <f t="shared" si="21"/>
        <v>-0.5372818181818424</v>
      </c>
      <c r="M28" s="42">
        <f t="shared" si="21"/>
        <v>-0.47230833333336619</v>
      </c>
      <c r="N28" s="42">
        <f t="shared" si="21"/>
        <v>-0.34144615384618504</v>
      </c>
      <c r="O28" s="42">
        <f t="shared" si="21"/>
        <v>-0.24074285714287669</v>
      </c>
      <c r="P28" s="42">
        <f t="shared" si="21"/>
        <v>-3.8000000000028678E-2</v>
      </c>
      <c r="Q28" s="42">
        <f t="shared" si="21"/>
        <v>0.11568124999997309</v>
      </c>
      <c r="R28" s="42">
        <f t="shared" si="21"/>
        <v>0.40148823529409228</v>
      </c>
      <c r="S28" s="42">
        <f t="shared" si="21"/>
        <v>0.68231666666664736</v>
      </c>
      <c r="T28" s="42">
        <f t="shared" si="21"/>
        <v>0.93358421052631968</v>
      </c>
      <c r="U28" s="42">
        <f t="shared" si="21"/>
        <v>1.1597250000000052</v>
      </c>
      <c r="V28">
        <v>5</v>
      </c>
    </row>
    <row r="29" spans="1:22" x14ac:dyDescent="0.25">
      <c r="C29" s="36" t="s">
        <v>123</v>
      </c>
      <c r="D29" s="42"/>
      <c r="E29" s="42"/>
      <c r="F29" s="42"/>
      <c r="G29" s="42">
        <f>($G$2-$G$22)+($G$3-$G$22)+($G$4-$G$22)+($G$5-$G$22)+($G$6-$G$22)+($G$7-$G$22)</f>
        <v>1.4210854715202004E-14</v>
      </c>
      <c r="H29" s="42">
        <f>(H$2-H$22)+(H$3-H$22)+(H$4-H$22)+(H$5-H$22)+(H$6-H$22)+(H$7-H$22)</f>
        <v>-0.39704285714284993</v>
      </c>
      <c r="I29" s="42">
        <f t="shared" ref="I29:U29" si="22">(I$2-I$22)+(I$3-I$22)+(I$4-I$22)+(I$5-I$22)+(I$6-I$22)+(I$7-I$22)</f>
        <v>-0.5979250000000107</v>
      </c>
      <c r="J29" s="42">
        <f t="shared" si="22"/>
        <v>-0.81456666666667843</v>
      </c>
      <c r="K29" s="42">
        <f t="shared" si="22"/>
        <v>-0.78922000000002157</v>
      </c>
      <c r="L29" s="42">
        <f t="shared" si="22"/>
        <v>-0.80131818181821046</v>
      </c>
      <c r="M29" s="42">
        <f t="shared" si="22"/>
        <v>-0.72335000000003902</v>
      </c>
      <c r="N29" s="42">
        <f t="shared" si="22"/>
        <v>-0.56631538461542164</v>
      </c>
      <c r="O29" s="42">
        <f t="shared" si="22"/>
        <v>-0.44547142857145161</v>
      </c>
      <c r="P29" s="42">
        <f t="shared" si="22"/>
        <v>-0.202180000000034</v>
      </c>
      <c r="Q29" s="42">
        <f t="shared" si="22"/>
        <v>-1.7762500000031878E-2</v>
      </c>
      <c r="R29" s="42">
        <f t="shared" si="22"/>
        <v>0.32520588235291115</v>
      </c>
      <c r="S29" s="42">
        <f t="shared" si="22"/>
        <v>0.66219999999997725</v>
      </c>
      <c r="T29" s="42">
        <f t="shared" si="22"/>
        <v>0.96372105263158403</v>
      </c>
      <c r="U29" s="42">
        <f t="shared" si="22"/>
        <v>1.2350900000000067</v>
      </c>
      <c r="V29">
        <v>6</v>
      </c>
    </row>
    <row r="30" spans="1:22" x14ac:dyDescent="0.25">
      <c r="C30" s="36" t="s">
        <v>124</v>
      </c>
      <c r="D30" s="42"/>
      <c r="E30" s="42"/>
      <c r="F30" s="42"/>
      <c r="G30" s="42"/>
      <c r="H30" s="42">
        <f>(H$2-H$22)+(H$3-H$22)+(H$4-H$22)+(H$5-H$22)+(H$6-H$22)+(H$7-H$22)+(H$8-H$22)</f>
        <v>7.1054273576010019E-15</v>
      </c>
      <c r="I30" s="42">
        <f t="shared" ref="I30:U30" si="23">(I$2-I$22)+(I$3-I$22)+(I$4-I$22)+(I$5-I$22)+(I$6-I$22)+(I$7-I$22)+(I$8-I$22)</f>
        <v>-0.2343625000000138</v>
      </c>
      <c r="J30" s="42">
        <f t="shared" si="23"/>
        <v>-0.48711111111112615</v>
      </c>
      <c r="K30" s="42">
        <f t="shared" si="23"/>
        <v>-0.45754000000002648</v>
      </c>
      <c r="L30" s="42">
        <f t="shared" si="23"/>
        <v>-0.47165454545458019</v>
      </c>
      <c r="M30" s="42">
        <f t="shared" si="23"/>
        <v>-0.3806916666667135</v>
      </c>
      <c r="N30" s="42">
        <f t="shared" si="23"/>
        <v>-0.19748461538465989</v>
      </c>
      <c r="O30" s="42">
        <f t="shared" si="23"/>
        <v>-5.6500000000028194E-2</v>
      </c>
      <c r="P30" s="42">
        <f t="shared" si="23"/>
        <v>0.22733999999995902</v>
      </c>
      <c r="Q30" s="42">
        <f t="shared" si="23"/>
        <v>0.44249374999996149</v>
      </c>
      <c r="R30" s="42">
        <f t="shared" si="23"/>
        <v>0.84262352941172836</v>
      </c>
      <c r="S30" s="42">
        <f t="shared" si="23"/>
        <v>1.2357833333333055</v>
      </c>
      <c r="T30" s="42">
        <f t="shared" si="23"/>
        <v>1.5875578947368467</v>
      </c>
      <c r="U30" s="42">
        <f t="shared" si="23"/>
        <v>1.9041550000000065</v>
      </c>
      <c r="V30">
        <v>7</v>
      </c>
    </row>
    <row r="31" spans="1:22" x14ac:dyDescent="0.25">
      <c r="C31" s="36" t="s">
        <v>125</v>
      </c>
      <c r="D31" s="42"/>
      <c r="E31" s="42"/>
      <c r="F31" s="42"/>
      <c r="G31" s="42"/>
      <c r="H31" s="42"/>
      <c r="I31" s="42">
        <f>(I$2-I$22)+(I$3-I$22)+(I$4-I$22)+(I$5-I$22)+(I$6-I$22)+(I$7-I$22)+(I$8-I$22)+(I$9-I$22)</f>
        <v>-1.4210854715202004E-14</v>
      </c>
      <c r="J31" s="42">
        <f t="shared" ref="I31:T31" si="24">(J$2-J$22)+(J$3-J$22)+(J$4-J$22)+(J$5-J$22)+(J$6-J$22)+(J$7-J$22)+(J$8-J$22)+(J$9-J$22)</f>
        <v>-0.28885555555557119</v>
      </c>
      <c r="K31" s="42">
        <f t="shared" si="24"/>
        <v>-0.25506000000002871</v>
      </c>
      <c r="L31" s="42">
        <f t="shared" si="24"/>
        <v>-0.27119090909094723</v>
      </c>
      <c r="M31" s="42">
        <f t="shared" si="24"/>
        <v>-0.1672333333333853</v>
      </c>
      <c r="N31" s="42">
        <f t="shared" si="24"/>
        <v>4.2146153846104539E-2</v>
      </c>
      <c r="O31" s="42">
        <f t="shared" si="24"/>
        <v>0.20327142857139791</v>
      </c>
      <c r="P31" s="42">
        <f t="shared" si="24"/>
        <v>0.52765999999995472</v>
      </c>
      <c r="Q31" s="42">
        <f t="shared" si="24"/>
        <v>0.77354999999995755</v>
      </c>
      <c r="R31" s="42">
        <f t="shared" si="24"/>
        <v>1.2308411764705482</v>
      </c>
      <c r="S31" s="42">
        <f t="shared" si="24"/>
        <v>1.6801666666666364</v>
      </c>
      <c r="T31" s="42">
        <f t="shared" si="24"/>
        <v>2.0821947368421121</v>
      </c>
      <c r="U31" s="42">
        <f>(U$2-U$22)+(U$3-U$22)+(U$4-U$22)+(U$5-U$22)+(U$6-U$22)+(U$7-U$22)+(U$8-U$22)+(U$9-U$22)</f>
        <v>2.444020000000009</v>
      </c>
      <c r="V31">
        <v>8</v>
      </c>
    </row>
    <row r="32" spans="1:22" x14ac:dyDescent="0.25">
      <c r="C32" s="36" t="s">
        <v>126</v>
      </c>
      <c r="D32" s="42"/>
      <c r="E32" s="42"/>
      <c r="F32" s="42"/>
      <c r="G32" s="42"/>
      <c r="H32" s="42"/>
      <c r="I32" s="42"/>
      <c r="J32" s="42">
        <f t="shared" ref="J32:T32" si="25">(J$2-J$22)+(J$3-J$22)+(J$4-J$22)+(J$5-J$22)+(J$6-J$22)+(J$7-J$22)+(J$8-J$22)+(J$9-J$22)+(J$10-J$22)</f>
        <v>-1.7763568394002505E-14</v>
      </c>
      <c r="K32" s="42">
        <f t="shared" si="25"/>
        <v>3.8019999999967524E-2</v>
      </c>
      <c r="L32" s="42">
        <f t="shared" si="25"/>
        <v>1.9872727272684187E-2</v>
      </c>
      <c r="M32" s="42">
        <f t="shared" si="25"/>
        <v>0.13682499999994135</v>
      </c>
      <c r="N32" s="42">
        <f t="shared" si="25"/>
        <v>0.37237692307686743</v>
      </c>
      <c r="O32" s="42">
        <f t="shared" si="25"/>
        <v>0.55364285714282246</v>
      </c>
      <c r="P32" s="42">
        <f t="shared" si="25"/>
        <v>0.91857999999994888</v>
      </c>
      <c r="Q32" s="42">
        <f t="shared" si="25"/>
        <v>1.1952062499999521</v>
      </c>
      <c r="R32" s="42">
        <f t="shared" si="25"/>
        <v>1.7096588235293666</v>
      </c>
      <c r="S32" s="42">
        <f t="shared" si="25"/>
        <v>2.2151499999999658</v>
      </c>
      <c r="T32" s="42">
        <f t="shared" si="25"/>
        <v>2.6674315789473759</v>
      </c>
      <c r="U32" s="42">
        <f>(U$2-U$22)+(U$3-U$22)+(U$4-U$22)+(U$5-U$22)+(U$6-U$22)+(U$7-U$22)+(U$8-U$22)+(U$9-U$22)+(U$10-U$22)</f>
        <v>3.0744850000000099</v>
      </c>
      <c r="V32">
        <v>9</v>
      </c>
    </row>
    <row r="33" spans="3:22" x14ac:dyDescent="0.25">
      <c r="C33" s="36" t="s">
        <v>127</v>
      </c>
      <c r="D33" s="42"/>
      <c r="E33" s="42"/>
      <c r="F33" s="42"/>
      <c r="G33" s="42"/>
      <c r="H33" s="42"/>
      <c r="I33" s="42"/>
      <c r="J33" s="42"/>
      <c r="K33" s="42">
        <f t="shared" ref="J33:T33" si="26">(K$2-K$22)+(K$3-K$22)+(K$4-K$22)+(K$5-K$22)+(K$6-K$22)+(K$7-K$22)+(K$8-K$22)+(K$9-K$22)+(K$10-K$22)+(K$11-K$22)</f>
        <v>-3.5527136788005009E-14</v>
      </c>
      <c r="L33" s="42">
        <f t="shared" si="26"/>
        <v>-2.0163636363683679E-2</v>
      </c>
      <c r="M33" s="42">
        <f t="shared" si="26"/>
        <v>0.10978333333326873</v>
      </c>
      <c r="N33" s="42">
        <f t="shared" si="26"/>
        <v>0.37150769230763103</v>
      </c>
      <c r="O33" s="42">
        <f t="shared" si="26"/>
        <v>0.57291428571424774</v>
      </c>
      <c r="P33" s="42">
        <f t="shared" si="26"/>
        <v>0.97839999999994376</v>
      </c>
      <c r="Q33" s="42">
        <f t="shared" si="26"/>
        <v>1.2857624999999473</v>
      </c>
      <c r="R33" s="42">
        <f t="shared" si="26"/>
        <v>1.8573764705881857</v>
      </c>
      <c r="S33" s="42">
        <f t="shared" si="26"/>
        <v>2.4190333333332958</v>
      </c>
      <c r="T33" s="42">
        <f t="shared" si="26"/>
        <v>2.9215684210526405</v>
      </c>
      <c r="U33" s="42">
        <f>(U$2-U$22)+(U$3-U$22)+(U$4-U$22)+(U$5-U$22)+(U$6-U$22)+(U$7-U$22)+(U$8-U$22)+(U$9-U$22)+(U$10-U$22)+(U$11-U$22)</f>
        <v>3.3738500000000116</v>
      </c>
      <c r="V33">
        <v>10</v>
      </c>
    </row>
    <row r="34" spans="3:22" x14ac:dyDescent="0.25">
      <c r="C34" s="36" t="s">
        <v>128</v>
      </c>
      <c r="D34" s="42"/>
      <c r="E34" s="42"/>
      <c r="F34" s="42"/>
      <c r="G34" s="42"/>
      <c r="H34" s="42"/>
      <c r="I34" s="42"/>
      <c r="J34" s="42"/>
      <c r="K34" s="42"/>
      <c r="L34" s="42">
        <f t="shared" ref="J34:T34" si="27">(L$2-L$22)+(L$3-L$22)+(L$4-L$22)+(L$5-L$22)+(L$6-L$22)+(L$7-L$22)+(L$8-L$22)+(L$9-L$22)+(L$10-L$22)+(L$11-L$22)+(L$12-L$22)</f>
        <v>-5.3290705182007514E-14</v>
      </c>
      <c r="M34" s="42">
        <f t="shared" si="27"/>
        <v>0.14294166666659436</v>
      </c>
      <c r="N34" s="42">
        <f t="shared" si="27"/>
        <v>0.43083846153839289</v>
      </c>
      <c r="O34" s="42">
        <f t="shared" si="27"/>
        <v>0.65238571428567127</v>
      </c>
      <c r="P34" s="42">
        <f t="shared" si="27"/>
        <v>1.0984199999999369</v>
      </c>
      <c r="Q34" s="42">
        <f t="shared" si="27"/>
        <v>1.4365187499999408</v>
      </c>
      <c r="R34" s="42">
        <f t="shared" si="27"/>
        <v>2.065294117647003</v>
      </c>
      <c r="S34" s="42">
        <f t="shared" si="27"/>
        <v>2.6831166666666242</v>
      </c>
      <c r="T34" s="42">
        <f t="shared" si="27"/>
        <v>3.2359052631579033</v>
      </c>
      <c r="U34" s="42">
        <f>(U$2-U$22)+(U$3-U$22)+(U$4-U$22)+(U$5-U$22)+(U$6-U$22)+(U$7-U$22)+(U$8-U$22)+(U$9-U$22)+(U$10-U$22)+(U$11-U$22)+(U$12-U$22)</f>
        <v>3.7334150000000115</v>
      </c>
      <c r="V34">
        <v>11</v>
      </c>
    </row>
    <row r="35" spans="3:22" x14ac:dyDescent="0.25">
      <c r="C35" s="36" t="s">
        <v>129</v>
      </c>
      <c r="D35" s="42"/>
      <c r="E35" s="42"/>
      <c r="F35" s="42"/>
      <c r="G35" s="42"/>
      <c r="H35" s="42"/>
      <c r="I35" s="42"/>
      <c r="J35" s="42"/>
      <c r="K35" s="42"/>
      <c r="L35" s="42"/>
      <c r="M35" s="42">
        <f t="shared" ref="J35:T35" si="28">(M$2-M$22)+(M$3-M$22)+(M$4-M$22)+(M$5-M$22)+(M$6-M$22)+(M$7-M$22)+(M$8-M$22)+(M$9-M$22)+(M$10-M$22)+(M$11-M$22)+(M$12-M$22)+(M$13-M$22)</f>
        <v>-7.815970093361102E-14</v>
      </c>
      <c r="N35" s="42">
        <f t="shared" si="28"/>
        <v>0.3140692307691566</v>
      </c>
      <c r="O35" s="42">
        <f t="shared" si="28"/>
        <v>0.55575714285709665</v>
      </c>
      <c r="P35" s="42">
        <f t="shared" si="28"/>
        <v>1.0423399999999319</v>
      </c>
      <c r="Q35" s="42">
        <f t="shared" si="28"/>
        <v>1.4111749999999361</v>
      </c>
      <c r="R35" s="42">
        <f t="shared" si="28"/>
        <v>2.0971117647058222</v>
      </c>
      <c r="S35" s="42">
        <f t="shared" si="28"/>
        <v>2.7710999999999544</v>
      </c>
      <c r="T35" s="42">
        <f t="shared" si="28"/>
        <v>3.3741421052631679</v>
      </c>
      <c r="U35" s="42">
        <f>(U$2-U$22)+(U$3-U$22)+(U$4-U$22)+(U$5-U$22)+(U$6-U$22)+(U$7-U$22)+(U$8-U$22)+(U$9-U$22)+(U$10-U$22)+(U$11-U$22)+(U$12-U$22)+(U$13-U$22)</f>
        <v>3.9168800000000132</v>
      </c>
      <c r="V35">
        <v>12</v>
      </c>
    </row>
    <row r="36" spans="3:22" x14ac:dyDescent="0.25">
      <c r="C36" s="36" t="s">
        <v>130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>
        <f t="shared" ref="J36:T36" si="29">(N$2-N$22)+(N$3-N$22)+(N$4-N$22)+(N$5-N$22)+(N$6-N$22)+(N$7-N$22)+(N$8-N$22)+(N$9-N$22)+(N$10-N$22)+(N$11-N$22)+(N$12-N$22)+(N$13-N$22)+(N$14-N$22)</f>
        <v>-8.1712414612411521E-14</v>
      </c>
      <c r="O36" s="42">
        <f t="shared" si="29"/>
        <v>0.26182857142852001</v>
      </c>
      <c r="P36" s="42">
        <f t="shared" si="29"/>
        <v>0.78895999999992483</v>
      </c>
      <c r="Q36" s="42">
        <f t="shared" si="29"/>
        <v>1.1885312499999294</v>
      </c>
      <c r="R36" s="42">
        <f t="shared" si="29"/>
        <v>1.9316294117646393</v>
      </c>
      <c r="S36" s="42">
        <f t="shared" si="29"/>
        <v>2.6617833333332825</v>
      </c>
      <c r="T36" s="42">
        <f t="shared" si="29"/>
        <v>3.3150789473684306</v>
      </c>
      <c r="U36" s="42">
        <f>(U$2-U$22)+(U$3-U$22)+(U$4-U$22)+(U$5-U$22)+(U$6-U$22)+(U$7-U$22)+(U$8-U$22)+(U$9-U$22)+(U$10-U$22)+(U$11-U$22)+(U$12-U$22)+(U$13-U$22)+(U$14-U$22)</f>
        <v>3.903045000000013</v>
      </c>
      <c r="V36">
        <v>13</v>
      </c>
    </row>
    <row r="37" spans="3:22" x14ac:dyDescent="0.25">
      <c r="C37" s="36" t="s">
        <v>131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>
        <f t="shared" ref="J37:T37" si="30">(O$2-O$22)+(O$3-O$22)+(O$4-O$22)+(O$5-O$22)+(O$6-O$22)+(O$7-O$22)+(O$8-O$22)+(O$9-O$22)+(O$10-O$22)+(O$11-O$22)+(O$12-O$22)+(O$13-O$22)+(O$14-O$22)+(O$15-O$22)</f>
        <v>-5.3290705182007514E-14</v>
      </c>
      <c r="P37" s="42">
        <f t="shared" si="30"/>
        <v>0.56767999999992114</v>
      </c>
      <c r="Q37" s="42">
        <f t="shared" si="30"/>
        <v>0.99798749999992609</v>
      </c>
      <c r="R37" s="42">
        <f t="shared" si="30"/>
        <v>1.7982470588234598</v>
      </c>
      <c r="S37" s="42">
        <f t="shared" si="30"/>
        <v>2.5845666666666141</v>
      </c>
      <c r="T37" s="42">
        <f t="shared" si="30"/>
        <v>3.2881157894736965</v>
      </c>
      <c r="U37" s="42">
        <f>(U$2-U$22)+(U$3-U$22)+(U$4-U$22)+(U$5-U$22)+(U$6-U$22)+(U$7-U$22)+(U$8-U$22)+(U$9-U$22)+(U$10-U$22)+(U$11-U$22)+(U$12-U$22)+(U$13-U$22)+(U$14-U$22)+(U$15-U$22)</f>
        <v>3.9213100000000161</v>
      </c>
      <c r="V37">
        <v>14</v>
      </c>
    </row>
    <row r="38" spans="3:22" x14ac:dyDescent="0.25">
      <c r="C38" s="36" t="s">
        <v>132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>
        <f t="shared" ref="J38:T38" si="31">(P$2-P$22)+(P$3-P$22)+(P$4-P$22)+(P$5-P$22)+(P$6-P$22)+(P$7-P$22)+(P$8-P$22)+(P$9-P$22)+(P$10-P$22)+(P$11-P$22)+(P$12-P$22)+(P$13-P$22)+(P$14-P$22)+(P$15-P$22)+(P$16-P$22)</f>
        <v>-8.5265128291212022E-14</v>
      </c>
      <c r="Q38" s="42">
        <f t="shared" si="31"/>
        <v>0.46104374999992004</v>
      </c>
      <c r="R38" s="42">
        <f t="shared" si="31"/>
        <v>1.3184647058822776</v>
      </c>
      <c r="S38" s="42">
        <f t="shared" si="31"/>
        <v>2.1609499999999429</v>
      </c>
      <c r="T38" s="42">
        <f t="shared" si="31"/>
        <v>2.9147526315789598</v>
      </c>
      <c r="U38" s="42">
        <f>(U$2-U$22)+(U$3-U$22)+(U$4-U$22)+(U$5-U$22)+(U$6-U$22)+(U$7-U$22)+(U$8-U$22)+(U$9-U$22)+(U$10-U$22)+(U$11-U$22)+(U$12-U$22)+(U$13-U$22)+(U$14-U$22)+(U$15-U$22)+(U$16-U$22)</f>
        <v>3.5931750000000164</v>
      </c>
      <c r="V38">
        <v>15</v>
      </c>
    </row>
    <row r="39" spans="3:22" x14ac:dyDescent="0.25">
      <c r="C39" s="3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>
        <f t="shared" ref="J39:T39" si="32">(Q$2-Q$22)+(Q$3-Q$22)+(Q$4-Q$22)+(Q$5-Q$22)+(Q$6-Q$22)+(Q$7-Q$22)+(Q$8-Q$22)+(Q$9-Q$22)+(Q$10-Q$22)+(Q$11-Q$22)+(Q$12-Q$22)+(Q$13-Q$22)+(Q$14-Q$22)+(Q$15-Q$22)+(Q$16-Q$22)+(Q$17-Q$22)</f>
        <v>-8.5265128291212022E-14</v>
      </c>
      <c r="R39" s="42">
        <f t="shared" si="32"/>
        <v>0.91458235294109613</v>
      </c>
      <c r="S39" s="42">
        <f t="shared" si="32"/>
        <v>1.8132333333332724</v>
      </c>
      <c r="T39" s="42">
        <f t="shared" si="32"/>
        <v>2.6172894736842238</v>
      </c>
      <c r="U39" s="42">
        <f>(U$2-U$22)+(U$3-U$22)+(U$4-U$22)+(U$5-U$22)+(U$6-U$22)+(U$7-U$22)+(U$8-U$22)+(U$9-U$22)+(U$10-U$22)+(U$11-U$22)+(U$12-U$22)+(U$13-U$22)+(U$14-U$22)+(U$15-U$22)+(U$16-U$22)+(U$17-U$22)</f>
        <v>3.3409400000000176</v>
      </c>
      <c r="V39">
        <v>16</v>
      </c>
    </row>
    <row r="40" spans="3:22" x14ac:dyDescent="0.25">
      <c r="C40" s="36" t="s">
        <v>134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>
        <f t="shared" ref="J40:T40" si="33">(R$2-R$22)+(R$3-R$22)+(R$4-R$22)+(R$5-R$22)+(R$6-R$22)+(R$7-R$22)+(R$8-R$22)+(R$9-R$22)+(R$10-R$22)+(R$11-R$22)+(R$12-R$22)+(R$13-R$22)+(R$14-R$22)+(R$15-R$22)+(R$16-R$22)+(R$17-R$22)+(R$18-R$22)</f>
        <v>-8.5265128291212022E-14</v>
      </c>
      <c r="S40" s="42">
        <f t="shared" si="33"/>
        <v>0.95481666666660203</v>
      </c>
      <c r="T40" s="42">
        <f t="shared" si="33"/>
        <v>1.8091263157894879</v>
      </c>
      <c r="U40" s="42">
        <f>(U$2-U$22)+(U$3-U$22)+(U$4-U$22)+(U$5-U$22)+(U$6-U$22)+(U$7-U$22)+(U$8-U$22)+(U$9-U$22)+(U$10-U$22)+(U$11-U$22)+(U$12-U$22)+(U$13-U$22)+(U$14-U$22)+(U$15-U$22)+(U$16-U$22)+(U$17-U$22)+(U$18-U$22)</f>
        <v>2.5780050000000188</v>
      </c>
      <c r="V40">
        <v>17</v>
      </c>
    </row>
    <row r="41" spans="3:22" x14ac:dyDescent="0.25">
      <c r="C41" s="36" t="s">
        <v>135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>
        <f t="shared" ref="J41:T41" si="34">(S$2-S$22)+(S$3-S$22)+(S$4-S$22)+(S$5-S$22)+(S$6-S$22)+(S$7-S$22)+(S$8-S$22)+(S$9-S$22)+(S$10-S$22)+(S$11-S$22)+(S$12-S$22)+(S$13-S$22)+(S$14-S$22)+(S$15-S$22)+(S$16-S$22)+(S$17-S$22)+(S$18-S$22)+(S$19-S$22)</f>
        <v>-6.7501559897209518E-14</v>
      </c>
      <c r="T41" s="42">
        <f t="shared" si="34"/>
        <v>0.90456315789475283</v>
      </c>
      <c r="U41" s="42">
        <f>(U$2-U$22)+(U$3-U$22)+(U$4-U$22)+(U$5-U$22)+(U$6-U$22)+(U$7-U$22)+(U$8-U$22)+(U$9-U$22)+(U$10-U$22)+(U$11-U$22)+(U$12-U$22)+(U$13-U$22)+(U$14-U$22)+(U$15-U$22)+(U$16-U$22)+(U$17-U$22)+(U$18-U$22)+(U$19-U$22)</f>
        <v>1.7186700000000208</v>
      </c>
      <c r="V41">
        <v>18</v>
      </c>
    </row>
    <row r="42" spans="3:22" x14ac:dyDescent="0.25">
      <c r="C42" s="36" t="s">
        <v>136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>
        <f t="shared" ref="J42:T42" si="35">(T$2-T$22)+(T$3-T$22)+(T$4-T$22)+(T$5-T$22)+(T$6-T$22)+(T$7-T$22)+(T$8-T$22)+(T$9-T$22)+(T$10-T$22)+(T$11-T$22)+(T$12-T$22)+(T$13-T$22)+(T$14-T$22)+(T$15-T$22)+(T$16-T$22)+(T$17-T$22)+(T$18-T$22)+(T$19-T$22)+(T$20-T$22)</f>
        <v>1.7763568394002505E-14</v>
      </c>
      <c r="U42" s="42">
        <f>(U$2-U$22)+(U$3-U$22)+(U$4-U$22)+(U$5-U$22)+(U$6-U$22)+(U$7-U$22)+(U$8-U$22)+(U$9-U$22)+(U$10-U$22)+(U$11-U$22)+(U$12-U$22)+(U$13-U$22)+(U$14-U$22)+(U$15-U$22)+(U$16-U$22)+(U$17-U$22)+(U$18-U$22)+(U$19-U$22)+(U$20-U$22)</f>
        <v>0.85933500000002283</v>
      </c>
      <c r="V42">
        <v>19</v>
      </c>
    </row>
    <row r="43" spans="3:22" x14ac:dyDescent="0.25">
      <c r="C43" s="36" t="s">
        <v>137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>
        <f>(U$2-U$22)+(U$3-U$22)+(U$4-U$22)+(U$5-U$22)+(U$6-U$22)+(U$7-U$22)+(U$8-U$22)+(U$9-U$22)+(U$10-U$22)+(U$11-U$22)+(U$12-U$22)+(U$13-U$22)+(U$14-U$22)+(U$15-U$22)+(U$16-U$22)+(U$17-U$22)+(U$18-U$22)+(U$19-U$22)+(U$20-U$22)+(U$21-U$22)</f>
        <v>2.4868995751603507E-14</v>
      </c>
      <c r="V43">
        <v>20</v>
      </c>
    </row>
    <row r="45" spans="3:22" x14ac:dyDescent="0.25">
      <c r="C45" s="36" t="s">
        <v>139</v>
      </c>
      <c r="D45" s="42">
        <f>MAX(D25:D26)-MIN(D25:D26)</f>
        <v>0.23066666666666791</v>
      </c>
      <c r="E45" s="42">
        <f>MAX(E25:E27)-MIN(E25:E27)</f>
        <v>0.30014999999999858</v>
      </c>
      <c r="F45" s="42">
        <f>MAX(F25:F28)-MIN(F25:F28)</f>
        <v>0.37843999999999411</v>
      </c>
      <c r="G45" s="42">
        <f>MAX(G25:G29)-MIN(G25:G29)</f>
        <v>0.4306333333333221</v>
      </c>
      <c r="H45" s="42">
        <f>MAX(H25:H30)-MIN(H25:H30)</f>
        <v>0.69532857142856486</v>
      </c>
      <c r="I45" s="42">
        <f>MAX(I25:I31)-MIN(I25:I31)</f>
        <v>0.82925000000000537</v>
      </c>
      <c r="J45" s="42">
        <f>MAX(J25:J32)-MIN(J25:J32)</f>
        <v>0.97367777777778386</v>
      </c>
      <c r="K45" s="42">
        <f>MAX(K25:K33)-MIN(K25:K33)</f>
        <v>0.95678000000001262</v>
      </c>
      <c r="L45" s="42">
        <f>MAX(L25:L34)-MIN(L25:L34)</f>
        <v>0.96484545454547188</v>
      </c>
      <c r="M45" s="42">
        <f>MAX(M25:M35)-MIN(M25:M35)</f>
        <v>0.91286666666669092</v>
      </c>
      <c r="N45" s="42">
        <f>MAX(N25:N36)-MIN(N25:N36)</f>
        <v>0.99715384615381453</v>
      </c>
      <c r="O45" s="42">
        <f>MAX(O25:O37)-MIN(O25:O37)</f>
        <v>1.0978571428571229</v>
      </c>
      <c r="P45" s="42">
        <f>MAX(P25:P38)-MIN(P25:P38)</f>
        <v>1.3005999999999709</v>
      </c>
      <c r="Q45" s="42">
        <f>MAX(Q25:Q39)-MIN(Q25:Q39)</f>
        <v>1.4542812499999727</v>
      </c>
      <c r="R45" s="42">
        <f>MAX(R25:R40)-MIN(R25:R40)</f>
        <v>2.0971117647059074</v>
      </c>
      <c r="S45" s="42">
        <f>MAX(S25:S41)-MIN(S25:S41)</f>
        <v>2.7711000000000219</v>
      </c>
      <c r="T45" s="42">
        <f>MAX(T25:T42)-MIN(T25:T42)</f>
        <v>3.3741421052631502</v>
      </c>
      <c r="U45" s="42">
        <f>MAX(U25:U43)-MIN(U25:U43)</f>
        <v>3.9213099999999912</v>
      </c>
    </row>
    <row r="46" spans="3:22" x14ac:dyDescent="0.25">
      <c r="C46" s="36" t="s">
        <v>140</v>
      </c>
      <c r="D46" s="42">
        <f>SQRT((D$2-D$22)^2+(D$3-D$22)^2+(D$4-D$22)^2)</f>
        <v>0.28865530770568881</v>
      </c>
      <c r="E46" s="42">
        <f>SQRT((E$2-E$22)^2+(E$3-E$22)^2+(E$4-E$22)^2+(E$5-E$22)^2)</f>
        <v>0.31273900859982129</v>
      </c>
      <c r="F46" s="42">
        <f>SQRT((F$2-F$22)^2+(F$3-F$22)^2+(F$4-F$22)^2+(F$5-F$22)^2+(F$6-F$22)^2)</f>
        <v>0.3584024386077736</v>
      </c>
      <c r="G46" s="42">
        <f>SQRT((G$2-G$22)^2+(G$3-G$22)^2+(G$4-G$22)^2+(G$5-G$22)^2+(G$6-G$22)^2+(G$7-G$22)^2)</f>
        <v>0.38585410239277251</v>
      </c>
      <c r="H46" s="42">
        <f>SQRT((H$2-H$22)^2+(H$3-H$22)^2+(H$4-H$22)^2+(H$5-H$22)^2+(H$6-H$22)^2+(H$7-H$22)^2+(H$8-H$22)^2)</f>
        <v>0.57688842694480791</v>
      </c>
      <c r="I46" s="42">
        <f>SQRT((I$2-I$22)^2+(I$3-I$22)^2+(I$4-I$22)^2+(I$5-I$22)^2+(I$6-I$22)^2+(I$7-I$22)^2+(I$8-I$22)^2+(I$9-I$22)^2)</f>
        <v>0.62894560873735217</v>
      </c>
      <c r="J46" s="42">
        <f>SQRT((J$2-J$22)^2+(J$3-J$22)^2+(J$4-J$22)^2+(J$5-J$22)^2+(J$6-J$22)^2+(J$7-J$22)^2+(J$8-J$22)^2+(J$9-J$22)^2+(J$10-J$22)^2)</f>
        <v>0.69959974429828131</v>
      </c>
      <c r="K46" s="42">
        <f>SQRT((K$2-K$22)^2+(K$3-K$22)^2+(K$4-K$22)^2+(K$5-K$22)^2+(K$6-K$22)^2+(K$7-K$22)^2+(K$8-K$22)^2+(K$9-K$22)^2+(K$10-K$22)^2+(K$11-K$22)^2)</f>
        <v>0.7007466988862654</v>
      </c>
      <c r="L46" s="42">
        <f>SQRT((L$2-L$22)^2+(L$3-L$22)^2+(L$4-L$22)^2+(L$5-L$22)^2+(L$6-L$22)^2+(L$7-L$22)^2+(L$8-L$22)^2+(L$9-L$22)^2+(L$10-L$22)^2+(L$11-L$22)^2+(L$12-L$22)^2)</f>
        <v>0.70106573547317497</v>
      </c>
      <c r="M46" s="42">
        <f>SQRT((M$2-M$22)^2+(M$3-M$22)^2+(M$4-M$22)^2+(M$5-M$22)^2+(M$6-M$22)^2+(M$7-M$22)^2+(M$8-M$22)^2+(M$9-M$22)^2+(M$10-M$22)^2+(M$11-M$22)^2+(M$12-M$22)^2+(M$13-M$22)^2)</f>
        <v>0.71678655760739873</v>
      </c>
      <c r="N46" s="42">
        <f>SQRT((N$2-N$22)^2+(N$3-N$22)^2+(N$4-N$22)^2+(N$5-N$22)^2+(N$6-N$22)^2+(N$7-N$22)^2+(N$8-N$22)^2+(N$9-N$22)^2+(N$10-N$22)^2+(N$11-N$22)^2+(N$12-N$22)^2+(N$13-N$22)^2+(N$14-N$22)^2)</f>
        <v>0.78780861108032241</v>
      </c>
      <c r="O46" s="42">
        <f>SQRT((O$2-O$22)^2+(O$3-O$22)^2+(O$4-O$22)^2+(O$5-O$22)^2+(O$6-O$22)^2+(O$7-O$22)^2+(O$8-O$22)^2+(O$9-O$22)^2+(O$10-O$22)^2+(O$11-O$22)^2+(O$12-O$22)^2+(O$13-O$22)^2+(O$14-O$22)^2+(O$15-O$22)^2)</f>
        <v>0.83334867166836379</v>
      </c>
      <c r="P46" s="42">
        <f>SQRT((P$2-P$22)^2+(P$3-P$22)^2+(P$4-P$22)^2+(P$5-P$22)^2+(P$6-P$22)^2+(P$7-P$22)^2+(P$8-P$22)^2+(P$9-P$22)^2+(P$10-P$22)^2+(P$11-P$22)^2+(P$12-P$22)^2+(P$13-P$22)^2+(P$14-P$22)^2+(P$15-P$22)^2+(P$16-P$22)^2)</f>
        <v>1.0196809324489688</v>
      </c>
      <c r="Q46" s="42">
        <f>SQRT((Q$2-Q$22)^2+(Q$3-Q$22)^2+(Q$4-Q$22)^2+(Q$5-Q$22)^2+(Q$6-Q$22)^2+(Q$7-Q$22)^2+(Q$8-Q$22)^2+(Q$9-Q$22)^2+(Q$10-Q$22)^2+(Q$11-Q$22)^2+(Q$12-Q$22)^2+(Q$13-Q$22)^2+(Q$14-Q$22)^2+(Q$15-Q$22)^2+(Q$16-Q$22)^2+(Q$17-Q$22)^2)</f>
        <v>1.1253805131487742</v>
      </c>
      <c r="R46" s="42">
        <f>SQRT((R$2-R$22)^2+(R$3-R$22)^2+(R$4-R$22)^2+(R$5-R$22)^2+(R$6-R$22)^2+(R$7-R$22)^2+(R$8-R$22)^2+(R$9-R$22)^2+(R$10-R$22)^2+(R$11-R$22)^2+(R$12-R$22)^2+(R$13-R$22)^2+(R$14-R$22)^2+(R$15-R$22)^2+(R$16-R$22)^2+(R$17-R$22)^2+(R$18-R$22)^2)</f>
        <v>1.4680670913503515</v>
      </c>
      <c r="S46" s="42">
        <f>SQRT((S$2-S$22)^2+(S$3-S$22)^2+(S$4-S$22)^2+(S$5-S$22)^2+(S$6-S$22)^2+(S$7-S$22)^2+(S$8-S$22)^2+(S$9-S$22)^2+(S$10-S$22)^2+(S$11-S$22)^2+(S$12-S$22)^2+(S$13-S$22)^2+(S$14-S$22)^2+(S$15-S$22)^2+(S$16-S$22)^2+(S$17-S$22)^2+(S$18-S$22)^2+(S$19-S$22)^2)</f>
        <v>1.7665004344748962</v>
      </c>
      <c r="T46" s="42">
        <f>SQRT((T$2-T$22)^2+(T$3-T$22)^2+(T$4-T$22)^2+(T$5-T$22)^2+(T$6-T$22)^2+(T$7-T$22)^2+(T$8-T$22)^2+(T$9-T$22)^2+(T$10-T$22)^2+(T$11-T$22)^2+(T$12-T$22)^2+(T$13-T$22)^2+(T$14-T$22)^2+(T$15-T$22)^2+(T$16-T$22)^2+(T$17-T$22)^2+(T$18-T$22)^2+(T$19-T$22)^2+(T$20-T$22)^2)</f>
        <v>1.9960500405076325</v>
      </c>
      <c r="U46" s="42">
        <f>SQRT((U$2-U$22)^2+(U$3-U$22)^2+(U$4-U$22)^2+(U$5-U$22)^2+(U$6-U$22)^2+(U$7-U$22)^2+(U$8-U$22)^2+(U$9-U$22)^2+(U$10-U$22)^2+(U$11-U$22)^2+(U$12-U$22)^2+(U$13-U$22)^2+(U$14-U$22)^2+(U$15-U$22)^2+(U$16-U$22)^2+(U$17-U$22)^2+(U$18-U$22)^2+(U$19-U$22)^2+(U$20-U$22)^2+(U$21-U$22)^2)</f>
        <v>2.1820949900267848</v>
      </c>
    </row>
    <row r="47" spans="3:22" x14ac:dyDescent="0.25">
      <c r="C47" s="36" t="s">
        <v>30</v>
      </c>
      <c r="D47" s="42">
        <f>D45/D46</f>
        <v>0.79910765715714549</v>
      </c>
      <c r="E47" s="42">
        <f t="shared" ref="E47:U47" si="36">E45/E46</f>
        <v>0.95974595987822064</v>
      </c>
      <c r="F47" s="42">
        <f t="shared" si="36"/>
        <v>1.0559079940138161</v>
      </c>
      <c r="G47" s="42">
        <f t="shared" si="36"/>
        <v>1.1160522349324862</v>
      </c>
      <c r="H47" s="42">
        <f t="shared" si="36"/>
        <v>1.2053085812641695</v>
      </c>
      <c r="I47" s="42">
        <f t="shared" si="36"/>
        <v>1.318476492211746</v>
      </c>
      <c r="J47" s="42">
        <f t="shared" si="36"/>
        <v>1.3917640561095554</v>
      </c>
      <c r="K47" s="42">
        <f t="shared" si="36"/>
        <v>1.365372111664136</v>
      </c>
      <c r="L47" s="42">
        <f t="shared" si="36"/>
        <v>1.3762553291728947</v>
      </c>
      <c r="M47" s="42">
        <f t="shared" si="36"/>
        <v>1.2735543893482026</v>
      </c>
      <c r="N47" s="42">
        <f t="shared" si="36"/>
        <v>1.2657310825613048</v>
      </c>
      <c r="O47" s="42">
        <f t="shared" si="36"/>
        <v>1.3174043232818902</v>
      </c>
      <c r="P47" s="42">
        <f t="shared" si="36"/>
        <v>1.2754970291307874</v>
      </c>
      <c r="Q47" s="42">
        <f t="shared" si="36"/>
        <v>1.292257359185069</v>
      </c>
      <c r="R47" s="42">
        <f t="shared" si="36"/>
        <v>1.4284849630250553</v>
      </c>
      <c r="S47" s="42">
        <f t="shared" si="36"/>
        <v>1.5686947740965314</v>
      </c>
      <c r="T47" s="42">
        <f t="shared" si="36"/>
        <v>1.6904095773095165</v>
      </c>
      <c r="U47" s="42">
        <f t="shared" si="36"/>
        <v>1.7970390922128729</v>
      </c>
    </row>
    <row r="49" spans="3:21" x14ac:dyDescent="0.25">
      <c r="C49" s="36" t="s">
        <v>101</v>
      </c>
      <c r="D49" s="40">
        <v>3</v>
      </c>
      <c r="E49" s="40">
        <v>4</v>
      </c>
      <c r="F49" s="40">
        <v>5</v>
      </c>
      <c r="G49" s="40">
        <v>6</v>
      </c>
      <c r="H49" s="40">
        <v>7</v>
      </c>
      <c r="I49" s="40">
        <v>8</v>
      </c>
      <c r="J49" s="45">
        <v>9</v>
      </c>
      <c r="K49" s="40">
        <v>10</v>
      </c>
      <c r="L49" s="40">
        <v>11</v>
      </c>
      <c r="M49" s="40">
        <v>12</v>
      </c>
      <c r="N49" s="40">
        <v>13</v>
      </c>
      <c r="O49" s="40">
        <v>14</v>
      </c>
      <c r="P49" s="40">
        <v>15</v>
      </c>
      <c r="Q49" s="40">
        <v>16</v>
      </c>
      <c r="R49" s="40">
        <v>17</v>
      </c>
      <c r="S49" s="40">
        <v>18</v>
      </c>
      <c r="T49" s="40">
        <v>19</v>
      </c>
      <c r="U49" s="50">
        <v>20</v>
      </c>
    </row>
    <row r="50" spans="3:21" x14ac:dyDescent="0.25">
      <c r="C50" s="36" t="s">
        <v>141</v>
      </c>
      <c r="D50" s="40">
        <f>D49/2</f>
        <v>1.5</v>
      </c>
      <c r="E50" s="40">
        <f t="shared" ref="E50:U50" si="37">E49/2</f>
        <v>2</v>
      </c>
      <c r="F50" s="40">
        <f t="shared" si="37"/>
        <v>2.5</v>
      </c>
      <c r="G50" s="40">
        <f t="shared" si="37"/>
        <v>3</v>
      </c>
      <c r="H50" s="40">
        <f t="shared" si="37"/>
        <v>3.5</v>
      </c>
      <c r="I50" s="40">
        <f t="shared" si="37"/>
        <v>4</v>
      </c>
      <c r="J50" s="45">
        <f t="shared" si="37"/>
        <v>4.5</v>
      </c>
      <c r="K50" s="40">
        <f t="shared" si="37"/>
        <v>5</v>
      </c>
      <c r="L50" s="40">
        <f t="shared" si="37"/>
        <v>5.5</v>
      </c>
      <c r="M50" s="40">
        <f t="shared" si="37"/>
        <v>6</v>
      </c>
      <c r="N50" s="40">
        <f t="shared" si="37"/>
        <v>6.5</v>
      </c>
      <c r="O50" s="40">
        <f t="shared" si="37"/>
        <v>7</v>
      </c>
      <c r="P50" s="40">
        <f t="shared" si="37"/>
        <v>7.5</v>
      </c>
      <c r="Q50" s="40">
        <f t="shared" si="37"/>
        <v>8</v>
      </c>
      <c r="R50" s="40">
        <f t="shared" si="37"/>
        <v>8.5</v>
      </c>
      <c r="S50" s="40">
        <f t="shared" si="37"/>
        <v>9</v>
      </c>
      <c r="T50" s="40">
        <f t="shared" si="37"/>
        <v>9.5</v>
      </c>
      <c r="U50" s="40">
        <f t="shared" si="37"/>
        <v>10</v>
      </c>
    </row>
    <row r="51" spans="3:21" x14ac:dyDescent="0.25">
      <c r="C51" s="36" t="s">
        <v>102</v>
      </c>
      <c r="D51" s="43">
        <f>LOG10(D50)</f>
        <v>0.17609125905568124</v>
      </c>
      <c r="E51" s="43">
        <f t="shared" ref="E51:U51" si="38">LOG10(E50)</f>
        <v>0.3010299956639812</v>
      </c>
      <c r="F51" s="43">
        <f t="shared" si="38"/>
        <v>0.3979400086720376</v>
      </c>
      <c r="G51" s="43">
        <f t="shared" si="38"/>
        <v>0.47712125471966244</v>
      </c>
      <c r="H51" s="43">
        <f t="shared" si="38"/>
        <v>0.54406804435027567</v>
      </c>
      <c r="I51" s="43">
        <f t="shared" si="38"/>
        <v>0.6020599913279624</v>
      </c>
      <c r="J51" s="47">
        <f t="shared" si="38"/>
        <v>0.65321251377534373</v>
      </c>
      <c r="K51" s="43">
        <f t="shared" si="38"/>
        <v>0.69897000433601886</v>
      </c>
      <c r="L51" s="43">
        <f t="shared" si="38"/>
        <v>0.74036268949424389</v>
      </c>
      <c r="M51" s="43">
        <f t="shared" si="38"/>
        <v>0.77815125038364363</v>
      </c>
      <c r="N51" s="43">
        <f t="shared" si="38"/>
        <v>0.81291335664285558</v>
      </c>
      <c r="O51" s="43">
        <f t="shared" si="38"/>
        <v>0.84509804001425681</v>
      </c>
      <c r="P51" s="43">
        <f t="shared" si="38"/>
        <v>0.87506126339170009</v>
      </c>
      <c r="Q51" s="43">
        <f t="shared" si="38"/>
        <v>0.90308998699194354</v>
      </c>
      <c r="R51" s="43">
        <f t="shared" si="38"/>
        <v>0.92941892571429274</v>
      </c>
      <c r="S51" s="43">
        <f t="shared" si="38"/>
        <v>0.95424250943932487</v>
      </c>
      <c r="T51" s="43">
        <f t="shared" si="38"/>
        <v>0.97772360528884772</v>
      </c>
      <c r="U51" s="43">
        <f t="shared" si="38"/>
        <v>1</v>
      </c>
    </row>
    <row r="52" spans="3:21" x14ac:dyDescent="0.25">
      <c r="C52" s="36" t="s">
        <v>103</v>
      </c>
      <c r="D52" s="44">
        <f>LOG10(D47)/D51</f>
        <v>-0.55309223392254925</v>
      </c>
      <c r="E52" s="44">
        <f t="shared" ref="E52:U52" si="39">LOG10(E47)/E51</f>
        <v>-5.9275512934099515E-2</v>
      </c>
      <c r="F52" s="43">
        <f t="shared" si="39"/>
        <v>5.9370953688657538E-2</v>
      </c>
      <c r="G52" s="43">
        <f t="shared" si="39"/>
        <v>9.9942144732376392E-2</v>
      </c>
      <c r="H52" s="43">
        <f t="shared" si="39"/>
        <v>0.14905901825916232</v>
      </c>
      <c r="I52" s="43">
        <f t="shared" si="39"/>
        <v>0.19943592444390837</v>
      </c>
      <c r="J52" s="47">
        <f t="shared" si="39"/>
        <v>0.21978393421290657</v>
      </c>
      <c r="K52" s="43">
        <f t="shared" si="39"/>
        <v>0.19350047513949839</v>
      </c>
      <c r="L52" s="43">
        <f t="shared" si="39"/>
        <v>0.18733928064984423</v>
      </c>
      <c r="M52" s="43">
        <f t="shared" si="39"/>
        <v>0.13495769227732773</v>
      </c>
      <c r="N52" s="43">
        <f t="shared" si="39"/>
        <v>0.12589465330696656</v>
      </c>
      <c r="O52" s="43">
        <f t="shared" si="39"/>
        <v>0.14166295346697341</v>
      </c>
      <c r="P52" s="43">
        <f t="shared" si="39"/>
        <v>0.12076806026695625</v>
      </c>
      <c r="Q52" s="43">
        <f t="shared" si="39"/>
        <v>0.12329780606979925</v>
      </c>
      <c r="R52" s="43">
        <f t="shared" si="39"/>
        <v>0.16663709856610115</v>
      </c>
      <c r="S52" s="43">
        <f t="shared" si="39"/>
        <v>0.20491483854644063</v>
      </c>
      <c r="T52" s="43">
        <f t="shared" si="39"/>
        <v>0.23318649911782294</v>
      </c>
      <c r="U52" s="49">
        <f t="shared" si="39"/>
        <v>0.25455752471480181</v>
      </c>
    </row>
    <row r="53" spans="3:21" x14ac:dyDescent="0.25">
      <c r="C53" s="36" t="s">
        <v>103</v>
      </c>
      <c r="F53" s="42">
        <f>LOG10(F47)</f>
        <v>2.3626077825731524E-2</v>
      </c>
      <c r="G53" s="42">
        <f t="shared" ref="G53:U53" si="40">LOG10(G47)</f>
        <v>4.7684521494085523E-2</v>
      </c>
      <c r="H53" s="42">
        <f t="shared" si="40"/>
        <v>8.1098248557034472E-2</v>
      </c>
      <c r="I53" s="42">
        <f t="shared" si="40"/>
        <v>0.12007239094118363</v>
      </c>
      <c r="J53" s="48">
        <f t="shared" si="40"/>
        <v>0.14356561615464747</v>
      </c>
      <c r="K53" s="42">
        <f t="shared" si="40"/>
        <v>0.13525102794727689</v>
      </c>
      <c r="L53" s="42">
        <f t="shared" si="40"/>
        <v>0.13869901366983564</v>
      </c>
      <c r="M53" s="42">
        <f t="shared" si="40"/>
        <v>0.10501749699449359</v>
      </c>
      <c r="N53" s="42">
        <f t="shared" si="40"/>
        <v>0.10234144520315476</v>
      </c>
      <c r="O53" s="42">
        <f t="shared" si="40"/>
        <v>0.1197190843175701</v>
      </c>
      <c r="P53" s="42">
        <f t="shared" si="40"/>
        <v>0.10567945139456771</v>
      </c>
      <c r="Q53" s="42">
        <f t="shared" si="40"/>
        <v>0.11134901407971018</v>
      </c>
      <c r="R53" s="42">
        <f t="shared" si="40"/>
        <v>0.15487567313345244</v>
      </c>
      <c r="S53" s="42">
        <f t="shared" si="40"/>
        <v>0.19553844975590962</v>
      </c>
      <c r="T53" s="42">
        <f t="shared" si="40"/>
        <v>0.22799194462216255</v>
      </c>
      <c r="U53" s="49">
        <f t="shared" si="40"/>
        <v>0.25455752471480181</v>
      </c>
    </row>
    <row r="54" spans="3:21" x14ac:dyDescent="0.25">
      <c r="C54" s="25" t="s">
        <v>104</v>
      </c>
      <c r="D54" s="33">
        <f>U52</f>
        <v>0.25455752471480181</v>
      </c>
    </row>
    <row r="55" spans="3:21" x14ac:dyDescent="0.25">
      <c r="C55" s="25" t="s">
        <v>105</v>
      </c>
      <c r="D55" s="6">
        <f>2^(2*D54-1)-1</f>
        <v>-0.28841152517718216</v>
      </c>
    </row>
    <row r="56" spans="3:21" x14ac:dyDescent="0.25">
      <c r="C56" s="25" t="s">
        <v>106</v>
      </c>
      <c r="D56" s="6">
        <f>2-D54</f>
        <v>1.7454424752851982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 1</vt:lpstr>
      <vt:lpstr>Метод 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Proekti</dc:creator>
  <cp:lastModifiedBy>Proekti</cp:lastModifiedBy>
  <dcterms:created xsi:type="dcterms:W3CDTF">2020-04-17T13:44:39Z</dcterms:created>
  <dcterms:modified xsi:type="dcterms:W3CDTF">2020-04-20T20:04:36Z</dcterms:modified>
</cp:coreProperties>
</file>