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ngboardMarkII\BOM\BatteryHolder\"/>
    </mc:Choice>
  </mc:AlternateContent>
  <bookViews>
    <workbookView xWindow="0" yWindow="0" windowWidth="17256" windowHeight="7008" xr2:uid="{C030EB89-3A13-483E-BF31-638C494862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L21" i="1"/>
  <c r="L18" i="1"/>
  <c r="E18" i="1"/>
  <c r="E17" i="1"/>
  <c r="L17" i="1" s="1"/>
  <c r="N3" i="1"/>
  <c r="N2" i="1"/>
  <c r="L20" i="1"/>
  <c r="E11" i="1" l="1"/>
  <c r="L11" i="1"/>
  <c r="E16" i="1"/>
  <c r="L16" i="1"/>
  <c r="E15" i="1"/>
  <c r="L15" i="1" s="1"/>
  <c r="E10" i="1"/>
  <c r="L10" i="1" s="1"/>
  <c r="L12" i="1"/>
  <c r="L14" i="1"/>
  <c r="E13" i="1"/>
  <c r="L13" i="1" s="1"/>
  <c r="L9" i="1"/>
  <c r="E7" i="1" l="1"/>
  <c r="L7" i="1" s="1"/>
  <c r="L5" i="1"/>
  <c r="L8" i="1"/>
  <c r="E6" i="1"/>
  <c r="L6" i="1" s="1"/>
  <c r="E3" i="1"/>
  <c r="L3" i="1" s="1"/>
  <c r="E2" i="1"/>
  <c r="L2" i="1" s="1"/>
  <c r="M2" i="1" s="1"/>
  <c r="N5" i="1" l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</calcChain>
</file>

<file path=xl/sharedStrings.xml><?xml version="1.0" encoding="utf-8"?>
<sst xmlns="http://schemas.openxmlformats.org/spreadsheetml/2006/main" count="97" uniqueCount="67">
  <si>
    <t>Item Name</t>
  </si>
  <si>
    <t>Item obtained?</t>
  </si>
  <si>
    <t>Item Location</t>
  </si>
  <si>
    <t>Item Price</t>
  </si>
  <si>
    <t>Quanitity</t>
  </si>
  <si>
    <t>N</t>
  </si>
  <si>
    <t>Quanity Units</t>
  </si>
  <si>
    <t>Item Desc</t>
  </si>
  <si>
    <t>Total</t>
  </si>
  <si>
    <t>Multiplyer</t>
  </si>
  <si>
    <t>Tax</t>
  </si>
  <si>
    <t>Shipping</t>
  </si>
  <si>
    <t>Grand Total</t>
  </si>
  <si>
    <t>Y</t>
  </si>
  <si>
    <t>6'x3/8"x3/8" Aluminum</t>
  </si>
  <si>
    <t>6'x3"x3/8" Aluminum</t>
  </si>
  <si>
    <t>https://www.mcmaster.com/#8975k617/=19bnny9</t>
  </si>
  <si>
    <t>https://www.mcmaster.com/#9008k78/=19bno32</t>
  </si>
  <si>
    <t>feet</t>
  </si>
  <si>
    <t>units</t>
  </si>
  <si>
    <t>6-32 thread</t>
  </si>
  <si>
    <t>Black Oxide Screw 1.75"</t>
  </si>
  <si>
    <t>Aluminum spacers 5/16"</t>
  </si>
  <si>
    <t>https://www.mcmaster.com/#91251a158/=19bnq2t</t>
  </si>
  <si>
    <t>https://www.mcmaster.com/#8585k205/=19bof2z</t>
  </si>
  <si>
    <t>polycarbonate tube</t>
  </si>
  <si>
    <t>1.125" ID 1.25" OD</t>
  </si>
  <si>
    <t>aluminum tube 1.25"OD</t>
  </si>
  <si>
    <t>1.12"ID</t>
  </si>
  <si>
    <t>https://www.mcmaster.com/#9056k76/=19bq239</t>
  </si>
  <si>
    <t>https://www.mcmaster.com/#8974k16/=19bq4f4</t>
  </si>
  <si>
    <t>aluminum rod 1.25"OD</t>
  </si>
  <si>
    <t>20 guage</t>
  </si>
  <si>
    <t>https://www.etsy.com/listing/62082177/copper-discs-20-gauge-stamping-blanks</t>
  </si>
  <si>
    <t>Electrical Connects</t>
  </si>
  <si>
    <t>copper disk 3/4"</t>
  </si>
  <si>
    <t>https://www.amazon.com/dp/B003HGHQVU/ref=biss_dp_t_asn</t>
  </si>
  <si>
    <t>copper braid</t>
  </si>
  <si>
    <t>roll</t>
  </si>
  <si>
    <t>25'x.25"</t>
  </si>
  <si>
    <t>compression spring</t>
  </si>
  <si>
    <t>https://www.mcmaster.com/#9657k314/=19bqcva</t>
  </si>
  <si>
    <t>1"Long .49"ID</t>
  </si>
  <si>
    <t>Ring Terminal</t>
  </si>
  <si>
    <t>.25"IDx.49"OD</t>
  </si>
  <si>
    <t>https://www.mcmaster.com/#7113k444/=19bqfh1</t>
  </si>
  <si>
    <t>Copper Terminal screw .25"</t>
  </si>
  <si>
    <t>https://www.mcmaster.com/#92949a832/=19bqg8g</t>
  </si>
  <si>
    <t>1/4"-20, 1/4"length</t>
  </si>
  <si>
    <t>https://www.mcmaster.com/#91251a146/=19bqn03</t>
  </si>
  <si>
    <t>Black Oxide Screw .375"</t>
  </si>
  <si>
    <t>EndMill .125"</t>
  </si>
  <si>
    <t>https://www.mcmaster.com/#2802a83/=19br6rt</t>
  </si>
  <si>
    <t>unit</t>
  </si>
  <si>
    <t>2 ended, .75" cut length</t>
  </si>
  <si>
    <t>Tooling</t>
  </si>
  <si>
    <t>Purchase Total</t>
  </si>
  <si>
    <t>Copper Bar</t>
  </si>
  <si>
    <t>https://www.mcmaster.com/#8966k15/=19brdi6</t>
  </si>
  <si>
    <t>inches</t>
  </si>
  <si>
    <t>1.125"OD</t>
  </si>
  <si>
    <t>https://www.amazon.com/Remington-Industries-18SNSP-Enameled-Diameter/dp/B00BJMVK02/ref=sr_1_1?ie=UTF8&amp;qid=1505074082&amp;sr=8-1&amp;keywords=18+gauge+magnet+wire</t>
  </si>
  <si>
    <t>Magnet wire 18 AWG</t>
  </si>
  <si>
    <t>18AWG</t>
  </si>
  <si>
    <t>drill bit</t>
  </si>
  <si>
    <t>https://www.mcmaster.com/#2901a116/=19brqzs</t>
  </si>
  <si>
    <t>9/64" 1.53" cut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</si>
</sst>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sy.com/listing/62082177/copper-discs-20-gauge-stamping-blanks" TargetMode="External"/><Relationship Id="rId13" Type="http://schemas.openxmlformats.org/officeDocument/2006/relationships/hyperlink" Target="https://www.mcmaster.com/" TargetMode="External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" TargetMode="External"/><Relationship Id="rId16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15" Type="http://schemas.openxmlformats.org/officeDocument/2006/relationships/hyperlink" Target="https://www.amazon.com/Remington-Industries-18SNSP-Enameled-Diameter/dp/B00BJMVK02/ref=sr_1_1?ie=UTF8&amp;qid=1505074082&amp;sr=8-1&amp;keywords=18+gauge+magnet+wire" TargetMode="External"/><Relationship Id="rId10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F7B-54B9-4908-9896-05F30F59DACC}">
  <dimension ref="A1:N34"/>
  <sheetViews>
    <sheetView tabSelected="1" workbookViewId="0">
      <selection activeCell="B6" sqref="B6"/>
    </sheetView>
  </sheetViews>
  <sheetFormatPr defaultRowHeight="14.4" x14ac:dyDescent="0.3"/>
  <cols>
    <col min="1" max="1" width="12.88671875" customWidth="1"/>
    <col min="2" max="2" width="25.109375" customWidth="1"/>
    <col min="6" max="6" width="7.88671875" customWidth="1"/>
    <col min="7" max="7" width="13.5546875" customWidth="1"/>
    <col min="8" max="8" width="24.6640625" customWidth="1"/>
    <col min="12" max="12" width="8.33203125" customWidth="1"/>
    <col min="13" max="13" width="11.21875" customWidth="1"/>
    <col min="14" max="14" width="13.2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56</v>
      </c>
    </row>
    <row r="2" spans="1:14" x14ac:dyDescent="0.3">
      <c r="A2" s="1"/>
      <c r="B2" s="1" t="s">
        <v>15</v>
      </c>
      <c r="C2" t="s">
        <v>13</v>
      </c>
      <c r="D2" s="2" t="s">
        <v>16</v>
      </c>
      <c r="E2">
        <f>47.25/6</f>
        <v>7.875</v>
      </c>
      <c r="F2">
        <v>6</v>
      </c>
      <c r="G2" t="s">
        <v>18</v>
      </c>
      <c r="I2">
        <v>1</v>
      </c>
      <c r="J2">
        <v>0.08</v>
      </c>
      <c r="K2">
        <v>0</v>
      </c>
      <c r="L2">
        <f>E2*F2*I2*(1+J2)</f>
        <v>51.03</v>
      </c>
      <c r="M2">
        <f>K2+L2</f>
        <v>51.03</v>
      </c>
      <c r="N2">
        <f>IF(C2="Y",0,L2+K2)</f>
        <v>0</v>
      </c>
    </row>
    <row r="3" spans="1:14" x14ac:dyDescent="0.3">
      <c r="B3" t="s">
        <v>14</v>
      </c>
      <c r="C3" t="s">
        <v>13</v>
      </c>
      <c r="D3" s="2" t="s">
        <v>17</v>
      </c>
      <c r="E3">
        <f>6.81/6</f>
        <v>1.135</v>
      </c>
      <c r="F3">
        <v>6</v>
      </c>
      <c r="G3" t="s">
        <v>18</v>
      </c>
      <c r="I3">
        <v>1</v>
      </c>
      <c r="J3">
        <v>0.08</v>
      </c>
      <c r="K3">
        <v>33</v>
      </c>
      <c r="L3">
        <f>E3*F3*I3*(1+J3)</f>
        <v>7.3548000000000009</v>
      </c>
      <c r="M3">
        <f>K3+L3+M2</f>
        <v>91.384799999999998</v>
      </c>
      <c r="N3">
        <f>IF(C3="Y",0,L3+K3+N2)</f>
        <v>0</v>
      </c>
    </row>
    <row r="5" spans="1:14" x14ac:dyDescent="0.3">
      <c r="B5" t="s">
        <v>22</v>
      </c>
      <c r="C5" t="s">
        <v>5</v>
      </c>
      <c r="D5" s="2" t="s">
        <v>17</v>
      </c>
      <c r="E5">
        <v>0.28000000000000003</v>
      </c>
      <c r="F5">
        <f>5*9+10</f>
        <v>55</v>
      </c>
      <c r="G5" t="s">
        <v>19</v>
      </c>
      <c r="H5" t="s">
        <v>20</v>
      </c>
      <c r="I5">
        <v>1</v>
      </c>
      <c r="J5">
        <v>0.08</v>
      </c>
      <c r="K5">
        <v>0</v>
      </c>
      <c r="L5">
        <f t="shared" ref="L5:L18" si="0">E5*F5*I5*(1+J5)</f>
        <v>16.632000000000005</v>
      </c>
      <c r="M5">
        <f>K5+L5+M3</f>
        <v>108.0168</v>
      </c>
      <c r="N5">
        <f>IF(C5="Y",0,L5+K5+N3)</f>
        <v>16.632000000000005</v>
      </c>
    </row>
    <row r="6" spans="1:14" x14ac:dyDescent="0.3">
      <c r="B6" t="s">
        <v>21</v>
      </c>
      <c r="C6" t="s">
        <v>5</v>
      </c>
      <c r="D6" s="2" t="s">
        <v>23</v>
      </c>
      <c r="E6">
        <f>7.1/50</f>
        <v>0.14199999999999999</v>
      </c>
      <c r="F6">
        <v>50</v>
      </c>
      <c r="G6" t="s">
        <v>19</v>
      </c>
      <c r="H6" t="s">
        <v>20</v>
      </c>
      <c r="I6">
        <v>1</v>
      </c>
      <c r="J6">
        <v>0.08</v>
      </c>
      <c r="K6">
        <v>0</v>
      </c>
      <c r="L6">
        <f t="shared" si="0"/>
        <v>7.6680000000000001</v>
      </c>
      <c r="M6">
        <f>K6+L6+M5</f>
        <v>115.68480000000001</v>
      </c>
      <c r="N6">
        <f>IF(C6="Y",0,L6+K6+N5)</f>
        <v>24.300000000000004</v>
      </c>
    </row>
    <row r="7" spans="1:14" x14ac:dyDescent="0.3">
      <c r="B7" t="s">
        <v>25</v>
      </c>
      <c r="C7" t="s">
        <v>5</v>
      </c>
      <c r="D7" s="2" t="s">
        <v>24</v>
      </c>
      <c r="E7" s="3">
        <f>19.89/8</f>
        <v>2.4862500000000001</v>
      </c>
      <c r="F7">
        <v>16</v>
      </c>
      <c r="G7" t="s">
        <v>18</v>
      </c>
      <c r="H7" t="s">
        <v>26</v>
      </c>
      <c r="I7">
        <v>1</v>
      </c>
      <c r="J7">
        <v>0.08</v>
      </c>
      <c r="K7">
        <v>0</v>
      </c>
      <c r="L7">
        <f t="shared" si="0"/>
        <v>42.962400000000002</v>
      </c>
      <c r="M7">
        <f>K7+L7+M6</f>
        <v>158.6472</v>
      </c>
      <c r="N7">
        <f>IF(C7="Y",0,L7+K7+N6)</f>
        <v>67.262400000000014</v>
      </c>
    </row>
    <row r="8" spans="1:14" x14ac:dyDescent="0.3">
      <c r="B8" t="s">
        <v>27</v>
      </c>
      <c r="C8" t="s">
        <v>5</v>
      </c>
      <c r="D8" s="2" t="s">
        <v>29</v>
      </c>
      <c r="E8">
        <v>12.1</v>
      </c>
      <c r="F8">
        <v>1</v>
      </c>
      <c r="G8" t="s">
        <v>18</v>
      </c>
      <c r="H8" t="s">
        <v>28</v>
      </c>
      <c r="I8">
        <v>1</v>
      </c>
      <c r="J8">
        <v>0.08</v>
      </c>
      <c r="K8">
        <v>0</v>
      </c>
      <c r="L8">
        <f t="shared" si="0"/>
        <v>13.068</v>
      </c>
      <c r="M8">
        <f>K8+L8+M7</f>
        <v>171.71520000000001</v>
      </c>
      <c r="N8">
        <f>IF(C8="Y",0,L8+K8+N7)</f>
        <v>80.330400000000012</v>
      </c>
    </row>
    <row r="9" spans="1:14" x14ac:dyDescent="0.3">
      <c r="B9" t="s">
        <v>31</v>
      </c>
      <c r="C9" t="s">
        <v>5</v>
      </c>
      <c r="D9" s="2" t="s">
        <v>30</v>
      </c>
      <c r="E9">
        <v>11.04</v>
      </c>
      <c r="F9">
        <v>1</v>
      </c>
      <c r="G9" t="s">
        <v>18</v>
      </c>
      <c r="I9">
        <v>1</v>
      </c>
      <c r="J9">
        <v>0.08</v>
      </c>
      <c r="K9">
        <v>0</v>
      </c>
      <c r="L9">
        <f t="shared" si="0"/>
        <v>11.9232</v>
      </c>
      <c r="M9">
        <f>K9+L9+M8</f>
        <v>183.63840000000002</v>
      </c>
      <c r="N9">
        <f>IF(C9="Y",0,L9+K9+N8)</f>
        <v>92.253600000000006</v>
      </c>
    </row>
    <row r="10" spans="1:14" x14ac:dyDescent="0.3">
      <c r="B10" t="s">
        <v>40</v>
      </c>
      <c r="C10" t="s">
        <v>5</v>
      </c>
      <c r="D10" s="2" t="s">
        <v>41</v>
      </c>
      <c r="E10">
        <f>10.35/12</f>
        <v>0.86249999999999993</v>
      </c>
      <c r="F10">
        <v>12</v>
      </c>
      <c r="G10" t="s">
        <v>19</v>
      </c>
      <c r="H10" t="s">
        <v>42</v>
      </c>
      <c r="I10">
        <v>1</v>
      </c>
      <c r="J10">
        <v>0.08</v>
      </c>
      <c r="K10">
        <v>0</v>
      </c>
      <c r="L10">
        <f t="shared" si="0"/>
        <v>11.178000000000001</v>
      </c>
      <c r="M10">
        <f>K10+L10+M9</f>
        <v>194.81640000000002</v>
      </c>
      <c r="N10">
        <f>IF(C10="Y",0,L10+K10+N9)</f>
        <v>103.4316</v>
      </c>
    </row>
    <row r="11" spans="1:14" x14ac:dyDescent="0.3">
      <c r="B11" t="s">
        <v>50</v>
      </c>
      <c r="C11" t="s">
        <v>5</v>
      </c>
      <c r="D11" s="2" t="s">
        <v>49</v>
      </c>
      <c r="E11">
        <f>8.42/100</f>
        <v>8.4199999999999997E-2</v>
      </c>
      <c r="F11">
        <v>100</v>
      </c>
      <c r="G11" t="s">
        <v>19</v>
      </c>
      <c r="H11" t="s">
        <v>20</v>
      </c>
      <c r="I11">
        <v>1</v>
      </c>
      <c r="J11">
        <v>0.08</v>
      </c>
      <c r="K11">
        <v>0</v>
      </c>
      <c r="L11">
        <f t="shared" ref="L11" si="1">E11*F11*I11*(1+J11)</f>
        <v>9.0936000000000003</v>
      </c>
      <c r="M11">
        <f>K11+L11+M10</f>
        <v>203.91000000000003</v>
      </c>
      <c r="N11">
        <f>IF(C11="Y",0,L11+K11+N10)</f>
        <v>112.5252</v>
      </c>
    </row>
    <row r="12" spans="1:14" x14ac:dyDescent="0.3">
      <c r="A12" t="s">
        <v>34</v>
      </c>
      <c r="I12">
        <v>1</v>
      </c>
      <c r="L12">
        <f t="shared" si="0"/>
        <v>0</v>
      </c>
      <c r="M12">
        <f>K12+L12+M11</f>
        <v>203.91000000000003</v>
      </c>
      <c r="N12">
        <f>IF(C12="Y",0,L12+K12+N11)</f>
        <v>112.5252</v>
      </c>
    </row>
    <row r="13" spans="1:14" x14ac:dyDescent="0.3">
      <c r="B13" t="s">
        <v>35</v>
      </c>
      <c r="C13" t="s">
        <v>5</v>
      </c>
      <c r="D13" s="2" t="s">
        <v>33</v>
      </c>
      <c r="E13">
        <f>4/10</f>
        <v>0.4</v>
      </c>
      <c r="F13">
        <v>70</v>
      </c>
      <c r="G13" t="s">
        <v>19</v>
      </c>
      <c r="H13" t="s">
        <v>32</v>
      </c>
      <c r="I13">
        <v>1</v>
      </c>
      <c r="J13">
        <v>0.08</v>
      </c>
      <c r="K13">
        <v>4.5999999999999996</v>
      </c>
      <c r="L13">
        <f t="shared" si="0"/>
        <v>30.240000000000002</v>
      </c>
      <c r="M13">
        <f>K13+L13+M12</f>
        <v>238.75000000000003</v>
      </c>
      <c r="N13">
        <f>IF(C13="Y",0,L13+K13+N12)</f>
        <v>147.36520000000002</v>
      </c>
    </row>
    <row r="14" spans="1:14" x14ac:dyDescent="0.3">
      <c r="B14" t="s">
        <v>37</v>
      </c>
      <c r="C14" t="s">
        <v>5</v>
      </c>
      <c r="D14" s="2" t="s">
        <v>36</v>
      </c>
      <c r="E14">
        <v>20.010000000000002</v>
      </c>
      <c r="F14">
        <v>1</v>
      </c>
      <c r="G14" t="s">
        <v>38</v>
      </c>
      <c r="H14" t="s">
        <v>39</v>
      </c>
      <c r="I14">
        <v>1</v>
      </c>
      <c r="J14">
        <v>0.08</v>
      </c>
      <c r="K14">
        <v>0</v>
      </c>
      <c r="L14">
        <f t="shared" si="0"/>
        <v>21.610800000000005</v>
      </c>
      <c r="M14">
        <f>K14+L14+M13</f>
        <v>260.36080000000004</v>
      </c>
      <c r="N14">
        <f>IF(C14="Y",0,L14+K14+N13)</f>
        <v>168.97600000000003</v>
      </c>
    </row>
    <row r="15" spans="1:14" x14ac:dyDescent="0.3">
      <c r="B15" t="s">
        <v>43</v>
      </c>
      <c r="C15" t="s">
        <v>5</v>
      </c>
      <c r="D15" s="2" t="s">
        <v>45</v>
      </c>
      <c r="E15">
        <f>12.92/25</f>
        <v>0.51680000000000004</v>
      </c>
      <c r="F15">
        <v>25</v>
      </c>
      <c r="G15" t="s">
        <v>19</v>
      </c>
      <c r="H15" t="s">
        <v>44</v>
      </c>
      <c r="I15">
        <v>1</v>
      </c>
      <c r="J15">
        <v>0.08</v>
      </c>
      <c r="K15">
        <v>0</v>
      </c>
      <c r="L15">
        <f t="shared" si="0"/>
        <v>13.953600000000003</v>
      </c>
      <c r="M15">
        <f>K15+L15+M14</f>
        <v>274.31440000000003</v>
      </c>
      <c r="N15">
        <f>IF(C15="Y",0,L15+K15+N14)</f>
        <v>182.92960000000002</v>
      </c>
    </row>
    <row r="16" spans="1:14" x14ac:dyDescent="0.3">
      <c r="B16" t="s">
        <v>46</v>
      </c>
      <c r="C16" t="s">
        <v>5</v>
      </c>
      <c r="D16" s="2" t="s">
        <v>47</v>
      </c>
      <c r="E16">
        <f>7.03/50</f>
        <v>0.1406</v>
      </c>
      <c r="F16">
        <v>50</v>
      </c>
      <c r="G16" t="s">
        <v>19</v>
      </c>
      <c r="H16" t="s">
        <v>48</v>
      </c>
      <c r="I16">
        <v>1</v>
      </c>
      <c r="J16">
        <v>0.08</v>
      </c>
      <c r="K16">
        <v>0</v>
      </c>
      <c r="L16">
        <f t="shared" si="0"/>
        <v>7.5924000000000005</v>
      </c>
      <c r="M16">
        <f>K16+L16+M15</f>
        <v>281.90680000000003</v>
      </c>
      <c r="N16">
        <f>IF(C16="Y",0,L16+K16+N15)</f>
        <v>190.52200000000002</v>
      </c>
    </row>
    <row r="17" spans="1:14" x14ac:dyDescent="0.3">
      <c r="B17" t="s">
        <v>57</v>
      </c>
      <c r="C17" t="s">
        <v>5</v>
      </c>
      <c r="D17" s="2" t="s">
        <v>58</v>
      </c>
      <c r="E17">
        <f>39.58/6</f>
        <v>6.5966666666666667</v>
      </c>
      <c r="F17">
        <v>6</v>
      </c>
      <c r="G17" t="s">
        <v>59</v>
      </c>
      <c r="H17" t="s">
        <v>60</v>
      </c>
      <c r="I17">
        <v>1</v>
      </c>
      <c r="J17">
        <v>0.08</v>
      </c>
      <c r="K17">
        <v>0</v>
      </c>
      <c r="L17">
        <f t="shared" si="0"/>
        <v>42.746400000000001</v>
      </c>
      <c r="M17">
        <f>K17+L17+M16</f>
        <v>324.65320000000003</v>
      </c>
      <c r="N17">
        <f>IF(C17="Y",0,L17+K17+N16)</f>
        <v>233.26840000000001</v>
      </c>
    </row>
    <row r="18" spans="1:14" x14ac:dyDescent="0.3">
      <c r="B18" t="s">
        <v>62</v>
      </c>
      <c r="C18" t="s">
        <v>5</v>
      </c>
      <c r="D18" s="2" t="s">
        <v>61</v>
      </c>
      <c r="E18">
        <f>16.73/201</f>
        <v>8.3233830845771142E-2</v>
      </c>
      <c r="F18">
        <v>201</v>
      </c>
      <c r="G18" t="s">
        <v>18</v>
      </c>
      <c r="H18" t="s">
        <v>63</v>
      </c>
      <c r="I18">
        <v>1</v>
      </c>
      <c r="J18">
        <v>0.08</v>
      </c>
      <c r="K18">
        <v>0</v>
      </c>
      <c r="L18">
        <f t="shared" si="0"/>
        <v>18.0684</v>
      </c>
      <c r="M18">
        <f>K18+L18+M17</f>
        <v>342.72160000000002</v>
      </c>
      <c r="N18">
        <f>IF(C18="Y",0,L18+K18+N17)</f>
        <v>251.33680000000001</v>
      </c>
    </row>
    <row r="19" spans="1:14" x14ac:dyDescent="0.3">
      <c r="A19" t="s">
        <v>55</v>
      </c>
      <c r="M19">
        <f>K19+L19+M18</f>
        <v>342.72160000000002</v>
      </c>
      <c r="N19">
        <f>IF(C19="Y",0,L19+K19+N18)</f>
        <v>251.33680000000001</v>
      </c>
    </row>
    <row r="20" spans="1:14" x14ac:dyDescent="0.3">
      <c r="B20" t="s">
        <v>51</v>
      </c>
      <c r="C20" t="s">
        <v>5</v>
      </c>
      <c r="D20" s="2" t="s">
        <v>52</v>
      </c>
      <c r="E20">
        <v>23.65</v>
      </c>
      <c r="F20">
        <v>1</v>
      </c>
      <c r="G20" t="s">
        <v>53</v>
      </c>
      <c r="H20" t="s">
        <v>54</v>
      </c>
      <c r="I20">
        <v>1</v>
      </c>
      <c r="J20">
        <v>0.08</v>
      </c>
      <c r="K20">
        <v>0</v>
      </c>
      <c r="L20">
        <f>E20*F20*I20*(1+J20)</f>
        <v>25.542000000000002</v>
      </c>
      <c r="M20">
        <f>K20+L20+M19</f>
        <v>368.2636</v>
      </c>
      <c r="N20">
        <f>IF(C20="Y",0,L20+K20+N19)</f>
        <v>276.87880000000001</v>
      </c>
    </row>
    <row r="21" spans="1:14" x14ac:dyDescent="0.3">
      <c r="B21" s="2" t="s">
        <v>64</v>
      </c>
      <c r="C21" t="s">
        <v>5</v>
      </c>
      <c r="D21" s="2" t="s">
        <v>65</v>
      </c>
      <c r="E21">
        <v>1.67</v>
      </c>
      <c r="F21">
        <v>4</v>
      </c>
      <c r="G21" t="s">
        <v>53</v>
      </c>
      <c r="H21" t="s">
        <v>66</v>
      </c>
      <c r="I21">
        <v>1</v>
      </c>
      <c r="J21">
        <v>0.08</v>
      </c>
      <c r="K21">
        <v>0</v>
      </c>
      <c r="L21">
        <f>E21*F21*I21*(1+J21)</f>
        <v>7.2144000000000004</v>
      </c>
      <c r="M21">
        <f>K21+L21+M20</f>
        <v>375.47800000000001</v>
      </c>
      <c r="N21">
        <f>IF(C21="Y",0,L21+K21+N20)</f>
        <v>284.09320000000002</v>
      </c>
    </row>
    <row r="22" spans="1:14" x14ac:dyDescent="0.3">
      <c r="A22" s="1"/>
      <c r="B22" s="1"/>
      <c r="D22" s="2"/>
    </row>
    <row r="23" spans="1:14" x14ac:dyDescent="0.3">
      <c r="D23" s="2"/>
    </row>
    <row r="24" spans="1:14" x14ac:dyDescent="0.3">
      <c r="D24" s="2"/>
    </row>
    <row r="25" spans="1:14" x14ac:dyDescent="0.3">
      <c r="D25" s="2"/>
    </row>
    <row r="26" spans="1:14" x14ac:dyDescent="0.3">
      <c r="D26" s="2"/>
    </row>
    <row r="27" spans="1:14" x14ac:dyDescent="0.3">
      <c r="D27" s="2"/>
    </row>
    <row r="28" spans="1:14" x14ac:dyDescent="0.3">
      <c r="D28" s="2"/>
    </row>
    <row r="29" spans="1:14" x14ac:dyDescent="0.3">
      <c r="D29" s="2"/>
    </row>
    <row r="30" spans="1:14" x14ac:dyDescent="0.3">
      <c r="D30" s="2"/>
    </row>
    <row r="33" spans="4:4" x14ac:dyDescent="0.3">
      <c r="D33" s="2"/>
    </row>
    <row r="34" spans="4:4" x14ac:dyDescent="0.3">
      <c r="D34" s="2"/>
    </row>
  </sheetData>
  <hyperlinks>
    <hyperlink ref="D2" r:id="rId1" location="8975k617/=19bnny9" xr:uid="{18A7086B-4922-4F21-A85F-453934409742}"/>
    <hyperlink ref="D3" r:id="rId2" location="9008k78/=19bno32" xr:uid="{0903AB3E-4941-460C-8B26-6317F3CB18E0}"/>
    <hyperlink ref="D5" r:id="rId3" location="9008k78/=19bno32" xr:uid="{3E248846-5CE3-470E-A5E7-5ED38B41D492}"/>
    <hyperlink ref="D6" r:id="rId4" location="91251a158/=19bnq2t" xr:uid="{6CF9EFF7-6077-47C6-B406-2905E3FA64D1}"/>
    <hyperlink ref="D7" r:id="rId5" location="8585k205/=19bof2z" xr:uid="{04AB373F-6377-4008-A03D-91B129D7D564}"/>
    <hyperlink ref="D8" r:id="rId6" location="9056k76/=19bq239" xr:uid="{6163FAE3-45EA-4697-A0DA-8C1CB1778A7D}"/>
    <hyperlink ref="D9" r:id="rId7" location="8974k16/=19bq4f4" xr:uid="{A0ECCCBA-A525-462F-8F89-0C0F85CC72BC}"/>
    <hyperlink ref="D13" r:id="rId8" xr:uid="{B38CFB83-B956-423D-8EA1-75263D11055F}"/>
    <hyperlink ref="D10" r:id="rId9" location="9657k314/=19bqcva" xr:uid="{7DE85923-375E-48B5-92A8-92802E127ED3}"/>
    <hyperlink ref="D15" r:id="rId10" location="7113k444/=19bqfh1" xr:uid="{102534B3-9837-4416-B56B-ADE837D3F460}"/>
    <hyperlink ref="D16" r:id="rId11" location="92949a832/=19bqg8g" xr:uid="{819A1A06-5A78-4EB7-AB2C-84C8C8F90327}"/>
    <hyperlink ref="D11" r:id="rId12" location="91251a146/=19bqn03" xr:uid="{26F3856E-872D-449F-BA72-95EFD8CA515B}"/>
    <hyperlink ref="D20" r:id="rId13" location="2802a83/=19br6rt" xr:uid="{2B71B782-19F3-40B2-8B57-4BCD705D8E1D}"/>
    <hyperlink ref="D17" r:id="rId14" location="8966k15/=19brdi6" xr:uid="{FE8BB7CF-EB44-44F3-A161-F736592B276A}"/>
    <hyperlink ref="D18" r:id="rId15" xr:uid="{54C62218-F532-41FA-B7D5-86FB16B75781}"/>
    <hyperlink ref="D21" r:id="rId16" location="2901a116/=19brqzs" xr:uid="{2009869C-D1B6-4696-A13F-91F4FFFEFA2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Andreev</dc:creator>
  <cp:lastModifiedBy>Danny Andreev</cp:lastModifiedBy>
  <dcterms:created xsi:type="dcterms:W3CDTF">2017-09-02T16:48:22Z</dcterms:created>
  <dcterms:modified xsi:type="dcterms:W3CDTF">2017-09-16T20:30:37Z</dcterms:modified>
</cp:coreProperties>
</file>